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95" windowWidth="15480" windowHeight="7875" activeTab="4"/>
  </bookViews>
  <sheets>
    <sheet name="Прилож. 1" sheetId="1" r:id="rId1"/>
    <sheet name="Прилож.2 ВЛ  " sheetId="2" r:id="rId2"/>
    <sheet name="Прилож. 3  КЛ " sheetId="3" r:id="rId3"/>
    <sheet name="Прилож. 4 ТП " sheetId="4" r:id="rId4"/>
    <sheet name="Прилож. 5 ставки Свод " sheetId="5" r:id="rId5"/>
    <sheet name="Прилож.6 Формулы  (2)" sheetId="6" r:id="rId6"/>
    <sheet name="Прилож.6 Формулы " sheetId="7" state="hidden" r:id="rId7"/>
    <sheet name="ВЛ " sheetId="8" state="hidden" r:id="rId8"/>
    <sheet name="КЛ" sheetId="9" state="hidden" r:id="rId9"/>
    <sheet name="Свод  кВт" sheetId="10" state="hidden" r:id="rId10"/>
  </sheets>
  <externalReferences>
    <externalReference r:id="rId13"/>
    <externalReference r:id="rId14"/>
  </externalReferences>
  <definedNames>
    <definedName name="_xlnm.Print_Titles" localSheetId="7">'ВЛ '!$A:$B,'ВЛ '!$6:$11</definedName>
    <definedName name="_xlnm.Print_Titles" localSheetId="8">'КЛ'!$A:$B,'КЛ'!$6:$11</definedName>
    <definedName name="_xlnm.Print_Titles" localSheetId="2">'Прилож. 3  КЛ '!$A:$B,'Прилож. 3  КЛ '!$5:$9</definedName>
    <definedName name="_xlnm.Print_Titles" localSheetId="3">'Прилож. 4 ТП '!$A:$B,'Прилож. 4 ТП '!$5:$10</definedName>
    <definedName name="_xlnm.Print_Titles" localSheetId="1">'Прилож.2 ВЛ  '!$A:$B,'Прилож.2 ВЛ  '!$6:$10</definedName>
    <definedName name="_xlnm.Print_Area" localSheetId="7">'ВЛ '!$A$1:$T$40</definedName>
    <definedName name="_xlnm.Print_Area" localSheetId="8">'КЛ'!$A$1:$S$105</definedName>
    <definedName name="_xlnm.Print_Area" localSheetId="2">'Прилож. 3  КЛ '!$A$1:$S$28</definedName>
    <definedName name="_xlnm.Print_Area" localSheetId="3">'Прилож. 4 ТП '!$A$1:$V$32</definedName>
    <definedName name="_xlnm.Print_Area" localSheetId="4">'Прилож. 5 ставки Свод '!$A$1:$H$75</definedName>
    <definedName name="_xlnm.Print_Area" localSheetId="1">'Прилож.2 ВЛ  '!$A$1:$T$26</definedName>
    <definedName name="_xlnm.Print_Area" localSheetId="9">'Свод  кВт'!$A$1:$F$35</definedName>
  </definedNames>
  <calcPr fullCalcOnLoad="1"/>
</workbook>
</file>

<file path=xl/sharedStrings.xml><?xml version="1.0" encoding="utf-8"?>
<sst xmlns="http://schemas.openxmlformats.org/spreadsheetml/2006/main" count="1527" uniqueCount="575">
  <si>
    <t>*) Ставки платы за единицу максимальной мощности по выполнению сетевой организацией мероприятий, связанных со строительством "последней мили", определены в отношении присоединяемых объектов, отнесенных к третьей категории надежности (по одному источнику электроснабжения). В случае, если заявитель при технологическом присоединении запрашивает вторую или первую категорию надежности электроснабжения, что предполагает технологическое присоединение к двум независимым источникам энергоснабжения, то размер платы за технологическое присоединение определеяется в соответствии с пунктом 29 Методических указаний по определению размера платы за технологическое присоединение к электрическим сетям, утвержденных приказом ФСТ России от 11.09.2012 № 209-э/1.</t>
  </si>
  <si>
    <t>6.</t>
  </si>
  <si>
    <t>x</t>
  </si>
  <si>
    <t>Участие в осмотре должностным лицом органа федерального государстенного энергетического надзора присоединяемых Устройств Заявителя **)</t>
  </si>
  <si>
    <t>5.</t>
  </si>
  <si>
    <t>4.</t>
  </si>
  <si>
    <t>строительство центров питания, подстанций уровнем напряжения 35 кВ и выше (ПС)</t>
  </si>
  <si>
    <t>3.5.</t>
  </si>
  <si>
    <t>строительство комплектных трансформаторных подстанций (КТП), распределительных траннсформаторных подстанций (РТП) с уровнем напряжения до 35 кВ</t>
  </si>
  <si>
    <t>3.4.</t>
  </si>
  <si>
    <t xml:space="preserve">строительство пунктов секционирования </t>
  </si>
  <si>
    <t>3.3.</t>
  </si>
  <si>
    <t>стесненные условия</t>
  </si>
  <si>
    <t>равнина</t>
  </si>
  <si>
    <t>населенный пункт</t>
  </si>
  <si>
    <t>строительство кабельных линий с горизонтально - направленным бурением</t>
  </si>
  <si>
    <t xml:space="preserve">один кабель в траншее </t>
  </si>
  <si>
    <t>строительство кабельных линий 10 кВ</t>
  </si>
  <si>
    <t>строительство кабельных линий 0,4 кВ</t>
  </si>
  <si>
    <t>строительство кабельных линий</t>
  </si>
  <si>
    <t xml:space="preserve">строительство воздушных линий напряжением 6/10 кВ </t>
  </si>
  <si>
    <t xml:space="preserve">строительство воздушных линий напряжением 0,4 кВ </t>
  </si>
  <si>
    <t>строительство воздушных линий</t>
  </si>
  <si>
    <t>Выполнение сетевой организацией, мероприятий, связанных со строительством "последней мили" *)</t>
  </si>
  <si>
    <t>3.</t>
  </si>
  <si>
    <t>Разработка сетевой организацией проектной документации по строительству "последней мили"</t>
  </si>
  <si>
    <t>2.</t>
  </si>
  <si>
    <t>1.</t>
  </si>
  <si>
    <t>до 150 кВт</t>
  </si>
  <si>
    <t xml:space="preserve">Ставки платы за единицу максимальной мощности при технологическом присоединении к электрическим сетям ОАО "Янтарьэнерго" на уровне напряжения ниже 35 кВ и максимальной мощности менее 8900 кВт, руб./кВт (без НДС) </t>
  </si>
  <si>
    <t xml:space="preserve">Приложение № 5
к приказу Службы по государственному
регулированию цен и тарифов
Калининградской области
от ……………№ ……
</t>
  </si>
  <si>
    <t>Примечание: плата за технологическое присоединение определяется по формулам, с учетом мероприятий согласно выданным техническим условиям.</t>
  </si>
  <si>
    <t>С4 - стандартизированная тарифная ставка на покрытие расходов сетевой организации на строительство подстанций на i-м уровне напряжения (руб./кВт);</t>
  </si>
  <si>
    <r>
      <t>Lкл</t>
    </r>
    <r>
      <rPr>
        <vertAlign val="subscript"/>
        <sz val="10"/>
        <color indexed="8"/>
        <rFont val="Times New Roman"/>
        <family val="1"/>
      </rPr>
      <t xml:space="preserve">i - </t>
    </r>
    <r>
      <rPr>
        <sz val="10"/>
        <color indexed="8"/>
        <rFont val="Times New Roman"/>
        <family val="1"/>
      </rPr>
      <t>суммарная протяженность кабельных линий электропередачи на i-м уровне напряжения, строительство которых предусмотрено согласно выданных технических условий для технологического присоединения Заявителя (км);</t>
    </r>
  </si>
  <si>
    <t>Предусматриваются мероприятия "последней мили" по строительству комплектных трансформаторных подстанций (КТП), распределительных трансформаторных подстанций (РТП) с уровнем напряжения до 35 кВ</t>
  </si>
  <si>
    <t>С3 - 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(руб./км);</t>
  </si>
  <si>
    <t>Строительство воздушных линий электропередач напряжением 0,4кВ</t>
  </si>
  <si>
    <r>
      <t>Lвл</t>
    </r>
    <r>
      <rPr>
        <vertAlign val="subscript"/>
        <sz val="10"/>
        <color indexed="8"/>
        <rFont val="Times New Roman"/>
        <family val="1"/>
      </rPr>
      <t xml:space="preserve">i - </t>
    </r>
    <r>
      <rPr>
        <sz val="10"/>
        <color indexed="8"/>
        <rFont val="Times New Roman"/>
        <family val="1"/>
      </rPr>
      <t>суммарная протяженность воздушных линий электропередачи на i-м уровне напряжения, строительство которых предусмотрено согласно выданных технических условий для технологического присоединения Заявителя (км);</t>
    </r>
  </si>
  <si>
    <t>С2 - 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(руб./км);</t>
  </si>
  <si>
    <t>Предусматриваются мероприятия "последней мили" по прокладке воздушных и (или) кабельных линий</t>
  </si>
  <si>
    <t>Ni - объем максимальной мощности, указанный в заявке на технологическое присоединение Заявителем (кВт).</t>
  </si>
  <si>
    <t>С1 - 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не включающим в себя строительство и реконструкцию объектов электросетевого хозяйства (руб./кВт);</t>
  </si>
  <si>
    <t xml:space="preserve">Р - плата за технологическое присоединение </t>
  </si>
  <si>
    <t xml:space="preserve">Р = С1* Ni </t>
  </si>
  <si>
    <t xml:space="preserve">Отсутствие необходимости реализации мероприятий "последней мили" </t>
  </si>
  <si>
    <t xml:space="preserve"> Описание переменных формул</t>
  </si>
  <si>
    <t>Формулы</t>
  </si>
  <si>
    <t>Способ технологического присоединения</t>
  </si>
  <si>
    <t>№
п/п</t>
  </si>
  <si>
    <t xml:space="preserve">СТП с трансформатором (ТМГ) 25 кВА на номинальное напряжение 6-15/0,4 кВ </t>
  </si>
  <si>
    <t xml:space="preserve">СТП с трансформатором (ТМГ) 40 кВА на номинальное напряжение 6-15/0,4 кВ </t>
  </si>
  <si>
    <t xml:space="preserve"> СТП с трансформатором (ТМГ) 63 кВА на номинальное напряжение 6-15/0,4 кВ </t>
  </si>
  <si>
    <t xml:space="preserve">МТП с трансформатором (ТМГ) 160 кВА на номинальное напряжение 6-15/0,4 кВ </t>
  </si>
  <si>
    <t xml:space="preserve">МТП с трансформатором (ТМГ) 250 кВА на номинальное напряжение 6-15/0,4 кВ </t>
  </si>
  <si>
    <t xml:space="preserve">БКТП с трансформатором (ТМГ) 100 кВА на номинальное напряжение 6-15/0,4 кВ </t>
  </si>
  <si>
    <t xml:space="preserve">БКТП с трансформатором (ТМГ) 160 кВА на номинальное напряжение 6-15/0,4 кВ </t>
  </si>
  <si>
    <t xml:space="preserve">БКТП с трансформатором (ТМГ) 250 кВА на номинальное напряжение 6-15/0,4 кВ </t>
  </si>
  <si>
    <t xml:space="preserve">БКТП с трансформатором (ТМГ) 400 кВА на номинальное напряжение 6-15/0,4 кВ </t>
  </si>
  <si>
    <t xml:space="preserve">БКТП с трансформатором (ТМГ) 630 кВА на номинальное напряжение 6-15/0,4 кВ </t>
  </si>
  <si>
    <t xml:space="preserve">БКТП с трансформатором (ТМГ) 1000 кВА на номинальное напряжение 6-15/0,4 кВ </t>
  </si>
  <si>
    <t xml:space="preserve">БКТП с двумя трансформаторами (ТМГ) 100 кВА на номинальное напряжение 6-15/0,4 кВ </t>
  </si>
  <si>
    <t xml:space="preserve">БКТП с двумя трансформаторами (ТМГ) 160 кВА на номинальное напряжение 6-15/0,4 кВ </t>
  </si>
  <si>
    <t xml:space="preserve">БКТП с двумя трансформаторами (ТМГ) 250 кВА на номинальное напряжение 6-15/0,4 кВ </t>
  </si>
  <si>
    <t xml:space="preserve">БКТП с двумя трансформаторами (ТМГ) 400 кВА на номинальное напряжение 6-15/0,4 кВ </t>
  </si>
  <si>
    <t xml:space="preserve">БКТП с двумя трансформаторами (ТМГ) 630 кВА на номинальное напряжение 6-15/0,4 кВ </t>
  </si>
  <si>
    <t xml:space="preserve">БКТП с двумя трансформаторами (ТМГ) 1000 кВА на номинальное напряжение 6-15/0,4 кВ </t>
  </si>
  <si>
    <t>в целях технологического присоединения энергопринимающих устройств с применением постоянной схемы электроснабжения</t>
  </si>
  <si>
    <t>в целях технологического присоединения энергопринимающих устройств с применением временной схемы электроснабжения</t>
  </si>
  <si>
    <t>Строительство одноцепной ВЛ-0,4 кВ на железобетонных опорах с применением самонесущего изолированного провода СИП-4 площадью поперечного сечения 4х50 мм2</t>
  </si>
  <si>
    <t>Строительство одноцепной ВЛ-0,4 кВ на железобетонных опорах с применением самонесущего изолированного провода СИП-4 площадью поперечного сечения 4х70 мм2</t>
  </si>
  <si>
    <t>Строительство одноцепной ВЛ-0,4 кВ на железобетонных опорах с применением самонесущего изолированного провода СИП-4 площадью поперечного сечения 4х95 мм2</t>
  </si>
  <si>
    <t>Строительство одноцепной ВЛ 6-15 кВ на железобетонных опорах с применением голого провода  площадью поперечного сечения 50 мм2</t>
  </si>
  <si>
    <t>Строительство одноцепной ВЛ 6-15 кВ на железобетонных опорах с применением голого провода площадью поперечного сечения 70 мм2</t>
  </si>
  <si>
    <t>Строительство одноцепной ВЛ 6-15 кВ на железобетонных опорах с применением голого провода площадью поперечного сечения 95 мм2</t>
  </si>
  <si>
    <t>Строительство одноцепной ВЛ 6-15 кВ на железобетонных опорах с применением самонесущего изолированного провода СИП-3 площадью поперечного сечения 3х50 мм2</t>
  </si>
  <si>
    <t>Строительство одноцепной ВЛ 6-15 кВ на железобетонных опорах с применением самонесущего изолированного провода СИП-3 площадью поперечного сечения 3х70 мм2</t>
  </si>
  <si>
    <t>Строительство одноцепной ВЛ 6-15 кВ на железобетонных опорах с применением самонесущего изолированного провода СИП-3 площадью поперечного сечения 3х95 мм2</t>
  </si>
  <si>
    <t>Строительство КЛ-0,4 кВ кабелем марки АПвБбШв-1 с площадью поперечного сечения 4x50 мм2</t>
  </si>
  <si>
    <t>Строительство КЛ-0,4 кВ кабелем марки АПвБбШв-1 с площадью поперечного сечения 4x70 мм2</t>
  </si>
  <si>
    <t>Строительство КЛ-0,4 кВ кабелем марки АПвБбШв-1 с площадью поперечного сечения 4x95 мм2</t>
  </si>
  <si>
    <t>Строительство КЛ-0,4 кВ кабелем  марки АПвБбШв-1 с площадью поперечного сечения 4x120 мм2</t>
  </si>
  <si>
    <t>Строительство КЛ-0,4 кВ кабелем  марки АПвБбШв-1 с площадью поперечного сечения 4x150 мм2</t>
  </si>
  <si>
    <t>Строительство КЛ-0,4 кВ кабелем  марки АПвБбШв-1 с площадью поперечного сечения 4x185 мм2</t>
  </si>
  <si>
    <t>Строительство КЛ-0,4 кВ кабелем  марки АПвБбШв-1 с площадью поперечного сечения 4x240 мм2</t>
  </si>
  <si>
    <t xml:space="preserve">Строительство КЛ 6-15 кВ кабелем марки XRUHAXS с площадью поперечного сечения 3 (1x50) мм2 </t>
  </si>
  <si>
    <t>Строительство КЛ 6-15 кВ кабелем марки XRUHAXS с площадью поперечного сечения 3 (1x70) мм2</t>
  </si>
  <si>
    <t>Строительство КЛ 6-15 кВ кабелем марки XRUHAXS с площадью поперечного сечения 3 (1x95) мм2</t>
  </si>
  <si>
    <t>Строительство КЛ 6-15 кВ кабелем марки XRUHAXS с площадью поперечного сечения 3 (1x120) мм2</t>
  </si>
  <si>
    <t>Строительство КЛ 6-15 кВ кабелем марки XRUHAXS с площадью поперечного сечения 3 (1x150) мм2</t>
  </si>
  <si>
    <t>Строительство КЛ 6-15 кВ кабелем марки XRUHAXS с площадью поперечного сечения 3 (1x185) мм2</t>
  </si>
  <si>
    <t>Строительство КЛ 6-15 кВ кабелем марки XRUHAXS с площадью поперечного сечения 3 (1x240) мм2</t>
  </si>
  <si>
    <t xml:space="preserve">Р = (С1 * Ni) + (С2*Lвлi * Zизм.ст) + (С3*Lклi * Zизм.ст) + (С4 * Ni * Zизм.ст)  </t>
  </si>
  <si>
    <t>Zизм.ст. - индекс изменения сметной стоимости строительно-монтажных работ для Калининградской области на квартал, предшествующий кварталу, в котором заключается договор на технологическое присоединение, данные по котрым используются для расчета стоимости строительства воздушных ВЛ и (или) кабельных КЛ линий электропередачи, трансформаторных подстанций ТП (распределительных пунктов РП),  к федеральным единичным расценкам 2001года, рекомендуемый Министерством регионального развития Российской Федерации.</t>
  </si>
  <si>
    <t xml:space="preserve">Приложение № 6
к приказу Службы по государственному
регулированию цен и тарифов
Калининградской области
от 08 апреля 2014 года № 28-01тпэ/14
</t>
  </si>
  <si>
    <t>Стандартизированная тарифная ставка (ставка платы) определена в ценах периода регулирования и не распространяется на заявителей, для которых плата за технологическое присоединение к электрическим сетям установлена пунктом 1 данного приказа.</t>
  </si>
  <si>
    <t>СТАНДАРТИЗИРОВАННЫЕ ТАРИФНЫЕ СТАВКИ</t>
  </si>
  <si>
    <t xml:space="preserve"> для расчета платы за технологическое присоединение к электрическим сетям, исходя из стандартизированных тарифных ставок и способа технологического присоединения</t>
  </si>
  <si>
    <t>ФОРМУЛЫ</t>
  </si>
  <si>
    <r>
      <t>Р = (С1 * Ni) + (С2*Lвл</t>
    </r>
    <r>
      <rPr>
        <vertAlign val="subscript"/>
        <sz val="11"/>
        <color indexed="8"/>
        <rFont val="Times New Roman"/>
        <family val="1"/>
      </rPr>
      <t>i</t>
    </r>
    <r>
      <rPr>
        <sz val="11"/>
        <color indexed="8"/>
        <rFont val="Times New Roman"/>
        <family val="1"/>
      </rPr>
      <t xml:space="preserve"> * Zизм.ст) + (С3*Lклi * Zизм.ст)  </t>
    </r>
  </si>
  <si>
    <t>**) - Данные расходы не учитываются при установлении платы за технологическое присоединение для 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заявителей - юридических лиц или индивидуальных предпринимателей в целях технологического присоединения по одному источнику электроснабжения энергопринимающих устройств, максимальная мощность которых состаляет до 150 кВт включительно (с учетом ранее присоединенной в данной точке присоединения мощности);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заявителей - юридических лиц и индивидуальных предпринимателей, Максимальная мощность которых составляет свыше 150 кВт и менее 670 кВт, в случае осуществления технологического присоединения энергопринимающих устройств по третьей категории надежности (по одному источнику электроснабжения) к электрическим сетям классом напряжения до 10 кВ включительно (с учетом ранее присоединенной в данной точке присоединения мощности);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заявителей в целях временного технологического присоединения (на срок не более 6 месяцев) по третьей категории надежности электроснабжения, принадлежащих ему энергопринимающих устройств, а также для обеспечения электрической энергией передвижных энергопринимающих устройств с максимальной мощностью до 150 кВт включительно (с учетом ранее присоединенной в данной точке присоединения мощности);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заявителей - физических лиц в целях технологического присоеджинения энергопринимающих устройств, максимальная мощность которых составляет до 15 кВт включительно (с учетом ранее присоединенной в данной точке присоединения мощности), которые используются для бытовых и иных нужд, не связанных с осуществлением предпринимательской деятельности, и электроснабжение которых предусматривается по одному источнику.</t>
  </si>
  <si>
    <t>Строительство КЛ-0,4 кВ кабелем  марки АПвБбШв-1 с площадью поперечного сечения 4x95 мм2 в траншее с покрытием плиткой, в условиях городской и промышленной застройки, затратами на специальные переходы через автомобильные дороги, протаскивание трубы с восстановлением дорожного покрытия (2 прокола)</t>
  </si>
  <si>
    <t>3.1.23.</t>
  </si>
  <si>
    <t>Строительство КЛ-0,4 кВ кабелем  марки АПвБбШв-1 с площадью поперечного сечения 4x95 мм2 в траншее с покрытием плиткой, в условиях городской и промышленной застройки, затратами на специальный переход через автомобильную дорогу, протаскивание трубы с восстановлением дорожного покрытия (1 прокол)</t>
  </si>
  <si>
    <t>3.1.22.</t>
  </si>
  <si>
    <t>Строительство КЛ-0,4 кВ кабелем марки АПвБбШв-1 с площадью поперечного сечения 4x95 мм2 в траншее с покрытием плиткой, в охранной зоне, в условиях городской и промышленной застройки с восстановлением дорожного покрытия</t>
  </si>
  <si>
    <t>3.1.21.</t>
  </si>
  <si>
    <t>Строительство КЛ-0,4 кВ кабелем марки АПвБбШв-1 с площадью поперечного сечения 4x95 мм2 в траншее с покрытием плиткой в нормальных условиях с восстановленим дорожного покрытия</t>
  </si>
  <si>
    <t>3.1.20.</t>
  </si>
  <si>
    <t>Строительство КЛ-0,4 кВ кабелем марки АПвБбШв-1 с площадью поперечного сечения 4x95 мм2 в траншее с покрытием плиткой в нормальных условиях без восстановления дорожного покрытия</t>
  </si>
  <si>
    <t>3.1.19.</t>
  </si>
  <si>
    <t>Строительство КЛ-0,4 кВ кабелем  марки АПвБбШв-1 с площадью поперечного сечения 4x70 мм2 в траншее с покрытием плиткой, в условиях городской и промышленной застройки, затратами на специальные переходы через автомобильные дороги, протаскивание трубы с восстановлением дорожного покрытия (3 прокола)</t>
  </si>
  <si>
    <t>3.1.18.</t>
  </si>
  <si>
    <t>Строительство КЛ-0,4 кВ кабелем  марки АПвБбШв-1 с площадью поперечного сечения 4x70 мм2 в траншее с покрытием плиткой, в условиях городской и промышленной застройки, затратами на специальные переходы через автомобильные дороги, протаскивание трубы с восстановлением дорожного покрытия (2 прокола)</t>
  </si>
  <si>
    <t>3.1.17.</t>
  </si>
  <si>
    <t>Строительство КЛ-0,4 кВ кабелем  марки АПвБбШв-1 с площадью поперечного сечения 4x70 мм2 в траншее с покрытием плиткой, в условиях городской и промышленной застройки, затратами на специальный переход через автомобильную дорогу, протаскивание трубы с восстановлением дорожного покрытия (1 прокол)</t>
  </si>
  <si>
    <t>3.1.16.</t>
  </si>
  <si>
    <t>Строительство КЛ-0,4 кВ кабелем марки АПвБбШв-1 с площадью поперечного сечения 4x70 мм2 в траншее с покрытием плиткой, в охранной зоне, в условиях городской и промышленной застройки с восстановлением дорожного покрытия</t>
  </si>
  <si>
    <t>3.1.15.</t>
  </si>
  <si>
    <t>Строительство КЛ-0,4 кВ кабелем марки АПвБбШв-1 с площадью поперечного сечения 4x70 мм2 в траншее с покрытием плиткой в нормальных условиях с восстановленим дорожного покрытия</t>
  </si>
  <si>
    <t>3.1.14.</t>
  </si>
  <si>
    <t>Строительство КЛ-0,4 кВ кабелем марки АПвБбШв-1 с площадью поперечного сечения 4x70 мм2 в траншее с покрытием плиткой в нормальных условиях без восстановления дорожного покрытия</t>
  </si>
  <si>
    <t>3.1.13.</t>
  </si>
  <si>
    <t>Строительство КЛ-0,4 кВ кабелем  марки АПвБбШв-1 с площадью поперечного сечения 4x50 мм2 в траншее с покрытием плиткой, в условиях городской и промышленной застройки, затратами на специальные переходы через автомобильные дороги дороги, протаскивание трубы с восстановлением дорожного покрытия (3 прокола)</t>
  </si>
  <si>
    <t>3.1.12.</t>
  </si>
  <si>
    <t>Строительство КЛ-0,4 кВ кабелем  марки АПвБбШв-1 с площадью поперечного сечения 4x50 мм2 в траншее с покрытием плиткой, в условиях городской и промышленной застройки, затратами на специальные переходы через автомобильные дороги дороги, протаскиваниt трубы с восстановлением дорожного покрытия (2 прокола)</t>
  </si>
  <si>
    <t>3.1.11.</t>
  </si>
  <si>
    <t>Строительство КЛ-0,4 кВ кабелем  марки АПвБбШв-1 с площадью поперечного сечения 4x50 мм2 в траншее с покрытием плиткой, в условиях городской и промышленной застройки, затратами на специальный переход через автомобильную дорогу дороги, протаскивание трубы с восстановлением дорожного покрытия (1 прокол)</t>
  </si>
  <si>
    <t>3.1.10.</t>
  </si>
  <si>
    <t>Строительство КЛ-0,4 кВ кабелеммарки АПвБбШв-1 с площадью поперечного сечения 4x50 мм2 в траншее с покрытием плиткой, в охранной зоне, в условиях городской и промышленной застройки с восстановлением дорожного покрытия</t>
  </si>
  <si>
    <t>3.1.9.</t>
  </si>
  <si>
    <t>Строительство КЛ-0,4 кВ кабелем марки АПвБбШв-1 с площадью поперечного сечения 4x50 мм2 в траншее с покрытием плиткой в нормальных условиях с восстановленим дорожного покрытия</t>
  </si>
  <si>
    <t>3.1.8.</t>
  </si>
  <si>
    <t>Строительство КЛ-0,4 кВ кабелем марки АПвБбШв-1 с площадью поперечного сечения 4x50 мм2 в траншее с покрытием плиткой в нормальных условиях без восстановления дорожного покрытия</t>
  </si>
  <si>
    <t>3.1.7.</t>
  </si>
  <si>
    <t>Строительство КЛ-0,4 кВ кабелем  марки АПвБбШв-1 с площадью поперечного сечения 4x35 мм2 в траншее с покрытием плиткой, в условиях городской и промышленной застройки, затратами на специальные переходы через автомобидьные дороги, протаскивание трубы с восстановлением дорожного покрытия (3 прокола)</t>
  </si>
  <si>
    <t>3.1.6.</t>
  </si>
  <si>
    <t>Строительство КЛ-0,4 кВ кабелем  марки АПвБбШв-1 с площадью поперечного сечения 4x35 мм2 в траншее с покрытием плиткой, в условиях городской и промышленной застройки, затратами на специальные переходы через автомобидьные дороги, протаскивание трубы с восстановлением дорожного покрытия (2 прокола)</t>
  </si>
  <si>
    <t>3.1.5.</t>
  </si>
  <si>
    <t>Строительство КЛ-0,4 кВ кабелем  марки АПвБбШв-1 с площадью поперечного сечения 4x35 мм2 в траншее с покрытием плиткой, в условиях городской и промышленной застройки, затратами на специальный переход через автомобидьную дорогу, протаскивание трубы с восстановлением дорожного покрытия (1 прокол)</t>
  </si>
  <si>
    <t>3.1.4.</t>
  </si>
  <si>
    <t>Строительство КЛ-0,4 кВ кабелеммарки АПвБбШв-1 с площадью поперечного сечения 4x35 мм2 в траншее с покрытием плиткой, в охранной зоне, в условиях городской и промышленной застройки с восстановлением дорожного покрытия</t>
  </si>
  <si>
    <t>3.1.3.</t>
  </si>
  <si>
    <t>Строительство КЛ-0,4 кВ кабелем марки АПвБбШв-1 с площадью поперечного сечения 4x35 мм2 в траншее с покрытием плиткой в нормальных условиях с восстановленим дорожного покрытия</t>
  </si>
  <si>
    <t>3.1.2.</t>
  </si>
  <si>
    <t>Строительство КЛ-0,4 кВ кабелем марки АПвБбШв-1 с площадью поперечного сечения 4x35 мм2 в траншее с покрытием плиткой в нормальных условиях без восстановления дорожного покрытия</t>
  </si>
  <si>
    <t>3.1.1.</t>
  </si>
  <si>
    <t>Уровень напряжения НН  (0,4 кВ и ниже)</t>
  </si>
  <si>
    <t>3.1.</t>
  </si>
  <si>
    <t xml:space="preserve">руб./км (без НДС) (в ценах 2001г без НДС)   </t>
  </si>
  <si>
    <t>два кабеля в траншее</t>
  </si>
  <si>
    <t>один кабель в траншее</t>
  </si>
  <si>
    <t xml:space="preserve">Приказ от 28.12.2012 № 87 </t>
  </si>
  <si>
    <t xml:space="preserve">Приказ от 26.12.2012 № 69-э             </t>
  </si>
  <si>
    <t>ОАО "Кубаньэнерго"</t>
  </si>
  <si>
    <t xml:space="preserve">ОАО "МРСК Северо-Запада" "Псковэнерго"    </t>
  </si>
  <si>
    <t xml:space="preserve">Стандартизированная ставка (С3)                        (в ценах 2001 года в ФЭР)      </t>
  </si>
  <si>
    <t>Стандартизированная ставка (С3),                        (в ценах 2001 года)</t>
  </si>
  <si>
    <t>Сечение КЛ, мм2</t>
  </si>
  <si>
    <t>Тип кабеля</t>
  </si>
  <si>
    <t>C3 - стандартизированная тарифная ставка на покрытие расходов сетевой организации на строительство кабельных линий электропередачи на i-ом уровне напряжения в расчете на 1 км линий</t>
  </si>
  <si>
    <t>Количество линий,              шт</t>
  </si>
  <si>
    <t xml:space="preserve">Приложение № 3
к приказу Службы по государственному
регулированию цен и тарифов
Калининградской области
от ……………№ ……
</t>
  </si>
  <si>
    <t>1. Cos       = 0,89</t>
  </si>
  <si>
    <t>6-15/0,4</t>
  </si>
  <si>
    <t>Распределительный пункт</t>
  </si>
  <si>
    <t>4.22.</t>
  </si>
  <si>
    <t>2 х 1000</t>
  </si>
  <si>
    <t>Блочного типа</t>
  </si>
  <si>
    <t>БКТП</t>
  </si>
  <si>
    <t xml:space="preserve">Строительство БКТП с двумя трансформаторами (ТМГ) 1000 кВА на номинальное напряжение 6-15/0,4 кВ </t>
  </si>
  <si>
    <t>4.21.</t>
  </si>
  <si>
    <t>2 х 630</t>
  </si>
  <si>
    <t xml:space="preserve">Строительство БКТП с двумя трансформаторами (ТМГ) 630 кВА на номинальное напряжение 6-15/0,4 кВ </t>
  </si>
  <si>
    <t>4.20.</t>
  </si>
  <si>
    <t>2 х 400</t>
  </si>
  <si>
    <t xml:space="preserve">Строительство БКТП с двумя трансформаторами (ТМГ) 400 кВА на номинальное напряжение 6-15/0,4 кВ </t>
  </si>
  <si>
    <t>4.19.</t>
  </si>
  <si>
    <t>2 х 250</t>
  </si>
  <si>
    <t xml:space="preserve">Строительство БКТП с двумя трансформаторами (ТМГ) 250 кВА на номинальное напряжение 6-15/0,4 кВ </t>
  </si>
  <si>
    <t>4.18.</t>
  </si>
  <si>
    <t>2 х 160</t>
  </si>
  <si>
    <t xml:space="preserve">Строительство БКТП с двумя трансформаторами (ТМГ) 160 кВА на номинальное напряжение 6-15/0,4 кВ </t>
  </si>
  <si>
    <t>4.17.</t>
  </si>
  <si>
    <t>2 х 100</t>
  </si>
  <si>
    <t xml:space="preserve">Строительство БКТП с двумя трансформаторами (ТМГ) 100 кВА на номинальное напряжение 6-15/0,4 кВ </t>
  </si>
  <si>
    <t>4.16.</t>
  </si>
  <si>
    <t>1 х 1000</t>
  </si>
  <si>
    <t xml:space="preserve">Строительство БКТП с трансформатором (ТМГ) 1000 кВА на номинальное напряжение 6-15/0,4 кВ </t>
  </si>
  <si>
    <t>4.14.</t>
  </si>
  <si>
    <t>1 х 630</t>
  </si>
  <si>
    <t xml:space="preserve">Строительство БКТП с трансформатором (ТМГ) 630 кВА на номинальное напряжение 6-15/0,4 кВ </t>
  </si>
  <si>
    <t>4.13.</t>
  </si>
  <si>
    <t>1 х 400</t>
  </si>
  <si>
    <t xml:space="preserve">Строительство БКТП с трансформатором (ТМГ) 400 кВА на номинальное напряжение 6-15/0,4 кВ </t>
  </si>
  <si>
    <t>4.12.</t>
  </si>
  <si>
    <t>1 х 250</t>
  </si>
  <si>
    <t xml:space="preserve">Строительство БКТП с трансформатором (ТМГ) 250 кВА на номинальное напряжение 6-15/0,4 кВ </t>
  </si>
  <si>
    <t>4.11.</t>
  </si>
  <si>
    <t>1 х 160</t>
  </si>
  <si>
    <t xml:space="preserve">Строительство БКТП с трансформатором (ТМГ) 160 кВА на номинальное напряжение 6-15/0,4 кВ </t>
  </si>
  <si>
    <t>4.10.</t>
  </si>
  <si>
    <t>1 х 100</t>
  </si>
  <si>
    <t xml:space="preserve">Строительство БКТП с трансформатором (ТМГ) 100 кВА на номинальное напряжение 6-15/0,4 кВ </t>
  </si>
  <si>
    <t>4.9.</t>
  </si>
  <si>
    <t>1 х 63</t>
  </si>
  <si>
    <t>Мачтового типа</t>
  </si>
  <si>
    <t>МТП</t>
  </si>
  <si>
    <t xml:space="preserve">Строительство МТП с трансформатором (ТМГ) 250 кВА на номинальное напряжение 6-15/0,4 кВ </t>
  </si>
  <si>
    <t>4.7.</t>
  </si>
  <si>
    <t xml:space="preserve">Строительство МТП с трансформатором (ТМГ) 160 кВА на номинальное напряжение 6-15/0,4 кВ </t>
  </si>
  <si>
    <t>4.6.</t>
  </si>
  <si>
    <t>4.5.</t>
  </si>
  <si>
    <t>Столбового типа</t>
  </si>
  <si>
    <t>СТП</t>
  </si>
  <si>
    <t xml:space="preserve">Строительство СТП с трансформатором (ТМГ) 63 кВА на номинальное напряжение 6-15/0,4 кВ </t>
  </si>
  <si>
    <t>4.4.</t>
  </si>
  <si>
    <t>1 х 40</t>
  </si>
  <si>
    <t xml:space="preserve">Строительство СТП с трансформатором (ТМГ) 40 кВА на номинальное напряжение 6-15/0,4 кВ </t>
  </si>
  <si>
    <t>4.3.</t>
  </si>
  <si>
    <t>1 х 25</t>
  </si>
  <si>
    <t xml:space="preserve">Строительство СТП с трансформатором (ТМГ) 25 кВА на номинальное напряжение 6-15/0,4 кВ </t>
  </si>
  <si>
    <t>4.2.</t>
  </si>
  <si>
    <t>руб./кВт                                     (без НДС)</t>
  </si>
  <si>
    <t xml:space="preserve">Справочно:                   Расходы на строительство                                 (в ценах 3 квартала 2013 года в ФЭР)             </t>
  </si>
  <si>
    <t xml:space="preserve">Справочно:                   Расходы на строительство                                 (в ценах 3 квартала 2013 года в ТЭР)             </t>
  </si>
  <si>
    <t xml:space="preserve">Расходы на строительство                                 (в ценах 2001года в ФЭР)             </t>
  </si>
  <si>
    <t xml:space="preserve">Стандартизированная ставка (С4),                        (в ценах 3 квартала 2013 года в ФЭР)             </t>
  </si>
  <si>
    <t>Максимальная мощность, кВт</t>
  </si>
  <si>
    <t>Мощность трансформатора, кВА</t>
  </si>
  <si>
    <t>Конструктивное исполнение</t>
  </si>
  <si>
    <t>Тип</t>
  </si>
  <si>
    <t xml:space="preserve">Наименование </t>
  </si>
  <si>
    <t>Обозначение</t>
  </si>
  <si>
    <t>Ед.измерения</t>
  </si>
  <si>
    <t>Объем максимальной мощности, указанной заявителем в заявке на технологическое присоединение,кВт</t>
  </si>
  <si>
    <t xml:space="preserve">менее 8900 кВт </t>
  </si>
  <si>
    <t>за исключением присоединения энергопринимающих устройств :</t>
  </si>
  <si>
    <t>с учетом присоединения энергопринимающих устройств :</t>
  </si>
  <si>
    <t xml:space="preserve">  - максимальной мощностью до 150 кВт включительно, в случае осуществления временного технологического присоединения энергопринимающих устройств  (осуществляемого на ограниченный период времени) по третьей категории надежности (по одному источнику электроснабжения)  </t>
  </si>
  <si>
    <t>Уровень напряжения НН                                       (0,4 кВ и ниже)</t>
  </si>
  <si>
    <t>С1</t>
  </si>
  <si>
    <t>руб./кВт</t>
  </si>
  <si>
    <t xml:space="preserve">Подготовка и выдача сетевой организацией технических условий Заявителю (ТУ) </t>
  </si>
  <si>
    <t>С1.1.</t>
  </si>
  <si>
    <t xml:space="preserve">Проверка сетевой организацией выполнения Заявителем ТУ </t>
  </si>
  <si>
    <t>C1.2.</t>
  </si>
  <si>
    <t>C1.3.</t>
  </si>
  <si>
    <t>Фактические действия по присоединению и обеспечению работы Устройств в электрической сети</t>
  </si>
  <si>
    <t>C1.4.</t>
  </si>
  <si>
    <t>Уровень напряжения СН                                             (6-15 кВ включительно)</t>
  </si>
  <si>
    <t>Уровень напряжения СН                                            (6-15 кВ включительно)</t>
  </si>
  <si>
    <t xml:space="preserve">Примечание: </t>
  </si>
  <si>
    <t xml:space="preserve">Стандартизированные тарифные ставки для определения платы за технологическое присоединение к электрическим сетям ОАО "Янтарьэнерго" </t>
  </si>
  <si>
    <t>С-2 - стандартизированная тарифная ставка на покрытие расходов сетевой организации на строительство воздушных линий электропередачи на i-ом уровне напряжения в расчете на 1 км линий</t>
  </si>
  <si>
    <t>№ п.п.</t>
  </si>
  <si>
    <t>Наименование мероприятия</t>
  </si>
  <si>
    <t>Вид опор</t>
  </si>
  <si>
    <t>Марка провода</t>
  </si>
  <si>
    <t>Сечение провода, мм2</t>
  </si>
  <si>
    <t>Коли-чество цепей,              шт</t>
  </si>
  <si>
    <t>Уровень напряжения, кВ</t>
  </si>
  <si>
    <t xml:space="preserve">Расходы на строительство                                 (в ценах 2001года в ТЭР)             </t>
  </si>
  <si>
    <t>Прочие работы и затраты</t>
  </si>
  <si>
    <t>Стандартизированная ставка (С2),                        (в ценах 2001 года в ТЭР)</t>
  </si>
  <si>
    <t xml:space="preserve">Стандартизированная ставка (С2)                        (в ценах 2001 года в ФЭР)      </t>
  </si>
  <si>
    <t xml:space="preserve">Справочно:                 Расходы на строительство                      (в ценах 3 квартала 2013 года в ТЭР)      </t>
  </si>
  <si>
    <t xml:space="preserve">Справочно:                 Расходы на строительство                      (в ценах 3 квартала 2013 года в ФЭР)      </t>
  </si>
  <si>
    <t xml:space="preserve">ОАО "МРСК Северо-Запада" "Псковэнерго"                                      </t>
  </si>
  <si>
    <t>ОАО "МРСК Северо-Запада" "Новгородэнерго"</t>
  </si>
  <si>
    <t>ОАО "МРСК Северо-Запада" Республика Коми</t>
  </si>
  <si>
    <t>ОАО "МРСК Северо-Запада" "Колэнерго"</t>
  </si>
  <si>
    <t xml:space="preserve">ОАО "МРСК Северо-Запада" "Карелэнерго"  </t>
  </si>
  <si>
    <t xml:space="preserve">ОАО "МРСК Северо-Запада" "Архэнерго"  </t>
  </si>
  <si>
    <t xml:space="preserve">ОАО "МРСК Центра и приволжья" "Владимирэнерго"                                                    </t>
  </si>
  <si>
    <t xml:space="preserve">ОАО "МРСК Центра и приволжья" "Калугаэнерго"                                                        </t>
  </si>
  <si>
    <t xml:space="preserve">ОАО "МРСК Центра и приволжья" "Нижновэнерго"                                                        </t>
  </si>
  <si>
    <t xml:space="preserve">ГСН 81-05-01-2001 "Сборник сметных норм затрат на строительство временных зданий и сооружений" </t>
  </si>
  <si>
    <t xml:space="preserve">ГСН 81-05-02-2007 "Сборник сметных норм дополнительных затрат при производстве строительно - монтажных работ в зимнее время"                                                          </t>
  </si>
  <si>
    <t xml:space="preserve">МДС 81-35-2004 (в ред.Приказа Минрегиона России от 01.06.2012 № 220)  "Методика определения стоимости строительной продукции на территории РФ"  </t>
  </si>
  <si>
    <t xml:space="preserve">Постановление администрации Калининградской области от 23.05.2005 № 285 "Об утверждении Порядка определения стоимости строительства, осуществляемого на территории Калининградской области за счет бюджетных источников финансирования и внебюджетных средств" </t>
  </si>
  <si>
    <t>МДС 81-35-2004 (в ред.Приказа Минрегиона России от 01.06.2012 № 220) "Методика определения стоимости строительной продукции на территории РФ"</t>
  </si>
  <si>
    <t>Постановление Правительства РФ от 21.06.2010 № 468 "О порядке проведения строительного контроля при осуществлении строительства, реконструкции и капитального ремонта объектов капитального строительства"</t>
  </si>
  <si>
    <t xml:space="preserve">МДС 81-35-2004 (в ред.Приказа Минрегиона России от 01.06.2012 № 220) "Методика определения стоимости строительной продукции на территории РФ" </t>
  </si>
  <si>
    <t>Временные здания и сооружения (приложение 1 пункт 2.7.)</t>
  </si>
  <si>
    <t xml:space="preserve">Затраты на производство работ в зимнее время таблица 4, пункт 2.6. - 0,4%; приложение 1, пункт 39 - 1,2; пункт 9 - 1,05  0,4%*1,2*1,05            </t>
  </si>
  <si>
    <t xml:space="preserve">Средства на покрытие затрат строительных организаций по добровольному страхованию работников и имущества, в том числе строительных рисков (приложение 8 пункт 9.9.) </t>
  </si>
  <si>
    <t>Затраты по перевозке автомобильным транспортом работников строительно-монтажных организаций (пункт 12)</t>
  </si>
  <si>
    <t>Затраты, связанные с оплатой услуг РЦЦС (пункт 12)</t>
  </si>
  <si>
    <t xml:space="preserve">Авторский надзор проектных организаций  (МДС 81-35-2004 пункт 4.91. (0,2%) ; ПИР, стоимость обоснования инвестиций, стоимость работ по выбору площадки и согласованию проекта                 </t>
  </si>
  <si>
    <t>Средства на строительный контроль при осуществлении строительства</t>
  </si>
  <si>
    <t>Резерв средств на непредвиденные работы и затраты (пункт 4.96.)</t>
  </si>
  <si>
    <t xml:space="preserve">Приказ от 26.12.2012 № 69-э                        </t>
  </si>
  <si>
    <t xml:space="preserve">Приказ от 28.12.2012 № 87              </t>
  </si>
  <si>
    <t xml:space="preserve">Приказ от 28.12.2012 № 114/30  </t>
  </si>
  <si>
    <t xml:space="preserve">Приказ от 26.12.2012 № 64/14             </t>
  </si>
  <si>
    <t xml:space="preserve">Приказ от 28.12.2012 № 290                       </t>
  </si>
  <si>
    <t xml:space="preserve">Приказ от 26.12.2012 № 99-э/2            </t>
  </si>
  <si>
    <t>предложение на 2014 год</t>
  </si>
  <si>
    <t>в одноцепном исполнении</t>
  </si>
  <si>
    <t>в двуцепном исполнении</t>
  </si>
  <si>
    <t>руб. (без НДС)</t>
  </si>
  <si>
    <t>руб./км (без НДС)</t>
  </si>
  <si>
    <t xml:space="preserve">руб./км (в ценах 2001г без НДС)   </t>
  </si>
  <si>
    <t>2.1.</t>
  </si>
  <si>
    <t>Уровень напряжения  НН  (0,4 кВ и ниже)</t>
  </si>
  <si>
    <t>2.1.1.</t>
  </si>
  <si>
    <t>Строительство одноцепной ВЛ-0,4 кВ на железобетонных опорах с применением самонесущего изолированного провода СИП-4 площадью поперечного сечения 4х50 мм2 в нормальных условиях</t>
  </si>
  <si>
    <t>железо-бетонные</t>
  </si>
  <si>
    <t>СИП-4</t>
  </si>
  <si>
    <t>2.1.2.</t>
  </si>
  <si>
    <t xml:space="preserve">Строительство одноцепной ВЛ-0,4 кВ на железобетонных опорах с применением самонесущего изолированного провода СИП-4 площадью поперечного сечения 4х50 мм2 в охранной зоне воздушных линий, в условиях городской и промышленной застройки </t>
  </si>
  <si>
    <t>2.1.3.</t>
  </si>
  <si>
    <t xml:space="preserve">Строительство одноцепной ВЛ-0,4 кВ на железобетонных опорах с применением самонесущего изолированного провода СИП-4 площадью поперечного сечения 4х50 мм2 в нормальных условиях с подготовкой просеки </t>
  </si>
  <si>
    <t>2.1.4.</t>
  </si>
  <si>
    <t>Строительство одноцепной ВЛ-0,4 кВ на железобетонных опорах с применением самонесущего изолированного провода СИП-4 площадью поперечного сечения 4х70 мм2 в нормальных условиях</t>
  </si>
  <si>
    <t>2.1.5.</t>
  </si>
  <si>
    <t xml:space="preserve">Строительство одноцепной ВЛ-0,4 кВ на железобетонных опорах с применением самонесущего изолированного провода СИП-4 площадью поперечного сечения 4х70 мм2 в охранной зоне воздушных линий, в условиях городской и промышленной застройки </t>
  </si>
  <si>
    <t>2.1.6.</t>
  </si>
  <si>
    <t xml:space="preserve">Строительство одноцепной ВЛ-0,4 кВ на железобетонных опорах с применением самонесущего изолированного провода СИП-4 площадью поперечного сечения 4х70 мм2 в нормальных условиях с подготовкой просеки </t>
  </si>
  <si>
    <t>2.1.7.</t>
  </si>
  <si>
    <t>Строительство одноцепной ВЛ-0,4 кВ на железобетонных опорах с применением самонесущего изолированного провода СИП-4 площадью поперечного сечения 4х95 мм2 в нормальных условиях</t>
  </si>
  <si>
    <t>2.1.8.</t>
  </si>
  <si>
    <t xml:space="preserve">Строительство одноцепной ВЛ-0,4 кВ на железобетонных опорах с применением самонесущего изолированного провода СИП-4 площадью поперечного сечения 4х95 мм2 в охранной зоне воздушных линий, в условиях городской и промышленной застройки </t>
  </si>
  <si>
    <t>2.1.9.</t>
  </si>
  <si>
    <t xml:space="preserve">Строительство одноцепной ВЛ-0,4 кВ на железобетонных опорах с применением самонесущего изолированного провода СИП-4 площадью поперечного сечения 4х95 мм2 в нормальных условиях с подготовкой просеки </t>
  </si>
  <si>
    <t>2.2.</t>
  </si>
  <si>
    <t>Уровень напряжения СН2  (6 - 15 кВ)</t>
  </si>
  <si>
    <t>2.2.1.</t>
  </si>
  <si>
    <t>Строительство одноцепной ВЛ 6-15 кВ на железобетонных опорах с применением голого провода  площадью поперечного сечения 50 мм2 в нормальных условиях</t>
  </si>
  <si>
    <t>АС</t>
  </si>
  <si>
    <t>6 - 15</t>
  </si>
  <si>
    <t>2.2.2.</t>
  </si>
  <si>
    <t xml:space="preserve">Строительство одноцепной ВЛ 6-15 кВ на железобетонных опорах с применением голого провода площадью поперечного сечения 50 мм2 в охранной зоне воздушных линий, в условиях городской и промышленной застройки </t>
  </si>
  <si>
    <t>2.2.3.</t>
  </si>
  <si>
    <t xml:space="preserve">Строительство одноцепной ВЛ 6-15 кВ на железобетонных опорах с применением годого провода АС площадью поперечного сечения 50 мм2 в нормальных условиях с подготовкой просеки </t>
  </si>
  <si>
    <t>2.2.4.</t>
  </si>
  <si>
    <t xml:space="preserve">Строительство одноцепной ВЛ 6-15 кВ на железобетонных опорах с применением голого провода площадью поперечного сечения 70 мм2 в нормальных условиях </t>
  </si>
  <si>
    <t>2.2.5.</t>
  </si>
  <si>
    <t xml:space="preserve">Строительство одноцепной ВЛ 6-15 кВ на железобетонных опорах с применением голого провода площадью поперечного сечения 70 мм2 в охранной зоне воздушных линий, в условиях городской и промышленной застройки </t>
  </si>
  <si>
    <t>2.2.6.</t>
  </si>
  <si>
    <t xml:space="preserve">Строительство одноцепной ВЛ 6-15 кВ на железобетонных опорах с применением годого провода АС площадью поперечного сечения до 70 мм2 в нормальных условиях с подготовкой просеки </t>
  </si>
  <si>
    <t>2.2.7.</t>
  </si>
  <si>
    <t>Строительство одноцепной ВЛ 6-15 кВ на железобетонных опорах с применением голого провода площадью поперечного сечения 95 мм2 в нормальных условиях</t>
  </si>
  <si>
    <t>2.2.8.</t>
  </si>
  <si>
    <t xml:space="preserve">Строительство одноцепной ВЛ 6-15 кВ на железобетонных опорах с применением голого провода площадью поперечного сечения 95 мм2 в охранной зоне воздушных линий, в условиях городской и промышленной застройки </t>
  </si>
  <si>
    <t>2.2.9.</t>
  </si>
  <si>
    <t>Строительство одноцепной ВЛ 6-15 кВ на железобетонных опорах с применением годого провода АС площадью поперечного сечения 95 мм2 в нормальных условиях с подготовкой просеки</t>
  </si>
  <si>
    <t>2.2.10.</t>
  </si>
  <si>
    <t>Строительство одноцепной ВЛ 6-15 кВ на железобетонных опорах с применением самонесущего изолированного провода СИП-3 площадью поперечного сечения 3х50 мм2 в нормальных условиях</t>
  </si>
  <si>
    <t xml:space="preserve">СИП-3 </t>
  </si>
  <si>
    <t>2.2.11.</t>
  </si>
  <si>
    <t xml:space="preserve">Строительство одноцепной ВЛ 6-15 кВ на железобетонных опорах с применением самонесущего изолированного провода СИП-3 площадью поперечного сечения 3х50 мм2 в охранной зоне воздушных линий, в условиях городской и промышленной застройки </t>
  </si>
  <si>
    <t>2.2.12.</t>
  </si>
  <si>
    <t xml:space="preserve">Строительство одноцепной ВЛ 6-15 кВ на железобетонных опорах с применением самонесущего изолированного провода СИП-3 площадью поперечного сечения 3х50 мм2 в нормальных условиях с подготовкой просеки </t>
  </si>
  <si>
    <t>2.2.13.</t>
  </si>
  <si>
    <t>Строительство одноцепной ВЛ 6-15 кВ на железобетонных опорах с применением самонесущего изолированного провода СИП-3 площадью поперечного сечения 3х70 мм2 в нормальных условиях</t>
  </si>
  <si>
    <t>2.2.14.</t>
  </si>
  <si>
    <t>СТАВКИ ПЛАТЫ</t>
  </si>
  <si>
    <t xml:space="preserve">Строительство одноцепной ВЛ 6-15 кВ на железобетонных опорах с применением самонесущего изолированного провода СИП-3 площадью поперечного сечения 3х70 мм2 в охранной зоне воздушных линий, в условиях городской и промышленной застройки </t>
  </si>
  <si>
    <t>2.2.15.</t>
  </si>
  <si>
    <t xml:space="preserve">Строительство одноцепной ВЛ 6-15 кВ на железобетонных опорах с применением самонесущего изолированного провода СИП-3 площадью поперечного сечения 3х70 мм2 в нормальных условиях с подготовкой просеки </t>
  </si>
  <si>
    <t>2.2.16.</t>
  </si>
  <si>
    <t>Строительство одноцепной ВЛ 6-15 кВ на железобетонных опорах с применением самонесущего изолированного провода СИП-3 площадью поперечного сечения 3х95 мм2 в нормальных условиях</t>
  </si>
  <si>
    <t>2.2.17.</t>
  </si>
  <si>
    <t xml:space="preserve">Строительство одноцепной ВЛ 6-15 кВ на железобетонных опорах с применением самонесущего изолированного провода СИП-3 площадью поперечного сечения 3х95 мм2 в охранной зоне воздушных линий, в условиях городской и промышленной застройки </t>
  </si>
  <si>
    <t>2.2.18.</t>
  </si>
  <si>
    <t xml:space="preserve">Строительство одноцепной ВЛ 6-15 кВ на железобетонных опорах с применением самонесущего изолированного провода СИП-3 площадью поперечного сечения 3х95 мм2 в нормальных условиях с подготовкой просеки </t>
  </si>
  <si>
    <t>Примечание:</t>
  </si>
  <si>
    <t>1. Расходы на строительство воздушных линий электропередачи определены на основании сборников ТЭР-2001 с применением переводного индекса в ФЭР-2001.</t>
  </si>
  <si>
    <t>2. Общая стоимость строительства воздушных линий электропередачи содержит стоимость по локальному сметному расчету, затраты на благоустройство, временные здания и сооружения, проектно - изыскательские работы, автоский надзор, прочие работы и затраты.</t>
  </si>
  <si>
    <t>3. Общая стоимость строительства воздушных линий электропередачи не содержит затраты на землеустроительные работы.</t>
  </si>
  <si>
    <t xml:space="preserve">Средства на покрытие затрат строительных организаций по добровольному страхованию работников и имущества, в том числе строительных рисков (приложение 8 пункт 9.9.)         </t>
  </si>
  <si>
    <t>Авторский надзор проектных организаций  (пункт 4.91.)</t>
  </si>
  <si>
    <t>Итого</t>
  </si>
  <si>
    <t>Начальник департамента тарифообразования</t>
  </si>
  <si>
    <t>И.В.Редько</t>
  </si>
  <si>
    <t>Справочно:</t>
  </si>
  <si>
    <t>Стандартизированная тарифная ставка на покрытие расходов на строительство воздушных линий электропередачи в расчете на 1 км линий  (уровень напряжения  НН  (0,4 кВ и ниже))</t>
  </si>
  <si>
    <t>Стандартизированная тарифная ставка на покрытие расходов на строительство воздушных линий электропередачи в расчете на 1 км линий  (уровень напряжения СН2  (6 - 15 кВ))</t>
  </si>
  <si>
    <t>Редько И.В.</t>
  </si>
  <si>
    <t xml:space="preserve">Приложение № 2
к приказу Службы по государственному
регулированию цен и тарифов
Калининградской области
от ……………№ ……
</t>
  </si>
  <si>
    <t>Стандартизированная тарифная ставка на покрытие расходов на строительство кабельных линий электропередачи в расчете на 1 км линий (уровень напряжения СН2  (6 - 15 кВ))</t>
  </si>
  <si>
    <t>Стандартизированная тарифная ставка на покрытие расходов на строительство кабельных линий электропередачи в расчете на 1 км линий  (уровень напряжения  НН  (0,4 кВ и ниже))</t>
  </si>
  <si>
    <t>XRUHAXS</t>
  </si>
  <si>
    <t>Строительство КЛ 6-15 кВ кабелем марки XRUHAXS с площадью поперечного сечения 3 (1x240) мм2 в траншее в условиях городской и промышленной застройки, затратами на специальные переходы через автомобильные дороги посредством протаскивания трубы с восстановлением дорожного покрытия (3 прокола)</t>
  </si>
  <si>
    <t>3.2.42.</t>
  </si>
  <si>
    <t>Строительство КЛ 6-15 кВ кабелем марки XRUHAXS с площадью поперечного сечения 3 (1x240) мм2 в траншее в условиях городской и промышленной застройки, затратами на специальные переходы через автомобильные дороги посредством протаскивания трубы с восстановлением дорожного покрытия (2 прокола)</t>
  </si>
  <si>
    <t>3.2.41.</t>
  </si>
  <si>
    <t>Строительство КЛ 6-15 кВ кабелем марки XRUHAXS с площадью поперечного сечения 3 (1x240) мм2 в траншее в условиях городской и промышленной застройки, затратами на специальный переход через автомобильную дорогу посредством протаскивания трубы с восстановлением дорожного покрытия (1 прокол)</t>
  </si>
  <si>
    <t>3.2.40.</t>
  </si>
  <si>
    <t>Строительство КЛ 6-15 кВ кабелем марки XRUHAXS с площадью поперечного сечения 3 (1x240) мм2 в траншее в охранной зоне, в условиях городской и промышленной застройки с восстановлением дорожного покрытия</t>
  </si>
  <si>
    <t>3.2.39.</t>
  </si>
  <si>
    <t>Строительство КЛ 6-15 кВ кабелем марки XRUHAXS с площадью поперечного сечения 3 (1x240) мм2 в траншее в нормальных условиях с восстановленим дорожного покрытия</t>
  </si>
  <si>
    <t>3.2.38.</t>
  </si>
  <si>
    <t>Строительство КЛ 6-15 кВ кабелем марки XRUHAXS с площадью поперечного сечения 3 (1x240) мм2 в траншее в нормальных условиях без восстановления дорожного покрытия</t>
  </si>
  <si>
    <t>3.2.37.</t>
  </si>
  <si>
    <t>Строительство КЛ 6-15 кВ кабелем марки XRUHAXS с площадью поперечного сечения 3 (1x185) мм2 в траншее в условиях городской и промышленной застройки, затратами на специальные переходы через автомобильные дороги посредством протаскивания трубы с восстановлением дорожного покрытия (3 прокола)</t>
  </si>
  <si>
    <t>3.2.36.</t>
  </si>
  <si>
    <t>Строительство КЛ 6-15 кВ кабелем марки XRUHAXS с площадью поперечного сечения 3 (1x185) мм2 в траншее в условиях городской и промышленной застройки, затратами на специальные переходы через автомобильные дороги посредством протаскивания трубы с восстановлением дорожного покрытия (2 прокола)</t>
  </si>
  <si>
    <t>3.2.35.</t>
  </si>
  <si>
    <t>Строительство КЛ 6-15 кВ кабелем марки XRUHAXS с площадью поперечного сечения 3 (1x185) мм2 в траншее в условиях городской и промышленной застройки, затратами на специальный переход через автомобильную дорогу посредством протаскивания трубы с восстановлением дорожного покрытия (1 прокол)</t>
  </si>
  <si>
    <t>3.2.34.</t>
  </si>
  <si>
    <t>Строительство КЛ 6-15 кВ кабелем марки XRUHAXS с площадью поперечного сечения 3 (1x185) мм2 в траншее в охранной зоне, в условиях городской и промышленной застройки с восстановлением дорожного покрытия</t>
  </si>
  <si>
    <t>3.2.33.</t>
  </si>
  <si>
    <t>Строительство КЛ 6-15 кВ кабелем марки XRUHAXS с площадью поперечного сечения 3 (1x185) мм2 в траншее в нормальных условиях с восстановленим дорожного покрытия</t>
  </si>
  <si>
    <t>3.2.32.</t>
  </si>
  <si>
    <t>Строительство КЛ 6-15 кВ кабелем марки XRUHAXS с площадью поперечного сечения 3 (1x185) мм2 в траншее в нормальных условиях без восстановления дорожного покрытия</t>
  </si>
  <si>
    <t>3.2.31.</t>
  </si>
  <si>
    <t>Строительство КЛ 6-15 кВ кабелем марки XRUHAXS с площадью поперечного сечения 3 (1x150) мм2 в траншее в условиях городской и промышленной застройки, затратами на специальные переходы через автомобильные дороги посредством протаскивания трубы с восстановлением дорожного покрытия (3 прокола)</t>
  </si>
  <si>
    <t>3.2.30.</t>
  </si>
  <si>
    <t>Строительство КЛ 6-15 кВ кабелем марки XRUHAXS с площадью поперечного сечения 3 (1x150) мм2 в траншее в условиях городской и промышленной застройки, затратами на специальные переходы через автомобильные дороги посредством протаскивания трубы с восстановлением дорожного покрытия (2 прокола)</t>
  </si>
  <si>
    <t>3.2.29.</t>
  </si>
  <si>
    <t>Строительство КЛ 6-15 кВ кабелем марки XRUHAXS с площадью поперечного сечения 3 (1x150) мм2 в траншее в условиях городской и промышленной застройки, затратами на специальный переход через автомобильную дорогу посредством протаскивания трубы с восстановлением дорожного покрытия (1 прокол)</t>
  </si>
  <si>
    <t>3.2.28.</t>
  </si>
  <si>
    <t>Строительство КЛ 6-15 кВ кабелем марки XRUHAXS с площадью поперечного сечения 3 (1x150) мм2 в траншее в охранной зоне, в условиях городской и промышленной застройки с восстановлением дорожного покрытия</t>
  </si>
  <si>
    <t>3.2.27.</t>
  </si>
  <si>
    <t>Строительство КЛ 6-15 кВ кабелем марки XRUHAXS с площадью поперечного сечения 3 (1x150) мм2 в траншее в нормальных условиях с восстановленим дорожного покрытия</t>
  </si>
  <si>
    <t>3.2.26.</t>
  </si>
  <si>
    <t>Строительство КЛ 6-15 кВ кабелем марки XRUHAXS с площадью поперечного сечения 3 (1x150) мм2 в траншее в нормальных условиях без восстановления дорожного покрытия</t>
  </si>
  <si>
    <t>3.2.25.</t>
  </si>
  <si>
    <t>Строительство КЛ 6-15 кВ кабелем марки XRUHAXS с площадью поперечного сечения 3 (1x120) мм2 в траншее в условиях городской и промышленной застройки, затратами на специальные переходы через автомобильные дороги посредством протаскивания трубы с восстановлением дорожного покрытия (3 прокола)</t>
  </si>
  <si>
    <t>3.2.24.</t>
  </si>
  <si>
    <t>Строительство КЛ 6-15 кВ кабелем марки XRUHAXS с площадью поперечного сечения 3 (1x120) мм2 в траншее в условиях городской и промышленной застройки, затратами на специальные переходы через автомобильные дороги посредством протаскивания трубы с восстановлением дорожного покрытия (2 прокола)</t>
  </si>
  <si>
    <t>3.2.23.</t>
  </si>
  <si>
    <t>Строительство КЛ 6-15 кВ кабелем марки XRUHAXS с площадью поперечного сечения 3 (1x120) мм2 в траншее в условиях городской и промышленной застройки, затратами на специальный переход через автомобильную дорогу посредством протаскивания трубы с восстановлением дорожного покрытия (1 прокол)</t>
  </si>
  <si>
    <t>3.2.22.</t>
  </si>
  <si>
    <t>Строительство КЛ 6-15 кВ кабелем марки XRUHAXS с площадью поперечного сечения 3 (1x120)  мм2 в траншее в охранной зоне, в условиях городской и промышленной застройки с восстановлением дорожного покрытия</t>
  </si>
  <si>
    <t>3.2.21.</t>
  </si>
  <si>
    <t>Строительство КЛ 6-15 кВ кабелем марки XRUHAXS с площадью поперечного сечения 3 (1x120) мм2 в траншее в нормальных условиях с восстановленим дорожного покрытия</t>
  </si>
  <si>
    <t>3.2.20.</t>
  </si>
  <si>
    <t>Строительство КЛ 6-15 кВ кабелем марки XRUHAXS с площадью поперечного сечения 3 (1x120) мм2 в траншее в нормальных условиях без восстановления дорожного покрытия</t>
  </si>
  <si>
    <t>3.2.19.</t>
  </si>
  <si>
    <t>Строительство КЛ 6-15 кВ кабелем марки XRUHAXS с площадью поперечного сечения 3 (1x95) мм2 в траншее в условиях городской и промышленной застройки, затратами на специальные переходы через автомобильные дороги посредством протаскивания трубы с восстановлением дорожного покрытия (3 прокола)</t>
  </si>
  <si>
    <t>3.2.18.</t>
  </si>
  <si>
    <t>Строительство КЛ 6-15 кВ кабелем марки XRUHAXS с площадью поперечного сечения 3 (1x95) мм2 в траншее в условиях городской и промышленной застройки, затратами на специальные переходы через автомобильные дороги посредством протаскивания трубы с восстановлением дорожного покрытия (2 прокола)</t>
  </si>
  <si>
    <t>3.2.17.</t>
  </si>
  <si>
    <t>Строительство КЛ 6-15 кВ кабелем марки XRUHAXS с площадью поперечного сечения 3 (1x95) мм2 в траншее в условиях городской и промышленной застройки, затратами на специальный переход через автомобильную дорогу посредством протаскивания трубы с восстановлением дорожного покрытия (1 прокол)</t>
  </si>
  <si>
    <t>3.2.16.</t>
  </si>
  <si>
    <t>Строительство КЛ 6-15 кВ кабелем марки XRUHAXS с площадью поперечного сечения 3 (1x95) мм2 в траншее в охранной зоне, в условиях городской и промышленной застройки с восстановлением дорожного покрытия</t>
  </si>
  <si>
    <t>3.2.15.</t>
  </si>
  <si>
    <t>Строительство КЛ 6-15 кВ кабелем марки XRUHAXS с площадью поперечного сечения 3 (1x95) мм2 в траншее в нормальных условиях с восстановленим дорожного покрытия</t>
  </si>
  <si>
    <t>3.2.14.</t>
  </si>
  <si>
    <t>Строительство КЛ 6-15 кВ кабелем марки XRUHAXS с площадью поперечного сечения 3 (1x95) мм2 в траншее в нормальных условиях без восстановления дорожного покрытия</t>
  </si>
  <si>
    <t>3.2.13.</t>
  </si>
  <si>
    <t>Строительство КЛ 6-15 кВ кабелем марки XRUHAXS с площадью поперечного сечения 3 (1x70) мм2 в траншее в условиях городской и промышленной застройки, затратами на специальные переходы через автомобильные дороги посредством протаскивания трубы с восстановлением дорожного покрытия (3 прокола)</t>
  </si>
  <si>
    <t>3.2.12.</t>
  </si>
  <si>
    <t>Строительство КЛ 6-15 кВ кабелем марки XRUHAXS с площадью поперечного сечения 3 (1x70) мм2 в траншее в условиях городской и промышленной застройки, затратами на специальные переходы через автомобильные дороги посредством протаскивания трубы с восстановлением дорожного покрытия (2 прокола)</t>
  </si>
  <si>
    <t>3.2.11.</t>
  </si>
  <si>
    <t>Строительство КЛ 6-15 кВ кабелем марки XRUHAXS с площадью поперечного сечения 3 (1x70) мм2 в траншее в условиях городской и промышленной застройки, затратами на специальный переход через автомобильную дорогу посредством протаскивания трубы с восстановлением дорожного покрытия (1 прокол)</t>
  </si>
  <si>
    <t>3.2.10.</t>
  </si>
  <si>
    <t>Строительство КЛ 6-15 кВ кабелем марки XRUHAXS с площадью поперечного сечения 3 (1x70) мм2 в траншее в охранной зоне, в условиях городской и промышленной застройки с восстановлением дорожного покрытия</t>
  </si>
  <si>
    <t>3.2.9.</t>
  </si>
  <si>
    <t>Строительство КЛ 6-15 кВ кабелем марки XRUHAXS с площадью поперечного сечения 3 (1x70) мм2 в траншее в нормальных условиях с восстановленим дорожного покрытия</t>
  </si>
  <si>
    <t>3.2.8.</t>
  </si>
  <si>
    <t>Строительство КЛ 6-15 кВ кабелем марки XRUHAXS с площадью поперечного сечения 3 (1x70) мм2 в траншее в нормальных условиях без восстановления дорожного покрытия</t>
  </si>
  <si>
    <t>3.2.7.</t>
  </si>
  <si>
    <t>Строительство КЛ 6-15 кВ кабелем марки XRUHAXS с площадью поперечного сечения 3 (1x50) мм2 в траншее в условиях городской и промышленной застройки, затратами на специальные переходы через автомобильные дороги посредством протаскивания трубы с восстановлением дорожного покрытия (3 прокола)</t>
  </si>
  <si>
    <t>3.2.6.</t>
  </si>
  <si>
    <t>Строительство КЛ 6-15 кВ кабелем марки XRUHAXS с площадью поперечного сечения 3 (1x50) мм2 в траншее в условиях городской и промышленной застройки, затратами на специальные переходы через автомобильные дороги посредством протаскивания трубы с восстановлением дорожного покрытия (2 прокола)</t>
  </si>
  <si>
    <t>3.2.5.</t>
  </si>
  <si>
    <t>Строительство КЛ 6-15 кВ кабелем марки XRUHAXS с площадью поперечного сечения 3 (1x50) мм2 в траншее в условиях городской и промышленной застройки, затратами на специальный переход через автомобильную дорогу посредством протаскивания трубы с восстановлением дорожного покрытия (1 прокол)</t>
  </si>
  <si>
    <t>3.2.4.</t>
  </si>
  <si>
    <t>Строительство КЛ 6-15 кВ кабелем марки XRUHAXS с площадью поперечного сечения 3 (1x50) мм2 в траншее в охранной зоне, в условиях городской и промышленной застройки с восстановлением дорожного покрытия</t>
  </si>
  <si>
    <t>3.2.3.</t>
  </si>
  <si>
    <t>Строительство КЛ 6-15 кВ кабелем марки XRUHAXS с площадью поперечного сечения 3 (1x50) мм2 в траншее в нормальных условиях с восстановленим дорожного покрытия</t>
  </si>
  <si>
    <t>3.2.2.</t>
  </si>
  <si>
    <t>Строительство КЛ 6-15 кВ кабелем марки XRUHAXS с площадью поперечного сечения 3 (1x50) мм2 в траншее в нормальных условиях без восстановления дорожного покрытия</t>
  </si>
  <si>
    <t>3.2.1.</t>
  </si>
  <si>
    <t>уровень напряжения СН2   (6 - 15 кВ)</t>
  </si>
  <si>
    <t>3.2.</t>
  </si>
  <si>
    <t>АПвБбШв-1</t>
  </si>
  <si>
    <t>Строительство КЛ-0,4 кВ кабелем марки АПвБбШв-1 с площадью поперечного сечения 4x240 мм2 в траншее с покрытием плиткой, в условиях городской и промышленной застройки, затратами на специальные переходы через автомобильные дороги, протаскивание трубы с восстановлением дорожного покрытия (3 прокола)</t>
  </si>
  <si>
    <t>3.1.48.</t>
  </si>
  <si>
    <t>Строительство КЛ-0,4 кВ кабелем марки АПвБбШв-1 с площадью поперечного сечения 4x240 мм2 в траншее с покрытием плиткой, в условиях городской и промышленной застройки, затратами на специальные переходы через автомобильные дороги, протаскивание трубы с восстановлением дорожного покрытия (2 прокола)</t>
  </si>
  <si>
    <t>3.1.47.</t>
  </si>
  <si>
    <t>Строительство КЛ-0,4 кВ кабелем марки АПвБбШв-1 с площадью поперечного сечения 4x240 мм2 в траншее с покрытием плиткой, в условиях городской и промышленной застройки, затратами на специальный переход через автомобильную дорогу, протаскивание трубы с восстановлением дорожного покрытия (1 прокол)</t>
  </si>
  <si>
    <t>3.1.46.</t>
  </si>
  <si>
    <t>2 кабеля</t>
  </si>
  <si>
    <t>Строительство КЛ-0,4 кВ кабелем марки АПвБбШв-1 с площадью поперечного сечения 4x240 мм2 в траншее с покрытием плиткой, в охранной зоне, в условиях городской и промышленной застройки с восстановлением дорожного покрытия</t>
  </si>
  <si>
    <t>3.1.45.</t>
  </si>
  <si>
    <t>Строительство КЛ-0,4 кВ кабелем  марки АПвБбШв-1 с площадью поперечного сечения 4x240 мм2 в траншее с покрытием плиткой в нормальных условиях с восстановленим дорожного покрытия</t>
  </si>
  <si>
    <t>3.1.44.</t>
  </si>
  <si>
    <t>Строительство КЛ-0,4 кВ кабелем  марки АПвБбШв-1 с площадью поперечного сечения 4x240 мм2 в траншее с покрытием плиткой в нормальных условиях без восстановления дорожного покрытия</t>
  </si>
  <si>
    <t>3.1.43.</t>
  </si>
  <si>
    <t>Строительство КЛ-0,4 кВ кабелем марки АПвБбШв-1 с площадью поперечного сечения 4x185 мм2 в траншее с покрытием плиткой, в условиях городской и промышленной застройки, затратами на специальные переходы через автомобильные дороги, протаскивание трубы с восстановлением дорожного покрытия (3 прокола)</t>
  </si>
  <si>
    <t>3.1.42.</t>
  </si>
  <si>
    <t>Строительство КЛ-0,4 кВ кабелем марки АПвБбШв-1 с площадью поперечного сечения 4x185 мм2 в траншее с покрытием плиткой, в условиях городской и промышленной застройки, затратами на специальные переходы через автомобильные дороги, протаскивание трубы с восстановлением дорожного покрытия (2 прокола)</t>
  </si>
  <si>
    <t>3.1.41.</t>
  </si>
  <si>
    <t>Строительство КЛ-0,4 кВ кабелем марки АПвБбШв-1 с площадью поперечного сечения 4x185 мм2 в траншее с покрытием плиткой, в условиях городской и промышленной застройки, затратами на специальный переход через автомобильную дорогу, протаскивание трубы с восстановлением дорожного покрытия (1 прокол)</t>
  </si>
  <si>
    <t>3.1.40.</t>
  </si>
  <si>
    <t>Строительство КЛ-0,4 кВ кабелем марки АПвБбШв-1 с площадью поперечного сечения 4x185 мм2 в траншее с покрытием плиткой, в охранной зоне, в условиях городской и промышленной застройки с восстановлением дорожного покрытия</t>
  </si>
  <si>
    <t>3.1.39.</t>
  </si>
  <si>
    <t>Строительство КЛ-0,4 кВ кабелем  марки АПвБбШв-1 с площадью поперечного сечения 4x185 мм2 в траншее с покрытием плиткой в нормальных условиях с восстановленим дорожного покрытия</t>
  </si>
  <si>
    <t>3.1.38.</t>
  </si>
  <si>
    <t>Строительство КЛ-0,4 кВ кабелем  марки АПвБбШв-1 с площадью поперечного сечения 4x185 мм2 в траншее с покрытием плиткой в нормальных условиях без восстановления дорожного покрытия</t>
  </si>
  <si>
    <t>3.1.37.</t>
  </si>
  <si>
    <t>Строительство КЛ-0,4 кВ кабелем марки АПвБбШв-1 с площадью поперечного сечения 4x150 мм2 в траншее с покрытием плиткой, в условиях городской и промышленной застройки, затратами на специальные переходы через автомобильные дороги, протаскивание трубы с восстановлением дорожного покрытия (3 прокола)</t>
  </si>
  <si>
    <t>3.1.36.</t>
  </si>
  <si>
    <t>Строительство КЛ-0,4 кВ кабелем марки АПвБбШв-1 с площадью поперечного сечения 4x150 мм2 в траншее с покрытием плиткой, в условиях городской и промышленной застройки, затратами на специальные переходы через автомобильные дороги, протаскивание трубы с восстановлением дорожного покрытия (2 прокола)</t>
  </si>
  <si>
    <t>3.1.35.</t>
  </si>
  <si>
    <t>Строительство КЛ-0,4 кВ кабелем марки АПвБбШв-1 с площадью поперечного сечения 4x150 мм2 в траншее с покрытием плиткой, в условиях городской и промышленной застройки, затратами на специальный переход через автомобильную дорогу, протаскивание трубы с восстановлением дорожного покрытия (1 прокол)</t>
  </si>
  <si>
    <t>3.1.34.</t>
  </si>
  <si>
    <t>Строительство КЛ-0,4 кВ кабелем марки АПвБбШв-1 с площадью поперечного сечения 4x150 мм2 в траншее с покрытием плиткой, в охранной зоне, в условиях городской и промышленной застройки с восстановлением дорожного покрытия</t>
  </si>
  <si>
    <t>3.1.33.</t>
  </si>
  <si>
    <t>Строительство КЛ-0,4 кВ кабелем  марки АПвБбШв-1 с площадью поперечного сечения 4x150 мм2 в траншее с покрытием плиткой в нормальных условиях с восстановленим дорожного покрытия</t>
  </si>
  <si>
    <t>3.1.32.</t>
  </si>
  <si>
    <t>Строительство КЛ-0,4 кВ кабелем  марки АПвБбШв-1 с площадью поперечного сечения 4x150 мм2 в траншее с покрытием плиткой в нормальных условиях без восстановления дорожного покрытия</t>
  </si>
  <si>
    <t>3.1.31.</t>
  </si>
  <si>
    <t>Строительство КЛ-0,4 кВ кабелем марки АПвБбШв-1 с площадью поперечного сечения 4x120 мм2 в траншее с покрытием плиткой, в условиях городской и промышленной застройки, затратами на специальные переходы через автомобильные дороги, протаскивание трубы с восстановлением дорожного покрытия (3 прокола)</t>
  </si>
  <si>
    <t>3.1.30.</t>
  </si>
  <si>
    <t>Строительство КЛ-0,4 кВ кабелем марки АПвБбШв-1 с площадью поперечного сечения 4x120 мм2 в траншее с покрытием плиткой, в условиях городской и промышленной застройки, затратами на специальные переходы через автомобильные дороги, протаскивание трубы с восстановлением дорожного покрытия (2 прокола)</t>
  </si>
  <si>
    <t>3.1.29.</t>
  </si>
  <si>
    <t>Строительство КЛ-0,4 кВ кабелем марки АПвБбШв-1 с площадью поперечного сечения 4x120 мм2 в траншее с покрытием плиткой, в условиях городской и промышленной застройки, затратами на специальный переход через автомобильную дорогу, протаскивание трубы с восстановлением дорожного покрытия (1 прокол)</t>
  </si>
  <si>
    <t>3.1.28.</t>
  </si>
  <si>
    <t>Строительство КЛ-0,4 кВ кабелем марки АПвБбШв-1 с площадью поперечного сечения 4x120 мм2 в траншее с покрытием плиткой, в охранной зоне, в условиях городской и промышленной застройки с восстановлением дорожного покрытия</t>
  </si>
  <si>
    <t>3.1.27.</t>
  </si>
  <si>
    <t>Строительство КЛ-0,4 кВ кабелем  марки АПвБбШв-1 с площадью поперечного сечения 4x120 мм2 в траншее с покрытием плиткой в нормальных условиях с восстановленим дорожного покрытия</t>
  </si>
  <si>
    <t>3.1.26.</t>
  </si>
  <si>
    <t>Строительство КЛ-0,4 кВ кабелем  марки АПвБбШв-1 с площадью поперечного сечения 4x120 мм2 в траншее с покрытием плиткой в нормальных условиях без восстановления дорожного покрытия</t>
  </si>
  <si>
    <t>3.1.25.</t>
  </si>
  <si>
    <t>Строительство КЛ-0,4 кВ кабелем  марки АПвБбШв-1 с площадью поперечного сечения 4x95 мм2 в траншее с покрытием плиткой, в условиях городской и промышленной застройки, затратами на специальные переходы через автомобильные дороги, протаскивание трубы с восстановлением дорожного покрытия (3 прокола)</t>
  </si>
  <si>
    <t>3.1.24.</t>
  </si>
  <si>
    <t>Строительство одноцепной ВЛ-0,4 кВ на железобетонных опорах с применением самонесущего изолированного провода СИП-4 площадью поперечного сечения 4х120 мм2</t>
  </si>
  <si>
    <t>РП</t>
  </si>
  <si>
    <t>Объем максимальной мощности, указанной заявителем в заявке на технологическое присоединение, кВт</t>
  </si>
  <si>
    <t>до 15 кВт (включительно)</t>
  </si>
  <si>
    <t>свыше 670 кВт</t>
  </si>
  <si>
    <t>от 15 кВт до 150 кВт (включительно)</t>
  </si>
  <si>
    <t>от 150 кВт до 670 кВт (включительно)</t>
  </si>
  <si>
    <t>х</t>
  </si>
  <si>
    <t>*) Ставки платы за единицу максимальной мощности по выполнению сетевой организацией мероприятий, связанных со строительством "последней мили", определены в отношении присоединяемых объектов, отнесенных к третьей категории надежности (по одному источнику электроснабжения). В случае, если заявитель при технологическом присоединении запрашивает вторую или первую категорию надежности электроснабжения, что предполагает технологическое присоединение к двум независимым источникам энергоснабжения, то размер платы за технологическое присоединение определеяется в соответствии с пунктом 30 Методических указаний по определению размера платы за технологическое присоединение к электрическим сетям, утвержденных приказом ФСТ России от 11.09.2012 № 209-э/1.</t>
  </si>
  <si>
    <t>Предусматривается технологическое присоединение по второй или первой категории надежности электроснабжения (технологическое присоединение к двум независимым источникам энергоснабжения)</t>
  </si>
  <si>
    <t>Р - расходы на технологическое присоединение, связанные с проведением мероприятий, указанных в п. 16 Методических указаний, не включающие в себя расходы на строительство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 (руб.);</t>
  </si>
  <si>
    <t>Рист1 - расходы на строительство объектов электросетевого хозяйства - от существующих объектов электросетевого хозяйства до присоединяемых энергопринимающих устройств Заявителя и (или) объектов электроэнергетики, определяемые по первому независимому источнику энергоснабжения в соответствии с Главой V Методических указаний согласно приложению N 1 к Методическим указаниям по мероприятиям, осуществляемым для конкретного присоединения в зависимости от способа присоединения и уровня запрашиваемого напряжения на основании выданных сетевой организацией технических условий (руб.);</t>
  </si>
  <si>
    <t>Рист2 - расходы на строительство объектов электросетевого хозяйства - от существующих объектов электросетевого хозяйства до присоединяемых энергопринимающих устройств Заявителя и (или) объектов электроэнергетики, определяемые по второму независимому источнику энергоснабжения в соответствии с Главой V Методических указаний согласно приложению N 1 к Методическим указаниям по мероприятиям, осуществляемым для конкретного присоединения в зависимости от способа присоединения и уровня запрашиваемого напряжения на основании выданных сетевой организацией технических условий (руб.).</t>
  </si>
  <si>
    <t xml:space="preserve"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(кроме подпунктов "б" и "в"), в расчете на 1 кВт максимальной мощности (без НДС)  </t>
  </si>
  <si>
    <t xml:space="preserve">Подготовка и выдача сетевой организацией технических условий Заявителю (без НДС) </t>
  </si>
  <si>
    <t xml:space="preserve">Проверка сетевой организацией выполнения Заявителем ТУ (без НДС) </t>
  </si>
  <si>
    <t>Участие в осмотре должностным лицом Ростехнадзора присоединяемых Устройств Заявителя (без НДС)</t>
  </si>
  <si>
    <t>Фактические действия по присоединению и обеспечению работы Устройств в электрической сети (без НДС)</t>
  </si>
  <si>
    <t>Таблица</t>
  </si>
  <si>
    <t>Строительство одноцепной ВЛ-0,4 кВ на железобетонных опорах с применением самонесущего изолированного провода СИП-4 площадью поперечного сечения 4х240 мм2</t>
  </si>
  <si>
    <t>Строительство одноцепной ВЛ 6-15 кВ на железобетонных опорах с применением голого провода площадью поперечного сечения 120 мм2</t>
  </si>
  <si>
    <t>Строительство одноцепной ВЛ 6-15 кВ на железобетонных опорах с применением самонесущего изолированного провода СИП-3 площадью поперечного сечения 3х120 мм2</t>
  </si>
  <si>
    <t>Строительство одноцепной ВЛ 6-15 кВ на железобетонных опорах с применением самонесущего изолированного провода СИП-3 площадью поперечного сечения 3х240 мм2</t>
  </si>
  <si>
    <t>Строительство КЛ 6-15 кВ кабелем марки XRUHAXS с площадью поперечного сечения 3 (1x500) мм2</t>
  </si>
  <si>
    <t xml:space="preserve">Строительство МТП с трансформатором (ТМГ) 100 кВА на номинальное напряжение 6-15/0,4 кВ </t>
  </si>
  <si>
    <t xml:space="preserve">Строительство РП 6-15 кВ </t>
  </si>
  <si>
    <t xml:space="preserve">МТП с трансформатором (ТМГ) 100 кВА на номинальное напряжение 6-15/0,4 кВ </t>
  </si>
  <si>
    <r>
      <t>До 150 кВт (включительно):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 = (С1 * Ni) + 0,5*(С2*Lвл</t>
    </r>
    <r>
      <rPr>
        <vertAlign val="subscript"/>
        <sz val="11"/>
        <color indexed="8"/>
        <rFont val="Times New Roman"/>
        <family val="1"/>
      </rPr>
      <t>i</t>
    </r>
    <r>
      <rPr>
        <sz val="11"/>
        <color indexed="8"/>
        <rFont val="Times New Roman"/>
        <family val="1"/>
      </rPr>
      <t xml:space="preserve"> * Zизм.ст) + 0,5*(С3*Lклi * Zизм.ст)                                                                                                           Свыше 150 кВт:                                                                                                                                                                                                                Р = (С1 * Ni) + (С2*Lвлi * Zизм.ст) + (С3*Lклi * Zизм.ст)    </t>
    </r>
  </si>
  <si>
    <t>До 150 кВт (включительно):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 = (С1 * Ni) + 0,5*(С2*Lвлi * Zизм.ст) + 0,5*(С3*Lклi * Zизм.ст) + 0,5*(С4 * Ni * Zизм.ст)                                                                                                                                                                                                                                                                                                              Свыше 150 кВт: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 = (С1 * Ni) + (С2*Lвлi * Zизм.ст) + (С3*Lклi * Zизм.ст) + (С4 * Ni * Zизм.ст)</t>
  </si>
  <si>
    <r>
      <t>До 150 кВт (включительно):                                                                                                                                                                                                                     Робщ = Р + 0,5*(Рист</t>
    </r>
    <r>
      <rPr>
        <sz val="10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+ Рист</t>
    </r>
    <r>
      <rPr>
        <sz val="10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)                                                                                                                                                                                              Свыше 150 кВт:                                                                                                                                                                                           Робщ = Р + (Рист1 + Рист2)  </t>
    </r>
  </si>
  <si>
    <t>до 150 кВт (включительно)</t>
  </si>
  <si>
    <t>свыше 150 кВт</t>
  </si>
  <si>
    <t xml:space="preserve">Стандартизированная ставка (С2)                        (в ценах 2001 года в ФЕР)      </t>
  </si>
  <si>
    <t xml:space="preserve">Стандартизированная ставка (С3)                        (в ценах 2001 года в ФЕР)      </t>
  </si>
  <si>
    <t>Стандартизированная ставка (С4),                        (в ценах 2001 года в ФЕР)</t>
  </si>
  <si>
    <t>РП 6-15 кВ пропускной мощностью 4500 кВт</t>
  </si>
  <si>
    <t>РП 6-15 кВ пропускной мощностью 9000 кВт</t>
  </si>
  <si>
    <t xml:space="preserve">Приложение № 1
к приказу Службы по государственному
регулированию цен и тарифов
Калининградской области
от 26 декабря 2016 года № ___-01тпэ/16
</t>
  </si>
  <si>
    <t xml:space="preserve">Приложение № 2
к приказу Службы по государственному
регулированию цен и тарифов
Калининградской области
от 26 декабря 2016 года № ___-01тпэ/16
</t>
  </si>
  <si>
    <t xml:space="preserve"> на покрытие расходов на технологическое присоединение к электрическим сетям территориальных сетевых организаций Калининградской области без учета затрат на строительство объектов электросетевого хозяйства на период по 30 сентября 2017 года
</t>
  </si>
  <si>
    <t>на покрытие расходов территориальных сетевых организаций Калининградской области на строительство воздушных линий электропередачи на i-ом уровне напряжения в расчете на 1 км линий на период по 30 сентября 2017 года</t>
  </si>
  <si>
    <t xml:space="preserve"> </t>
  </si>
  <si>
    <t xml:space="preserve"> на покрытие расходов территориальных сетевых организаций Калининградской области на строительство кабельных линий электропередачи на i-ом уровне напряжения в расчете на 1 км линий на период по 30 сентября 2017 года</t>
  </si>
  <si>
    <t xml:space="preserve">Приложение № 3
к приказу Службы по государственному
регулированию цен и тарифов
Калининградской области
от 26 декабря 2016 года № ___-01тпэ/16
</t>
  </si>
  <si>
    <t>на покрытие расходов территориальных сетевых организаций Калининградской области на строительство подстанций, в расчете на 1 кВт на период по 30 сентября 2017 года</t>
  </si>
  <si>
    <t xml:space="preserve">Приложение № 4
к приказу Службы по государственному
регулированию цен и тарифов
Калининградской области
от 26 декабря 2016 года № ___-01тпэ/16
</t>
  </si>
  <si>
    <t xml:space="preserve">Строительство БКТП с двумя трансформаторами (ТМГ) 2500 кВА на номинальное напряжение 6-15/0,4 кВ </t>
  </si>
  <si>
    <t>2 х 2500</t>
  </si>
  <si>
    <t xml:space="preserve">БКТП с двумя трансформаторами (ТМГ) 2500 кВА на номинальное напряжение 6-15/0,4 кВ </t>
  </si>
  <si>
    <t xml:space="preserve"> за единицу максимальной мощности при технологическом присоединении к электрическим сетям территориальных сетевых организаций Калининградской области на период по 30 сентября 2017 года, руб./кВт (без НДС) </t>
  </si>
  <si>
    <t>Приложение № 5
к приказу Службы по государственному
регулированию цен и тарифов
Калининградской области
от 26 декабря 2016 года № ___-01тпэ/16</t>
  </si>
  <si>
    <t xml:space="preserve"> для расчета платы за технологическое присоединение к электрическим сетям, исходя из стандартизированных тарифных ставок и способа технологического присоединения на период по 30 сентября 2017 года</t>
  </si>
  <si>
    <t xml:space="preserve">Приложение № 6
к приказу Службы по государственному
регулированию цен и тарифов
Калининградской области
от 26 декабря 2016 года № ___-01тпэ/16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</si>
</sst>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0000"/>
    <numFmt numFmtId="174" formatCode="0.000"/>
    <numFmt numFmtId="175" formatCode="#,##0.00_р_."/>
    <numFmt numFmtId="176" formatCode="#,##0.00\ &quot;₽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name val="Calibri"/>
      <family val="2"/>
    </font>
    <font>
      <b/>
      <sz val="12"/>
      <color indexed="60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2"/>
      <color indexed="9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sz val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3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/>
      <right style="thin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 style="medium"/>
      <bottom style="thin"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/>
      <right/>
      <top style="thin"/>
      <bottom style="thin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709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3" fillId="33" borderId="0" xfId="0" applyFont="1" applyFill="1" applyAlignment="1">
      <alignment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10" fontId="5" fillId="33" borderId="10" xfId="0" applyNumberFormat="1" applyFont="1" applyFill="1" applyBorder="1" applyAlignment="1">
      <alignment horizontal="center" vertical="center"/>
    </xf>
    <xf numFmtId="1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/>
    </xf>
    <xf numFmtId="0" fontId="5" fillId="33" borderId="13" xfId="0" applyFont="1" applyFill="1" applyBorder="1" applyAlignment="1">
      <alignment horizontal="center" vertical="top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0" fontId="2" fillId="34" borderId="15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/>
    </xf>
    <xf numFmtId="2" fontId="2" fillId="34" borderId="10" xfId="0" applyNumberFormat="1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11" xfId="0" applyNumberFormat="1" applyFont="1" applyFill="1" applyBorder="1" applyAlignment="1">
      <alignment horizontal="right" vertical="center" wrapText="1"/>
    </xf>
    <xf numFmtId="4" fontId="5" fillId="33" borderId="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vertical="center"/>
    </xf>
    <xf numFmtId="2" fontId="5" fillId="33" borderId="10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vertical="center"/>
    </xf>
    <xf numFmtId="2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4" fontId="2" fillId="34" borderId="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right" vertical="center"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wrapText="1"/>
    </xf>
    <xf numFmtId="0" fontId="5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5" fillId="33" borderId="0" xfId="0" applyFont="1" applyFill="1" applyAlignment="1">
      <alignment horizontal="right" vertical="center"/>
    </xf>
    <xf numFmtId="172" fontId="5" fillId="33" borderId="0" xfId="0" applyNumberFormat="1" applyFont="1" applyFill="1" applyAlignment="1">
      <alignment vertical="center"/>
    </xf>
    <xf numFmtId="172" fontId="5" fillId="33" borderId="0" xfId="0" applyNumberFormat="1" applyFont="1" applyFill="1" applyAlignment="1">
      <alignment/>
    </xf>
    <xf numFmtId="173" fontId="5" fillId="33" borderId="0" xfId="0" applyNumberFormat="1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4" fontId="2" fillId="33" borderId="16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 wrapText="1"/>
    </xf>
    <xf numFmtId="172" fontId="2" fillId="33" borderId="0" xfId="0" applyNumberFormat="1" applyFont="1" applyFill="1" applyAlignment="1">
      <alignment horizontal="center" vertical="center"/>
    </xf>
    <xf numFmtId="173" fontId="2" fillId="33" borderId="0" xfId="0" applyNumberFormat="1" applyFont="1" applyFill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" fontId="2" fillId="33" borderId="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4" fontId="5" fillId="0" borderId="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5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5" fillId="35" borderId="0" xfId="0" applyFont="1" applyFill="1" applyAlignment="1">
      <alignment vertical="center"/>
    </xf>
    <xf numFmtId="0" fontId="5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vertical="center"/>
    </xf>
    <xf numFmtId="2" fontId="2" fillId="35" borderId="10" xfId="0" applyNumberFormat="1" applyFont="1" applyFill="1" applyBorder="1" applyAlignment="1">
      <alignment vertical="center"/>
    </xf>
    <xf numFmtId="4" fontId="5" fillId="35" borderId="0" xfId="0" applyNumberFormat="1" applyFont="1" applyFill="1" applyBorder="1" applyAlignment="1">
      <alignment horizontal="right" vertical="center" wrapText="1"/>
    </xf>
    <xf numFmtId="4" fontId="5" fillId="35" borderId="11" xfId="0" applyNumberFormat="1" applyFont="1" applyFill="1" applyBorder="1" applyAlignment="1">
      <alignment horizontal="right" vertical="center" wrapText="1"/>
    </xf>
    <xf numFmtId="4" fontId="5" fillId="35" borderId="10" xfId="0" applyNumberFormat="1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0" fontId="2" fillId="35" borderId="15" xfId="0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0" fontId="5" fillId="0" borderId="10" xfId="0" applyNumberFormat="1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5" fillId="0" borderId="23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74" fontId="13" fillId="33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Alignment="1">
      <alignment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24" xfId="0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4" fillId="0" borderId="0" xfId="0" applyFont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4" fillId="33" borderId="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5" fillId="0" borderId="2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175" fontId="5" fillId="33" borderId="0" xfId="0" applyNumberFormat="1" applyFont="1" applyFill="1" applyAlignment="1">
      <alignment/>
    </xf>
    <xf numFmtId="175" fontId="2" fillId="34" borderId="0" xfId="0" applyNumberFormat="1" applyFont="1" applyFill="1" applyAlignment="1">
      <alignment vertical="center"/>
    </xf>
    <xf numFmtId="175" fontId="5" fillId="33" borderId="0" xfId="0" applyNumberFormat="1" applyFont="1" applyFill="1" applyAlignment="1">
      <alignment vertical="center"/>
    </xf>
    <xf numFmtId="175" fontId="2" fillId="33" borderId="0" xfId="0" applyNumberFormat="1" applyFont="1" applyFill="1" applyAlignment="1">
      <alignment vertical="center"/>
    </xf>
    <xf numFmtId="175" fontId="5" fillId="33" borderId="0" xfId="0" applyNumberFormat="1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right" vertical="top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3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right" wrapText="1"/>
    </xf>
    <xf numFmtId="0" fontId="28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right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/>
    </xf>
    <xf numFmtId="4" fontId="3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 horizontal="right" vertical="top" wrapText="1"/>
    </xf>
    <xf numFmtId="0" fontId="21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0" fillId="0" borderId="0" xfId="0" applyFont="1" applyFill="1" applyAlignment="1">
      <alignment horizontal="right"/>
    </xf>
    <xf numFmtId="0" fontId="20" fillId="0" borderId="10" xfId="0" applyFont="1" applyFill="1" applyBorder="1" applyAlignment="1">
      <alignment horizontal="center" vertical="center" wrapText="1"/>
    </xf>
    <xf numFmtId="10" fontId="20" fillId="0" borderId="10" xfId="0" applyNumberFormat="1" applyFont="1" applyFill="1" applyBorder="1" applyAlignment="1">
      <alignment horizontal="center" vertical="center"/>
    </xf>
    <xf numFmtId="10" fontId="20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right"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right" wrapText="1"/>
    </xf>
    <xf numFmtId="10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28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4" fontId="4" fillId="0" borderId="35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5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4" fontId="5" fillId="0" borderId="29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4" fontId="4" fillId="0" borderId="44" xfId="0" applyNumberFormat="1" applyFont="1" applyFill="1" applyBorder="1" applyAlignment="1">
      <alignment horizontal="center" vertical="center"/>
    </xf>
    <xf numFmtId="4" fontId="4" fillId="0" borderId="41" xfId="0" applyNumberFormat="1" applyFont="1" applyFill="1" applyBorder="1" applyAlignment="1">
      <alignment horizontal="center" vertical="center"/>
    </xf>
    <xf numFmtId="2" fontId="4" fillId="0" borderId="42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4" fontId="5" fillId="0" borderId="26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top" wrapText="1"/>
    </xf>
    <xf numFmtId="0" fontId="20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2" fontId="20" fillId="0" borderId="13" xfId="0" applyNumberFormat="1" applyFont="1" applyFill="1" applyBorder="1" applyAlignment="1">
      <alignment horizontal="right" vertical="center" wrapText="1"/>
    </xf>
    <xf numFmtId="4" fontId="20" fillId="0" borderId="13" xfId="0" applyNumberFormat="1" applyFont="1" applyFill="1" applyBorder="1" applyAlignment="1">
      <alignment horizontal="right" vertical="center" wrapText="1"/>
    </xf>
    <xf numFmtId="0" fontId="21" fillId="0" borderId="40" xfId="0" applyFont="1" applyFill="1" applyBorder="1" applyAlignment="1">
      <alignment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/>
    </xf>
    <xf numFmtId="4" fontId="5" fillId="0" borderId="28" xfId="0" applyNumberFormat="1" applyFont="1" applyFill="1" applyBorder="1" applyAlignment="1">
      <alignment horizontal="right" vertical="center" wrapText="1"/>
    </xf>
    <xf numFmtId="4" fontId="2" fillId="0" borderId="28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4" fontId="21" fillId="0" borderId="14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left" vertical="center" wrapText="1"/>
    </xf>
    <xf numFmtId="4" fontId="21" fillId="0" borderId="11" xfId="0" applyNumberFormat="1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left" vertical="center" wrapText="1"/>
    </xf>
    <xf numFmtId="49" fontId="20" fillId="0" borderId="24" xfId="0" applyNumberFormat="1" applyFont="1" applyFill="1" applyBorder="1" applyAlignment="1">
      <alignment horizontal="center" vertical="center" wrapText="1"/>
    </xf>
    <xf numFmtId="2" fontId="20" fillId="0" borderId="24" xfId="0" applyNumberFormat="1" applyFont="1" applyFill="1" applyBorder="1" applyAlignment="1">
      <alignment horizontal="right" vertical="center" wrapText="1"/>
    </xf>
    <xf numFmtId="4" fontId="20" fillId="0" borderId="24" xfId="0" applyNumberFormat="1" applyFont="1" applyFill="1" applyBorder="1" applyAlignment="1">
      <alignment horizontal="right" vertical="center" wrapText="1"/>
    </xf>
    <xf numFmtId="4" fontId="21" fillId="0" borderId="26" xfId="0" applyNumberFormat="1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center" vertical="center" wrapText="1"/>
    </xf>
    <xf numFmtId="2" fontId="20" fillId="0" borderId="20" xfId="0" applyNumberFormat="1" applyFont="1" applyFill="1" applyBorder="1" applyAlignment="1">
      <alignment horizontal="right" vertical="center" wrapText="1"/>
    </xf>
    <xf numFmtId="4" fontId="20" fillId="0" borderId="20" xfId="0" applyNumberFormat="1" applyFont="1" applyFill="1" applyBorder="1" applyAlignment="1">
      <alignment horizontal="right" vertical="center" wrapText="1"/>
    </xf>
    <xf numFmtId="4" fontId="21" fillId="0" borderId="35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2" fontId="21" fillId="0" borderId="41" xfId="0" applyNumberFormat="1" applyFont="1" applyFill="1" applyBorder="1" applyAlignment="1">
      <alignment horizontal="center" vertical="center" wrapText="1"/>
    </xf>
    <xf numFmtId="4" fontId="21" fillId="0" borderId="41" xfId="0" applyNumberFormat="1" applyFont="1" applyFill="1" applyBorder="1" applyAlignment="1">
      <alignment horizontal="center" vertical="center" wrapText="1"/>
    </xf>
    <xf numFmtId="4" fontId="21" fillId="0" borderId="42" xfId="0" applyNumberFormat="1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top" wrapText="1"/>
    </xf>
    <xf numFmtId="0" fontId="5" fillId="35" borderId="28" xfId="0" applyFont="1" applyFill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right" vertical="center" wrapText="1"/>
    </xf>
    <xf numFmtId="4" fontId="5" fillId="35" borderId="28" xfId="0" applyNumberFormat="1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center" vertical="top" wrapText="1"/>
    </xf>
    <xf numFmtId="1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right" vertical="center" wrapText="1"/>
    </xf>
    <xf numFmtId="4" fontId="2" fillId="0" borderId="26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5" fillId="0" borderId="4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4" fontId="5" fillId="0" borderId="13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vertical="center" wrapText="1"/>
    </xf>
    <xf numFmtId="4" fontId="5" fillId="0" borderId="20" xfId="0" applyNumberFormat="1" applyFont="1" applyFill="1" applyBorder="1" applyAlignment="1">
      <alignment horizontal="right" vertical="center" wrapText="1"/>
    </xf>
    <xf numFmtId="4" fontId="2" fillId="0" borderId="35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" fontId="5" fillId="0" borderId="41" xfId="0" applyNumberFormat="1" applyFont="1" applyFill="1" applyBorder="1" applyAlignment="1">
      <alignment horizontal="right" vertical="center" wrapText="1"/>
    </xf>
    <xf numFmtId="4" fontId="2" fillId="0" borderId="42" xfId="0" applyNumberFormat="1" applyFont="1" applyFill="1" applyBorder="1" applyAlignment="1">
      <alignment horizontal="center" vertical="center" wrapText="1"/>
    </xf>
    <xf numFmtId="3" fontId="5" fillId="0" borderId="28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2" fontId="5" fillId="0" borderId="33" xfId="0" applyNumberFormat="1" applyFont="1" applyFill="1" applyBorder="1" applyAlignment="1">
      <alignment horizontal="center" vertical="center" wrapText="1"/>
    </xf>
    <xf numFmtId="4" fontId="2" fillId="0" borderId="34" xfId="0" applyNumberFormat="1" applyFont="1" applyFill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 wrapText="1"/>
    </xf>
    <xf numFmtId="0" fontId="15" fillId="0" borderId="44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/>
    </xf>
    <xf numFmtId="0" fontId="15" fillId="0" borderId="49" xfId="0" applyFont="1" applyBorder="1" applyAlignment="1">
      <alignment horizontal="left" vertical="center" wrapText="1"/>
    </xf>
    <xf numFmtId="0" fontId="15" fillId="0" borderId="50" xfId="0" applyFont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right" vertical="center" wrapText="1"/>
    </xf>
    <xf numFmtId="4" fontId="10" fillId="0" borderId="20" xfId="0" applyNumberFormat="1" applyFont="1" applyFill="1" applyBorder="1" applyAlignment="1">
      <alignment horizontal="right" vertical="center" wrapText="1"/>
    </xf>
    <xf numFmtId="4" fontId="5" fillId="0" borderId="35" xfId="0" applyNumberFormat="1" applyFont="1" applyFill="1" applyBorder="1" applyAlignment="1">
      <alignment horizontal="right" vertical="center" wrapText="1"/>
    </xf>
    <xf numFmtId="0" fontId="5" fillId="0" borderId="20" xfId="0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0" fontId="5" fillId="0" borderId="52" xfId="0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4" fontId="5" fillId="0" borderId="24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2" fillId="0" borderId="58" xfId="0" applyNumberFormat="1" applyFont="1" applyFill="1" applyBorder="1" applyAlignment="1">
      <alignment horizontal="left" vertical="center" wrapText="1"/>
    </xf>
    <xf numFmtId="0" fontId="2" fillId="0" borderId="32" xfId="0" applyNumberFormat="1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top" wrapText="1"/>
    </xf>
    <xf numFmtId="0" fontId="21" fillId="0" borderId="0" xfId="0" applyFont="1" applyFill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top"/>
    </xf>
    <xf numFmtId="0" fontId="5" fillId="0" borderId="60" xfId="0" applyFont="1" applyFill="1" applyBorder="1" applyAlignment="1">
      <alignment horizontal="center" vertical="top"/>
    </xf>
    <xf numFmtId="0" fontId="5" fillId="0" borderId="52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/>
    </xf>
    <xf numFmtId="0" fontId="5" fillId="33" borderId="16" xfId="0" applyFont="1" applyFill="1" applyBorder="1" applyAlignment="1">
      <alignment horizontal="center" vertical="top" wrapText="1"/>
    </xf>
    <xf numFmtId="0" fontId="5" fillId="33" borderId="61" xfId="0" applyFont="1" applyFill="1" applyBorder="1" applyAlignment="1">
      <alignment horizontal="center" vertical="top" wrapText="1"/>
    </xf>
    <xf numFmtId="0" fontId="5" fillId="33" borderId="28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5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4" fillId="33" borderId="20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5" fillId="0" borderId="62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5" fillId="0" borderId="50" xfId="0" applyFont="1" applyFill="1" applyBorder="1" applyAlignment="1">
      <alignment horizontal="center" vertical="top" wrapText="1"/>
    </xf>
    <xf numFmtId="0" fontId="3" fillId="0" borderId="4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28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wrapText="1"/>
    </xf>
    <xf numFmtId="0" fontId="20" fillId="0" borderId="53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20" fillId="0" borderId="63" xfId="0" applyFont="1" applyFill="1" applyBorder="1" applyAlignment="1">
      <alignment horizontal="center" vertical="center" wrapText="1"/>
    </xf>
    <xf numFmtId="0" fontId="20" fillId="0" borderId="64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right" vertical="top" wrapText="1"/>
    </xf>
    <xf numFmtId="0" fontId="21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2" fillId="0" borderId="50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5" fillId="0" borderId="62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5" fillId="0" borderId="63" xfId="0" applyFont="1" applyFill="1" applyBorder="1" applyAlignment="1">
      <alignment horizontal="center" vertical="top" wrapText="1"/>
    </xf>
    <xf numFmtId="0" fontId="5" fillId="0" borderId="64" xfId="0" applyFont="1" applyFill="1" applyBorder="1" applyAlignment="1">
      <alignment horizontal="center" vertical="top" wrapText="1"/>
    </xf>
    <xf numFmtId="0" fontId="5" fillId="0" borderId="37" xfId="0" applyFont="1" applyFill="1" applyBorder="1" applyAlignment="1">
      <alignment horizontal="center" vertical="top" wrapText="1"/>
    </xf>
    <xf numFmtId="0" fontId="5" fillId="0" borderId="50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3" fillId="0" borderId="61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5" fillId="0" borderId="22" xfId="0" applyFont="1" applyBorder="1" applyAlignment="1">
      <alignment vertical="top"/>
    </xf>
    <xf numFmtId="0" fontId="5" fillId="0" borderId="21" xfId="0" applyFont="1" applyBorder="1" applyAlignment="1">
      <alignment vertical="top"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20" fillId="0" borderId="0" xfId="0" applyFont="1" applyFill="1" applyAlignment="1">
      <alignment horizontal="right" vertical="top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/>
    </xf>
    <xf numFmtId="0" fontId="3" fillId="0" borderId="58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top"/>
    </xf>
    <xf numFmtId="0" fontId="3" fillId="0" borderId="52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10" fontId="5" fillId="0" borderId="20" xfId="0" applyNumberFormat="1" applyFont="1" applyFill="1" applyBorder="1" applyAlignment="1">
      <alignment horizontal="center" vertical="center"/>
    </xf>
    <xf numFmtId="10" fontId="5" fillId="0" borderId="13" xfId="0" applyNumberFormat="1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top" wrapText="1"/>
    </xf>
    <xf numFmtId="10" fontId="5" fillId="0" borderId="20" xfId="0" applyNumberFormat="1" applyFont="1" applyFill="1" applyBorder="1" applyAlignment="1">
      <alignment horizontal="center" vertical="top" wrapText="1"/>
    </xf>
    <xf numFmtId="10" fontId="5" fillId="0" borderId="13" xfId="0" applyNumberFormat="1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left" vertical="center" wrapText="1"/>
    </xf>
    <xf numFmtId="0" fontId="5" fillId="0" borderId="62" xfId="0" applyFont="1" applyFill="1" applyBorder="1" applyAlignment="1">
      <alignment horizontal="left" vertical="center" wrapText="1"/>
    </xf>
    <xf numFmtId="0" fontId="5" fillId="0" borderId="6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top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0" fontId="5" fillId="0" borderId="53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5" fillId="0" borderId="48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justify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 wrapText="1"/>
    </xf>
    <xf numFmtId="0" fontId="8" fillId="0" borderId="23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right" vertical="top" wrapText="1"/>
    </xf>
    <xf numFmtId="0" fontId="5" fillId="33" borderId="53" xfId="0" applyFont="1" applyFill="1" applyBorder="1" applyAlignment="1">
      <alignment horizontal="center" vertical="top" wrapText="1"/>
    </xf>
    <xf numFmtId="0" fontId="5" fillId="33" borderId="27" xfId="0" applyFont="1" applyFill="1" applyBorder="1" applyAlignment="1">
      <alignment horizontal="center" vertical="top" wrapText="1"/>
    </xf>
    <xf numFmtId="0" fontId="3" fillId="33" borderId="27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5" fillId="33" borderId="63" xfId="0" applyFont="1" applyFill="1" applyBorder="1" applyAlignment="1">
      <alignment horizontal="center" vertical="top" wrapText="1"/>
    </xf>
    <xf numFmtId="0" fontId="5" fillId="33" borderId="64" xfId="0" applyFont="1" applyFill="1" applyBorder="1" applyAlignment="1">
      <alignment horizontal="center" vertical="top" wrapText="1"/>
    </xf>
    <xf numFmtId="0" fontId="5" fillId="33" borderId="37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Alignment="1">
      <alignment wrapText="1"/>
    </xf>
    <xf numFmtId="0" fontId="3" fillId="33" borderId="31" xfId="0" applyFont="1" applyFill="1" applyBorder="1" applyAlignment="1">
      <alignment/>
    </xf>
    <xf numFmtId="0" fontId="2" fillId="33" borderId="53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top" wrapText="1"/>
    </xf>
    <xf numFmtId="0" fontId="3" fillId="33" borderId="44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5" fillId="33" borderId="57" xfId="0" applyFont="1" applyFill="1" applyBorder="1" applyAlignment="1">
      <alignment horizontal="center" vertical="top"/>
    </xf>
    <xf numFmtId="0" fontId="5" fillId="33" borderId="58" xfId="0" applyFont="1" applyFill="1" applyBorder="1" applyAlignment="1">
      <alignment horizontal="center" vertical="top"/>
    </xf>
    <xf numFmtId="0" fontId="5" fillId="33" borderId="12" xfId="0" applyFont="1" applyFill="1" applyBorder="1" applyAlignment="1">
      <alignment horizontal="center" vertical="top"/>
    </xf>
    <xf numFmtId="0" fontId="5" fillId="33" borderId="53" xfId="0" applyFont="1" applyFill="1" applyBorder="1" applyAlignment="1">
      <alignment horizontal="center" vertical="top"/>
    </xf>
    <xf numFmtId="0" fontId="5" fillId="33" borderId="27" xfId="0" applyFont="1" applyFill="1" applyBorder="1" applyAlignment="1">
      <alignment horizontal="center" vertical="top"/>
    </xf>
    <xf numFmtId="0" fontId="5" fillId="33" borderId="13" xfId="0" applyFont="1" applyFill="1" applyBorder="1" applyAlignment="1">
      <alignment horizontal="center" vertical="top"/>
    </xf>
    <xf numFmtId="0" fontId="5" fillId="0" borderId="53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53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27" xfId="0" applyFont="1" applyBorder="1" applyAlignment="1">
      <alignment horizontal="center" vertical="top" wrapText="1"/>
    </xf>
    <xf numFmtId="0" fontId="5" fillId="0" borderId="57" xfId="0" applyFont="1" applyBorder="1" applyAlignment="1">
      <alignment horizontal="center" vertical="top"/>
    </xf>
    <xf numFmtId="0" fontId="5" fillId="0" borderId="58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5" fillId="0" borderId="63" xfId="0" applyFont="1" applyBorder="1" applyAlignment="1">
      <alignment horizontal="center" vertical="top" wrapText="1"/>
    </xf>
    <xf numFmtId="0" fontId="5" fillId="0" borderId="64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top"/>
    </xf>
    <xf numFmtId="0" fontId="4" fillId="0" borderId="48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33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" fillId="33" borderId="33" xfId="0" applyFont="1" applyFill="1" applyBorder="1" applyAlignment="1">
      <alignment horizontal="center" vertical="top" wrapText="1"/>
    </xf>
    <xf numFmtId="0" fontId="3" fillId="33" borderId="33" xfId="0" applyFont="1" applyFill="1" applyBorder="1" applyAlignment="1">
      <alignment/>
    </xf>
    <xf numFmtId="0" fontId="3" fillId="33" borderId="34" xfId="0" applyFont="1" applyFill="1" applyBorder="1" applyAlignment="1">
      <alignment/>
    </xf>
    <xf numFmtId="0" fontId="2" fillId="33" borderId="20" xfId="0" applyFont="1" applyFill="1" applyBorder="1" applyAlignment="1">
      <alignment horizontal="center" vertical="top"/>
    </xf>
    <xf numFmtId="0" fontId="3" fillId="0" borderId="21" xfId="0" applyFont="1" applyBorder="1" applyAlignment="1">
      <alignment/>
    </xf>
    <xf numFmtId="0" fontId="3" fillId="0" borderId="70" xfId="0" applyFont="1" applyBorder="1" applyAlignment="1">
      <alignment/>
    </xf>
    <xf numFmtId="0" fontId="6" fillId="33" borderId="23" xfId="0" applyFont="1" applyFill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6" fillId="0" borderId="23" xfId="0" applyFont="1" applyBorder="1" applyAlignment="1">
      <alignment vertical="top" wrapText="1"/>
    </xf>
    <xf numFmtId="0" fontId="6" fillId="0" borderId="7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center" wrapText="1"/>
    </xf>
    <xf numFmtId="0" fontId="7" fillId="33" borderId="19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67" xfId="0" applyFont="1" applyBorder="1" applyAlignment="1">
      <alignment horizontal="left" vertical="center" wrapText="1"/>
    </xf>
    <xf numFmtId="0" fontId="5" fillId="36" borderId="13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2" fontId="5" fillId="36" borderId="24" xfId="0" applyNumberFormat="1" applyFont="1" applyFill="1" applyBorder="1" applyAlignment="1">
      <alignment horizontal="center" vertical="center"/>
    </xf>
    <xf numFmtId="2" fontId="5" fillId="36" borderId="13" xfId="0" applyNumberFormat="1" applyFont="1" applyFill="1" applyBorder="1" applyAlignment="1">
      <alignment horizontal="center" vertical="center"/>
    </xf>
    <xf numFmtId="2" fontId="5" fillId="36" borderId="10" xfId="0" applyNumberFormat="1" applyFont="1" applyFill="1" applyBorder="1" applyAlignment="1">
      <alignment horizontal="center" vertical="center"/>
    </xf>
    <xf numFmtId="4" fontId="5" fillId="36" borderId="24" xfId="0" applyNumberFormat="1" applyFont="1" applyFill="1" applyBorder="1" applyAlignment="1">
      <alignment horizontal="center" vertical="center"/>
    </xf>
    <xf numFmtId="4" fontId="5" fillId="36" borderId="13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4" fontId="5" fillId="36" borderId="37" xfId="0" applyNumberFormat="1" applyFont="1" applyFill="1" applyBorder="1" applyAlignment="1">
      <alignment horizontal="center" vertical="center"/>
    </xf>
    <xf numFmtId="2" fontId="2" fillId="36" borderId="13" xfId="0" applyNumberFormat="1" applyFont="1" applyFill="1" applyBorder="1" applyAlignment="1">
      <alignment horizontal="center" vertical="center" wrapText="1"/>
    </xf>
    <xf numFmtId="2" fontId="2" fillId="36" borderId="24" xfId="0" applyNumberFormat="1" applyFont="1" applyFill="1" applyBorder="1" applyAlignment="1">
      <alignment horizontal="center" vertical="center"/>
    </xf>
    <xf numFmtId="2" fontId="5" fillId="36" borderId="14" xfId="0" applyNumberFormat="1" applyFont="1" applyFill="1" applyBorder="1" applyAlignment="1">
      <alignment horizontal="center" vertical="center"/>
    </xf>
    <xf numFmtId="2" fontId="5" fillId="36" borderId="11" xfId="0" applyNumberFormat="1" applyFont="1" applyFill="1" applyBorder="1" applyAlignment="1">
      <alignment horizontal="center" vertical="center"/>
    </xf>
    <xf numFmtId="2" fontId="5" fillId="36" borderId="26" xfId="0" applyNumberFormat="1" applyFont="1" applyFill="1" applyBorder="1" applyAlignment="1">
      <alignment horizontal="center" vertical="center"/>
    </xf>
    <xf numFmtId="4" fontId="5" fillId="36" borderId="26" xfId="0" applyNumberFormat="1" applyFont="1" applyFill="1" applyBorder="1" applyAlignment="1">
      <alignment horizontal="center" vertical="center"/>
    </xf>
    <xf numFmtId="4" fontId="5" fillId="36" borderId="33" xfId="0" applyNumberFormat="1" applyFont="1" applyFill="1" applyBorder="1" applyAlignment="1">
      <alignment horizontal="center" vertical="center"/>
    </xf>
    <xf numFmtId="4" fontId="5" fillId="36" borderId="34" xfId="0" applyNumberFormat="1" applyFont="1" applyFill="1" applyBorder="1" applyAlignment="1">
      <alignment horizontal="center" vertical="center"/>
    </xf>
    <xf numFmtId="4" fontId="5" fillId="36" borderId="11" xfId="0" applyNumberFormat="1" applyFont="1" applyFill="1" applyBorder="1" applyAlignment="1">
      <alignment horizontal="center" vertical="center"/>
    </xf>
    <xf numFmtId="2" fontId="2" fillId="36" borderId="14" xfId="0" applyNumberFormat="1" applyFont="1" applyFill="1" applyBorder="1" applyAlignment="1">
      <alignment horizontal="center" vertical="center" wrapText="1"/>
    </xf>
    <xf numFmtId="2" fontId="2" fillId="36" borderId="26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 wrapText="1"/>
    </xf>
    <xf numFmtId="2" fontId="5" fillId="0" borderId="27" xfId="0" applyNumberFormat="1" applyFont="1" applyFill="1" applyBorder="1" applyAlignment="1">
      <alignment horizontal="center" vertical="center" wrapText="1"/>
    </xf>
    <xf numFmtId="4" fontId="2" fillId="0" borderId="44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57;&#1090;&#1072;&#1074;&#1082;&#1080;%202016\&#1055;&#1088;&#1086;&#1077;&#1082;&#1090;&#1099;\&#1057;&#1058;&#1040;&#1042;&#1050;&#1048;%20%20&#1055;&#1051;&#1040;&#1058;&#1067;%20%20&#1079;&#1072;%20&#1058;&#1055;%20%20&#1085;&#1072;%202014%20&#1075;&#1086;&#1076;%20%2027_03_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57;&#1090;&#1072;&#1074;&#1082;&#1080;%202016\&#1055;&#1088;&#1086;&#1077;&#1082;&#1090;&#1099;\&#1050;&#1072;&#1083;&#1100;&#1082;&#1091;&#1083;&#1103;&#1094;&#1080;&#1103;,%20&#1053;&#1042;&#1042;%20&#1085;&#1072;%202014&#1075;&#1089;%20&#1091;&#1095;&#1077;&#1090;&#1086;&#1084;%20&#1085;&#1086;&#1074;&#1099;&#1093;%20&#1080;&#1079;&#1084;&#1077;&#1085;&#1077;&#1085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дексы"/>
      <sheetName val="ВЛ "/>
      <sheetName val="КЛ"/>
      <sheetName val="прокол_вырубка"/>
      <sheetName val="ТП"/>
      <sheetName val="расчет ВЛ_КЛ (матер и оборуд)"/>
      <sheetName val="ПИР"/>
      <sheetName val="калькуляция"/>
      <sheetName val="Свод стандартиз"/>
      <sheetName val="Свод  кВт"/>
      <sheetName val="расчет ТП (оборуд)"/>
      <sheetName val="Лист1"/>
    </sheetNames>
    <sheetDataSet>
      <sheetData sheetId="0">
        <row r="9">
          <cell r="D9">
            <v>6.8</v>
          </cell>
          <cell r="H9">
            <v>5.6</v>
          </cell>
          <cell r="L9">
            <v>1.214</v>
          </cell>
        </row>
        <row r="16">
          <cell r="D16">
            <v>5.42</v>
          </cell>
          <cell r="H16">
            <v>4.99</v>
          </cell>
          <cell r="L16">
            <v>1.0862</v>
          </cell>
        </row>
        <row r="18">
          <cell r="D18">
            <v>5.42</v>
          </cell>
          <cell r="H18">
            <v>5.23</v>
          </cell>
          <cell r="L18">
            <v>1.0363</v>
          </cell>
        </row>
        <row r="19">
          <cell r="D19">
            <v>3.87</v>
          </cell>
          <cell r="H19">
            <v>3.77</v>
          </cell>
          <cell r="L19">
            <v>1.0265</v>
          </cell>
        </row>
        <row r="20">
          <cell r="D20">
            <v>3.87</v>
          </cell>
          <cell r="H20">
            <v>3.29</v>
          </cell>
          <cell r="L20">
            <v>1.1763</v>
          </cell>
        </row>
      </sheetData>
      <sheetData sheetId="6">
        <row r="95">
          <cell r="L95">
            <v>0.0703</v>
          </cell>
        </row>
        <row r="194">
          <cell r="L194">
            <v>0.0639</v>
          </cell>
        </row>
        <row r="224">
          <cell r="L224">
            <v>0.0874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"/>
      <sheetName val="Калькуляция ст_ти 1 кВт свернут"/>
      <sheetName val="Калькуляция стоимости 1 кВт"/>
      <sheetName val="Ставки платы за 1 кВт прил 2"/>
      <sheetName val="калькуляция 2014г пост схема"/>
      <sheetName val="калькуляция 2014г врем схема"/>
      <sheetName val="расчет выпадающего дохода"/>
      <sheetName val="физ показ за 3 г к расч ставок"/>
      <sheetName val="приложение3"/>
      <sheetName val="ступени"/>
      <sheetName val="трудоемк по сетям"/>
      <sheetName val="анализ платы"/>
      <sheetName val="Расчет НВВ"/>
      <sheetName val="Смета"/>
      <sheetName val="Балансовая прибыль"/>
      <sheetName val="анализ трудозатрат"/>
      <sheetName val="ФОТ"/>
      <sheetName val="Отчисления_НПФ"/>
      <sheetName val="страхование"/>
      <sheetName val="электроэнергия"/>
      <sheetName val="теплоэнегия"/>
      <sheetName val="аренда земли"/>
      <sheetName val="транспортный налог"/>
      <sheetName val="гсм"/>
      <sheetName val="связь"/>
      <sheetName val="ремонт и ТО"/>
      <sheetName val="охрана"/>
      <sheetName val="сигнализация"/>
      <sheetName val="коммун"/>
      <sheetName val="информационные услуги"/>
      <sheetName val="приобретение программ"/>
      <sheetName val="подписка"/>
      <sheetName val="больничные"/>
      <sheetName val="прочие материалы"/>
      <sheetName val="канцтовары"/>
      <sheetName val="почтово-телеграф"/>
      <sheetName val="мусор"/>
      <sheetName val="командир"/>
    </sheetNames>
    <sheetDataSet>
      <sheetData sheetId="1">
        <row r="11">
          <cell r="E11">
            <v>295.65</v>
          </cell>
          <cell r="H11">
            <v>88.18</v>
          </cell>
          <cell r="K11">
            <v>216.12</v>
          </cell>
        </row>
        <row r="19">
          <cell r="E19">
            <v>450.87</v>
          </cell>
          <cell r="H19">
            <v>131.89</v>
          </cell>
          <cell r="K19">
            <v>329.76</v>
          </cell>
        </row>
        <row r="20">
          <cell r="H20">
            <v>2.76</v>
          </cell>
        </row>
        <row r="21">
          <cell r="E21">
            <v>585.21</v>
          </cell>
          <cell r="H21">
            <v>168.57</v>
          </cell>
          <cell r="K21">
            <v>428.06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="70" zoomScaleNormal="70" zoomScalePageLayoutView="0" workbookViewId="0" topLeftCell="A13">
      <selection activeCell="C40" sqref="C40"/>
    </sheetView>
  </sheetViews>
  <sheetFormatPr defaultColWidth="9.140625" defaultRowHeight="15"/>
  <cols>
    <col min="1" max="1" width="68.421875" style="0" customWidth="1"/>
    <col min="2" max="2" width="14.00390625" style="0" customWidth="1"/>
    <col min="3" max="3" width="14.28125" style="0" customWidth="1"/>
    <col min="4" max="4" width="23.28125" style="0" customWidth="1"/>
    <col min="5" max="6" width="23.7109375" style="0" customWidth="1"/>
    <col min="7" max="7" width="23.57421875" style="0" customWidth="1"/>
    <col min="8" max="8" width="23.7109375" style="0" customWidth="1"/>
    <col min="11" max="13" width="11.421875" style="0" bestFit="1" customWidth="1"/>
    <col min="14" max="14" width="10.00390625" style="0" bestFit="1" customWidth="1"/>
  </cols>
  <sheetData>
    <row r="1" spans="1:8" s="8" customFormat="1" ht="99.75" customHeight="1">
      <c r="A1" s="241"/>
      <c r="B1" s="241"/>
      <c r="C1" s="241"/>
      <c r="D1" s="241"/>
      <c r="E1" s="241"/>
      <c r="F1" s="241"/>
      <c r="G1" s="410" t="s">
        <v>559</v>
      </c>
      <c r="H1" s="410"/>
    </row>
    <row r="2" spans="1:8" s="8" customFormat="1" ht="39.75" customHeight="1">
      <c r="A2" s="420" t="s">
        <v>95</v>
      </c>
      <c r="B2" s="421"/>
      <c r="C2" s="421"/>
      <c r="D2" s="421"/>
      <c r="E2" s="421"/>
      <c r="F2" s="421"/>
      <c r="G2" s="421"/>
      <c r="H2" s="421"/>
    </row>
    <row r="3" spans="1:10" s="8" customFormat="1" ht="69.75" customHeight="1">
      <c r="A3" s="411" t="s">
        <v>561</v>
      </c>
      <c r="B3" s="411"/>
      <c r="C3" s="411"/>
      <c r="D3" s="411"/>
      <c r="E3" s="411"/>
      <c r="F3" s="411"/>
      <c r="G3" s="412"/>
      <c r="H3" s="412"/>
      <c r="J3" s="9"/>
    </row>
    <row r="4" spans="1:10" s="8" customFormat="1" ht="17.25" thickBot="1">
      <c r="A4" s="242"/>
      <c r="B4" s="242"/>
      <c r="C4" s="242"/>
      <c r="D4" s="242"/>
      <c r="E4" s="242"/>
      <c r="F4" s="242"/>
      <c r="G4" s="274"/>
      <c r="H4" s="259" t="s">
        <v>540</v>
      </c>
      <c r="J4" s="9"/>
    </row>
    <row r="5" spans="1:8" s="8" customFormat="1" ht="24.75" customHeight="1">
      <c r="A5" s="413" t="s">
        <v>231</v>
      </c>
      <c r="B5" s="416" t="s">
        <v>232</v>
      </c>
      <c r="C5" s="416" t="s">
        <v>233</v>
      </c>
      <c r="D5" s="422" t="s">
        <v>524</v>
      </c>
      <c r="E5" s="426" t="s">
        <v>66</v>
      </c>
      <c r="F5" s="427"/>
      <c r="G5" s="416" t="s">
        <v>67</v>
      </c>
      <c r="H5" s="432"/>
    </row>
    <row r="6" spans="1:8" s="8" customFormat="1" ht="15.75" customHeight="1">
      <c r="A6" s="414"/>
      <c r="B6" s="417"/>
      <c r="C6" s="417"/>
      <c r="D6" s="423"/>
      <c r="E6" s="428"/>
      <c r="F6" s="429"/>
      <c r="G6" s="417"/>
      <c r="H6" s="433"/>
    </row>
    <row r="7" spans="1:8" s="8" customFormat="1" ht="14.25" customHeight="1">
      <c r="A7" s="414"/>
      <c r="B7" s="417"/>
      <c r="C7" s="419"/>
      <c r="D7" s="423"/>
      <c r="E7" s="428"/>
      <c r="F7" s="429"/>
      <c r="G7" s="417"/>
      <c r="H7" s="433"/>
    </row>
    <row r="8" spans="1:8" s="8" customFormat="1" ht="18" customHeight="1">
      <c r="A8" s="414"/>
      <c r="B8" s="417"/>
      <c r="C8" s="419"/>
      <c r="D8" s="423"/>
      <c r="E8" s="430"/>
      <c r="F8" s="431"/>
      <c r="G8" s="417"/>
      <c r="H8" s="433"/>
    </row>
    <row r="9" spans="1:8" s="11" customFormat="1" ht="30.75" customHeight="1" thickBot="1">
      <c r="A9" s="415"/>
      <c r="B9" s="418"/>
      <c r="C9" s="418"/>
      <c r="D9" s="424"/>
      <c r="E9" s="314" t="s">
        <v>239</v>
      </c>
      <c r="F9" s="314" t="s">
        <v>249</v>
      </c>
      <c r="G9" s="314" t="s">
        <v>239</v>
      </c>
      <c r="H9" s="315" t="s">
        <v>250</v>
      </c>
    </row>
    <row r="10" spans="1:14" s="11" customFormat="1" ht="30.75" customHeight="1">
      <c r="A10" s="442" t="s">
        <v>535</v>
      </c>
      <c r="B10" s="434" t="s">
        <v>240</v>
      </c>
      <c r="C10" s="434" t="s">
        <v>241</v>
      </c>
      <c r="D10" s="244" t="s">
        <v>525</v>
      </c>
      <c r="E10" s="693">
        <f aca="true" t="shared" si="0" ref="E10:H12">E14+E18+E26</f>
        <v>1444.21</v>
      </c>
      <c r="F10" s="693">
        <f t="shared" si="0"/>
        <v>1807.06</v>
      </c>
      <c r="G10" s="693">
        <f t="shared" si="0"/>
        <v>996.26</v>
      </c>
      <c r="H10" s="702">
        <f t="shared" si="0"/>
        <v>1246.4</v>
      </c>
      <c r="K10" s="213"/>
      <c r="L10" s="213"/>
      <c r="M10" s="213"/>
      <c r="N10" s="213"/>
    </row>
    <row r="11" spans="1:14" s="11" customFormat="1" ht="30.75" customHeight="1">
      <c r="A11" s="442"/>
      <c r="B11" s="434"/>
      <c r="C11" s="434"/>
      <c r="D11" s="244" t="s">
        <v>527</v>
      </c>
      <c r="E11" s="693">
        <f t="shared" si="0"/>
        <v>355.49</v>
      </c>
      <c r="F11" s="693">
        <f t="shared" si="0"/>
        <v>316.56</v>
      </c>
      <c r="G11" s="693">
        <f t="shared" si="0"/>
        <v>241.76999999999998</v>
      </c>
      <c r="H11" s="702">
        <f t="shared" si="0"/>
        <v>209.39999999999998</v>
      </c>
      <c r="K11" s="213"/>
      <c r="L11" s="213"/>
      <c r="M11" s="213"/>
      <c r="N11" s="213"/>
    </row>
    <row r="12" spans="1:14" s="11" customFormat="1" ht="30.75" customHeight="1">
      <c r="A12" s="442"/>
      <c r="B12" s="434"/>
      <c r="C12" s="434"/>
      <c r="D12" s="244" t="s">
        <v>528</v>
      </c>
      <c r="E12" s="693">
        <f t="shared" si="0"/>
        <v>84.68</v>
      </c>
      <c r="F12" s="693">
        <f t="shared" si="0"/>
        <v>90.25999999999999</v>
      </c>
      <c r="G12" s="693">
        <f t="shared" si="0"/>
        <v>56.94</v>
      </c>
      <c r="H12" s="702">
        <f t="shared" si="0"/>
        <v>61.34</v>
      </c>
      <c r="K12" s="213"/>
      <c r="L12" s="213"/>
      <c r="M12" s="213"/>
      <c r="N12" s="213"/>
    </row>
    <row r="13" spans="1:14" s="8" customFormat="1" ht="30.75" customHeight="1" thickBot="1">
      <c r="A13" s="443"/>
      <c r="B13" s="435"/>
      <c r="C13" s="435"/>
      <c r="D13" s="245" t="s">
        <v>526</v>
      </c>
      <c r="E13" s="694">
        <f>E17+E21+E25+E29</f>
        <v>46.3</v>
      </c>
      <c r="F13" s="694">
        <f>F17+F21+F25+F29</f>
        <v>14.149999999999999</v>
      </c>
      <c r="G13" s="694">
        <f>G17+G21+G29</f>
        <v>29.18</v>
      </c>
      <c r="H13" s="703">
        <f>H17+H21+H29</f>
        <v>9.28</v>
      </c>
      <c r="K13" s="214"/>
      <c r="L13" s="214"/>
      <c r="M13" s="214"/>
      <c r="N13" s="214"/>
    </row>
    <row r="14" spans="1:8" s="8" customFormat="1" ht="30.75" customHeight="1">
      <c r="A14" s="439" t="s">
        <v>536</v>
      </c>
      <c r="B14" s="436" t="s">
        <v>243</v>
      </c>
      <c r="C14" s="436" t="s">
        <v>241</v>
      </c>
      <c r="D14" s="243" t="s">
        <v>525</v>
      </c>
      <c r="E14" s="684">
        <v>262.33</v>
      </c>
      <c r="F14" s="684">
        <v>329.06</v>
      </c>
      <c r="G14" s="687">
        <v>160.74</v>
      </c>
      <c r="H14" s="695">
        <v>201.63</v>
      </c>
    </row>
    <row r="15" spans="1:8" s="8" customFormat="1" ht="30.75" customHeight="1">
      <c r="A15" s="440"/>
      <c r="B15" s="437"/>
      <c r="C15" s="437"/>
      <c r="D15" s="243" t="s">
        <v>527</v>
      </c>
      <c r="E15" s="685">
        <v>63.28</v>
      </c>
      <c r="F15" s="685">
        <v>56.37</v>
      </c>
      <c r="G15" s="688">
        <v>40.67</v>
      </c>
      <c r="H15" s="696">
        <v>33.65</v>
      </c>
    </row>
    <row r="16" spans="1:8" s="8" customFormat="1" ht="30.75" customHeight="1">
      <c r="A16" s="440"/>
      <c r="B16" s="437"/>
      <c r="C16" s="437"/>
      <c r="D16" s="243" t="s">
        <v>528</v>
      </c>
      <c r="E16" s="685">
        <v>15.91</v>
      </c>
      <c r="F16" s="685">
        <v>19.54</v>
      </c>
      <c r="G16" s="688">
        <v>10.82</v>
      </c>
      <c r="H16" s="696">
        <v>13.81</v>
      </c>
    </row>
    <row r="17" spans="1:9" s="8" customFormat="1" ht="30.75" customHeight="1" thickBot="1">
      <c r="A17" s="441"/>
      <c r="B17" s="438"/>
      <c r="C17" s="438"/>
      <c r="D17" s="246" t="s">
        <v>526</v>
      </c>
      <c r="E17" s="686">
        <v>9.8</v>
      </c>
      <c r="F17" s="686">
        <v>3.49</v>
      </c>
      <c r="G17" s="686">
        <v>7.08</v>
      </c>
      <c r="H17" s="697">
        <v>2.61</v>
      </c>
      <c r="I17" s="10"/>
    </row>
    <row r="18" spans="1:9" s="8" customFormat="1" ht="30.75" customHeight="1">
      <c r="A18" s="439" t="s">
        <v>537</v>
      </c>
      <c r="B18" s="436" t="s">
        <v>245</v>
      </c>
      <c r="C18" s="436" t="s">
        <v>241</v>
      </c>
      <c r="D18" s="243" t="s">
        <v>525</v>
      </c>
      <c r="E18" s="687">
        <v>493.11</v>
      </c>
      <c r="F18" s="687">
        <v>620.99</v>
      </c>
      <c r="G18" s="687">
        <v>342.46</v>
      </c>
      <c r="H18" s="695">
        <v>431.27</v>
      </c>
      <c r="I18" s="10"/>
    </row>
    <row r="19" spans="1:9" s="8" customFormat="1" ht="30.75" customHeight="1">
      <c r="A19" s="440"/>
      <c r="B19" s="437"/>
      <c r="C19" s="437"/>
      <c r="D19" s="243" t="s">
        <v>527</v>
      </c>
      <c r="E19" s="688">
        <v>127.52</v>
      </c>
      <c r="F19" s="688">
        <v>110.73</v>
      </c>
      <c r="G19" s="688">
        <v>82.64</v>
      </c>
      <c r="H19" s="696">
        <v>71.36</v>
      </c>
      <c r="I19" s="10"/>
    </row>
    <row r="20" spans="1:9" s="8" customFormat="1" ht="30.75" customHeight="1">
      <c r="A20" s="440"/>
      <c r="B20" s="437"/>
      <c r="C20" s="437"/>
      <c r="D20" s="243" t="s">
        <v>528</v>
      </c>
      <c r="E20" s="688">
        <v>29.19</v>
      </c>
      <c r="F20" s="688">
        <v>30.76</v>
      </c>
      <c r="G20" s="688">
        <v>18.29</v>
      </c>
      <c r="H20" s="696">
        <v>19.34</v>
      </c>
      <c r="I20" s="10"/>
    </row>
    <row r="21" spans="1:8" s="8" customFormat="1" ht="30.75" customHeight="1" thickBot="1">
      <c r="A21" s="441"/>
      <c r="B21" s="438"/>
      <c r="C21" s="438"/>
      <c r="D21" s="246" t="s">
        <v>526</v>
      </c>
      <c r="E21" s="689">
        <v>14.81</v>
      </c>
      <c r="F21" s="689">
        <v>4.45</v>
      </c>
      <c r="G21" s="689">
        <v>8.6</v>
      </c>
      <c r="H21" s="698">
        <v>2.69</v>
      </c>
    </row>
    <row r="22" spans="1:8" s="8" customFormat="1" ht="30.75" customHeight="1">
      <c r="A22" s="439" t="s">
        <v>538</v>
      </c>
      <c r="B22" s="436" t="s">
        <v>246</v>
      </c>
      <c r="C22" s="436" t="s">
        <v>241</v>
      </c>
      <c r="D22" s="243" t="s">
        <v>525</v>
      </c>
      <c r="E22" s="690" t="s">
        <v>529</v>
      </c>
      <c r="F22" s="690" t="s">
        <v>529</v>
      </c>
      <c r="G22" s="248" t="s">
        <v>529</v>
      </c>
      <c r="H22" s="312" t="s">
        <v>529</v>
      </c>
    </row>
    <row r="23" spans="1:8" s="8" customFormat="1" ht="30.75" customHeight="1">
      <c r="A23" s="440"/>
      <c r="B23" s="437"/>
      <c r="C23" s="437"/>
      <c r="D23" s="243" t="s">
        <v>527</v>
      </c>
      <c r="E23" s="691" t="s">
        <v>529</v>
      </c>
      <c r="F23" s="691" t="s">
        <v>529</v>
      </c>
      <c r="G23" s="195" t="s">
        <v>529</v>
      </c>
      <c r="H23" s="313" t="s">
        <v>529</v>
      </c>
    </row>
    <row r="24" spans="1:8" s="8" customFormat="1" ht="30.75" customHeight="1">
      <c r="A24" s="440"/>
      <c r="B24" s="437"/>
      <c r="C24" s="437"/>
      <c r="D24" s="243" t="s">
        <v>528</v>
      </c>
      <c r="E24" s="691" t="s">
        <v>529</v>
      </c>
      <c r="F24" s="691" t="s">
        <v>529</v>
      </c>
      <c r="G24" s="195" t="s">
        <v>529</v>
      </c>
      <c r="H24" s="313" t="s">
        <v>529</v>
      </c>
    </row>
    <row r="25" spans="1:8" s="8" customFormat="1" ht="30.75" customHeight="1" thickBot="1">
      <c r="A25" s="441"/>
      <c r="B25" s="438"/>
      <c r="C25" s="438"/>
      <c r="D25" s="246" t="s">
        <v>526</v>
      </c>
      <c r="E25" s="689">
        <v>2.44</v>
      </c>
      <c r="F25" s="689">
        <v>0.66</v>
      </c>
      <c r="G25" s="247" t="s">
        <v>529</v>
      </c>
      <c r="H25" s="311" t="s">
        <v>529</v>
      </c>
    </row>
    <row r="26" spans="1:8" s="8" customFormat="1" ht="30.75" customHeight="1">
      <c r="A26" s="439" t="s">
        <v>539</v>
      </c>
      <c r="B26" s="436" t="s">
        <v>248</v>
      </c>
      <c r="C26" s="444" t="s">
        <v>241</v>
      </c>
      <c r="D26" s="310" t="s">
        <v>525</v>
      </c>
      <c r="E26" s="692">
        <v>688.77</v>
      </c>
      <c r="F26" s="692">
        <v>857.01</v>
      </c>
      <c r="G26" s="699">
        <v>493.06</v>
      </c>
      <c r="H26" s="700">
        <v>613.5</v>
      </c>
    </row>
    <row r="27" spans="1:8" s="8" customFormat="1" ht="30.75" customHeight="1">
      <c r="A27" s="440"/>
      <c r="B27" s="437"/>
      <c r="C27" s="437"/>
      <c r="D27" s="243" t="s">
        <v>527</v>
      </c>
      <c r="E27" s="691">
        <v>164.69</v>
      </c>
      <c r="F27" s="691">
        <v>149.46</v>
      </c>
      <c r="G27" s="691">
        <v>118.46</v>
      </c>
      <c r="H27" s="701">
        <v>104.39</v>
      </c>
    </row>
    <row r="28" spans="1:8" s="8" customFormat="1" ht="30.75" customHeight="1">
      <c r="A28" s="440"/>
      <c r="B28" s="437"/>
      <c r="C28" s="437"/>
      <c r="D28" s="243" t="s">
        <v>528</v>
      </c>
      <c r="E28" s="691">
        <v>39.58</v>
      </c>
      <c r="F28" s="691">
        <v>39.96</v>
      </c>
      <c r="G28" s="691">
        <v>27.83</v>
      </c>
      <c r="H28" s="701">
        <v>28.19</v>
      </c>
    </row>
    <row r="29" spans="1:8" s="8" customFormat="1" ht="30" customHeight="1" thickBot="1">
      <c r="A29" s="441"/>
      <c r="B29" s="438"/>
      <c r="C29" s="438"/>
      <c r="D29" s="246" t="s">
        <v>526</v>
      </c>
      <c r="E29" s="689">
        <v>19.25</v>
      </c>
      <c r="F29" s="689">
        <v>5.55</v>
      </c>
      <c r="G29" s="689">
        <v>13.5</v>
      </c>
      <c r="H29" s="698">
        <v>3.98</v>
      </c>
    </row>
    <row r="30" spans="1:8" s="8" customFormat="1" ht="39.75" customHeight="1">
      <c r="A30" s="187"/>
      <c r="B30" s="188"/>
      <c r="C30" s="188"/>
      <c r="D30" s="188"/>
      <c r="E30" s="189"/>
      <c r="F30" s="189"/>
      <c r="G30" s="189"/>
      <c r="H30" s="190"/>
    </row>
    <row r="31" s="8" customFormat="1" ht="21" customHeight="1">
      <c r="A31" s="186" t="s">
        <v>251</v>
      </c>
    </row>
    <row r="32" spans="1:8" s="8" customFormat="1" ht="33" customHeight="1">
      <c r="A32" s="425" t="s">
        <v>94</v>
      </c>
      <c r="B32" s="425"/>
      <c r="C32" s="425"/>
      <c r="D32" s="425"/>
      <c r="E32" s="425"/>
      <c r="F32" s="425"/>
      <c r="G32" s="425"/>
      <c r="H32" s="425"/>
    </row>
  </sheetData>
  <sheetProtection/>
  <mergeCells count="25">
    <mergeCell ref="A14:A17"/>
    <mergeCell ref="A10:A13"/>
    <mergeCell ref="B22:B25"/>
    <mergeCell ref="C22:C25"/>
    <mergeCell ref="B26:B29"/>
    <mergeCell ref="C26:C29"/>
    <mergeCell ref="A26:A29"/>
    <mergeCell ref="A22:A25"/>
    <mergeCell ref="A32:H32"/>
    <mergeCell ref="E5:F8"/>
    <mergeCell ref="G5:H8"/>
    <mergeCell ref="B10:B13"/>
    <mergeCell ref="C10:C13"/>
    <mergeCell ref="B14:B17"/>
    <mergeCell ref="C14:C17"/>
    <mergeCell ref="B18:B21"/>
    <mergeCell ref="C18:C21"/>
    <mergeCell ref="A18:A21"/>
    <mergeCell ref="G1:H1"/>
    <mergeCell ref="A3:H3"/>
    <mergeCell ref="A5:A9"/>
    <mergeCell ref="B5:B9"/>
    <mergeCell ref="C5:C9"/>
    <mergeCell ref="A2:H2"/>
    <mergeCell ref="D5:D9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35"/>
  <sheetViews>
    <sheetView view="pageBreakPreview" zoomScale="60" zoomScaleNormal="70" zoomScalePageLayoutView="0" workbookViewId="0" topLeftCell="A7">
      <selection activeCell="D9" sqref="D9:D30"/>
    </sheetView>
  </sheetViews>
  <sheetFormatPr defaultColWidth="9.140625" defaultRowHeight="15"/>
  <cols>
    <col min="1" max="1" width="9.140625" style="158" customWidth="1"/>
    <col min="2" max="2" width="104.57421875" style="158" customWidth="1"/>
    <col min="3" max="5" width="25.7109375" style="158" customWidth="1"/>
    <col min="6" max="6" width="26.28125" style="158" customWidth="1"/>
    <col min="7" max="16384" width="9.140625" style="158" customWidth="1"/>
  </cols>
  <sheetData>
    <row r="1" spans="4:31" ht="88.5" customHeight="1">
      <c r="D1" s="680" t="s">
        <v>30</v>
      </c>
      <c r="E1" s="680"/>
      <c r="F1" s="680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</row>
    <row r="2" spans="2:6" ht="51" customHeight="1">
      <c r="B2" s="666" t="s">
        <v>29</v>
      </c>
      <c r="C2" s="666"/>
      <c r="D2" s="666"/>
      <c r="E2" s="667"/>
      <c r="F2" s="667"/>
    </row>
    <row r="3" spans="2:6" ht="12.75" customHeight="1" thickBot="1">
      <c r="B3" s="167"/>
      <c r="C3" s="167"/>
      <c r="D3" s="167"/>
      <c r="E3" s="167"/>
      <c r="F3" s="167"/>
    </row>
    <row r="4" spans="1:6" s="166" customFormat="1" ht="73.5" customHeight="1">
      <c r="A4" s="663" t="s">
        <v>254</v>
      </c>
      <c r="B4" s="668" t="s">
        <v>231</v>
      </c>
      <c r="C4" s="670" t="s">
        <v>234</v>
      </c>
      <c r="D4" s="671"/>
      <c r="E4" s="671"/>
      <c r="F4" s="672"/>
    </row>
    <row r="5" spans="1:6" s="166" customFormat="1" ht="44.25" customHeight="1">
      <c r="A5" s="664"/>
      <c r="B5" s="462"/>
      <c r="C5" s="673" t="s">
        <v>235</v>
      </c>
      <c r="D5" s="674"/>
      <c r="E5" s="673" t="s">
        <v>28</v>
      </c>
      <c r="F5" s="675"/>
    </row>
    <row r="6" spans="1:6" s="166" customFormat="1" ht="27" customHeight="1">
      <c r="A6" s="664"/>
      <c r="B6" s="462"/>
      <c r="C6" s="676" t="s">
        <v>236</v>
      </c>
      <c r="D6" s="677"/>
      <c r="E6" s="678" t="s">
        <v>237</v>
      </c>
      <c r="F6" s="679"/>
    </row>
    <row r="7" spans="1:6" s="166" customFormat="1" ht="98.25" customHeight="1">
      <c r="A7" s="664"/>
      <c r="B7" s="462"/>
      <c r="C7" s="681" t="s">
        <v>238</v>
      </c>
      <c r="D7" s="682"/>
      <c r="E7" s="681" t="s">
        <v>238</v>
      </c>
      <c r="F7" s="683"/>
    </row>
    <row r="8" spans="1:6" s="163" customFormat="1" ht="38.25" customHeight="1">
      <c r="A8" s="665"/>
      <c r="B8" s="669"/>
      <c r="C8" s="165" t="s">
        <v>239</v>
      </c>
      <c r="D8" s="165" t="s">
        <v>250</v>
      </c>
      <c r="E8" s="165" t="s">
        <v>239</v>
      </c>
      <c r="F8" s="164" t="s">
        <v>250</v>
      </c>
    </row>
    <row r="9" spans="1:6" s="90" customFormat="1" ht="23.25" customHeight="1">
      <c r="A9" s="40" t="s">
        <v>27</v>
      </c>
      <c r="B9" s="41" t="s">
        <v>242</v>
      </c>
      <c r="C9" s="112">
        <f>'[2]Калькуляция ст_ти 1 кВт свернут'!$E$11</f>
        <v>295.65</v>
      </c>
      <c r="D9" s="95">
        <f>'[2]Калькуляция ст_ти 1 кВт свернут'!$H$11</f>
        <v>88.18</v>
      </c>
      <c r="E9" s="95">
        <f>'[2]Калькуляция ст_ти 1 кВт свернут'!$K$11</f>
        <v>216.12</v>
      </c>
      <c r="F9" s="170">
        <v>88.18</v>
      </c>
    </row>
    <row r="10" spans="1:6" s="162" customFormat="1" ht="18" customHeight="1">
      <c r="A10" s="40" t="s">
        <v>26</v>
      </c>
      <c r="B10" s="41" t="s">
        <v>25</v>
      </c>
      <c r="C10" s="1" t="s">
        <v>2</v>
      </c>
      <c r="D10" s="1" t="s">
        <v>2</v>
      </c>
      <c r="E10" s="1" t="s">
        <v>2</v>
      </c>
      <c r="F10" s="161" t="s">
        <v>2</v>
      </c>
    </row>
    <row r="11" spans="1:6" s="162" customFormat="1" ht="18" customHeight="1">
      <c r="A11" s="40"/>
      <c r="B11" s="41" t="s">
        <v>22</v>
      </c>
      <c r="C11" s="1"/>
      <c r="D11" s="1"/>
      <c r="E11" s="1"/>
      <c r="F11" s="161"/>
    </row>
    <row r="12" spans="1:6" s="162" customFormat="1" ht="18" customHeight="1">
      <c r="A12" s="40" t="s">
        <v>24</v>
      </c>
      <c r="B12" s="41" t="s">
        <v>23</v>
      </c>
      <c r="C12" s="1" t="s">
        <v>2</v>
      </c>
      <c r="D12" s="1" t="s">
        <v>2</v>
      </c>
      <c r="E12" s="1" t="s">
        <v>2</v>
      </c>
      <c r="F12" s="161" t="s">
        <v>2</v>
      </c>
    </row>
    <row r="13" spans="1:6" s="162" customFormat="1" ht="18" customHeight="1">
      <c r="A13" s="40" t="s">
        <v>147</v>
      </c>
      <c r="B13" s="41" t="s">
        <v>22</v>
      </c>
      <c r="C13" s="168">
        <v>3540.7</v>
      </c>
      <c r="D13" s="168">
        <v>1508.34</v>
      </c>
      <c r="E13" s="1"/>
      <c r="F13" s="161"/>
    </row>
    <row r="14" spans="1:6" s="162" customFormat="1" ht="18" customHeight="1" hidden="1">
      <c r="A14" s="40"/>
      <c r="B14" s="41" t="s">
        <v>21</v>
      </c>
      <c r="C14" s="1"/>
      <c r="D14" s="1"/>
      <c r="E14" s="1"/>
      <c r="F14" s="161"/>
    </row>
    <row r="15" spans="1:6" s="162" customFormat="1" ht="18" customHeight="1" hidden="1">
      <c r="A15" s="40"/>
      <c r="B15" s="41" t="s">
        <v>20</v>
      </c>
      <c r="C15" s="1"/>
      <c r="D15" s="1"/>
      <c r="E15" s="1"/>
      <c r="F15" s="161"/>
    </row>
    <row r="16" spans="1:6" s="162" customFormat="1" ht="18" customHeight="1">
      <c r="A16" s="40" t="s">
        <v>469</v>
      </c>
      <c r="B16" s="41" t="s">
        <v>19</v>
      </c>
      <c r="C16" s="168">
        <v>11317.5</v>
      </c>
      <c r="D16" s="168">
        <v>8997.11</v>
      </c>
      <c r="E16" s="1"/>
      <c r="F16" s="161"/>
    </row>
    <row r="17" spans="1:6" s="162" customFormat="1" ht="18" customHeight="1" hidden="1">
      <c r="A17" s="40"/>
      <c r="B17" s="41" t="s">
        <v>18</v>
      </c>
      <c r="C17" s="1"/>
      <c r="D17" s="1"/>
      <c r="E17" s="1"/>
      <c r="F17" s="161"/>
    </row>
    <row r="18" spans="1:6" s="162" customFormat="1" ht="18" customHeight="1" hidden="1">
      <c r="A18" s="40"/>
      <c r="B18" s="41" t="s">
        <v>17</v>
      </c>
      <c r="C18" s="1"/>
      <c r="D18" s="1"/>
      <c r="E18" s="1"/>
      <c r="F18" s="161"/>
    </row>
    <row r="19" spans="1:6" s="162" customFormat="1" ht="18" customHeight="1" hidden="1">
      <c r="A19" s="40"/>
      <c r="B19" s="99" t="s">
        <v>16</v>
      </c>
      <c r="C19" s="1"/>
      <c r="D19" s="1"/>
      <c r="E19" s="1"/>
      <c r="F19" s="161"/>
    </row>
    <row r="20" spans="1:6" s="162" customFormat="1" ht="18" customHeight="1" hidden="1">
      <c r="A20" s="40"/>
      <c r="B20" s="99" t="s">
        <v>149</v>
      </c>
      <c r="C20" s="1"/>
      <c r="D20" s="1"/>
      <c r="E20" s="1"/>
      <c r="F20" s="161"/>
    </row>
    <row r="21" spans="1:6" s="162" customFormat="1" ht="18" customHeight="1" hidden="1">
      <c r="A21" s="40"/>
      <c r="B21" s="99" t="s">
        <v>15</v>
      </c>
      <c r="C21" s="1"/>
      <c r="D21" s="1"/>
      <c r="E21" s="1"/>
      <c r="F21" s="161"/>
    </row>
    <row r="22" spans="1:6" s="162" customFormat="1" ht="18" customHeight="1" hidden="1">
      <c r="A22" s="40"/>
      <c r="B22" s="99" t="s">
        <v>14</v>
      </c>
      <c r="C22" s="1"/>
      <c r="D22" s="1"/>
      <c r="E22" s="1"/>
      <c r="F22" s="161"/>
    </row>
    <row r="23" spans="1:6" s="162" customFormat="1" ht="18" customHeight="1" hidden="1">
      <c r="A23" s="40"/>
      <c r="B23" s="99" t="s">
        <v>13</v>
      </c>
      <c r="C23" s="1"/>
      <c r="D23" s="1"/>
      <c r="E23" s="1"/>
      <c r="F23" s="161"/>
    </row>
    <row r="24" spans="1:6" s="162" customFormat="1" ht="18" customHeight="1" hidden="1">
      <c r="A24" s="40"/>
      <c r="B24" s="99" t="s">
        <v>12</v>
      </c>
      <c r="C24" s="1"/>
      <c r="D24" s="1"/>
      <c r="E24" s="1"/>
      <c r="F24" s="161"/>
    </row>
    <row r="25" spans="1:6" s="162" customFormat="1" ht="19.5" customHeight="1">
      <c r="A25" s="40" t="s">
        <v>11</v>
      </c>
      <c r="B25" s="41" t="s">
        <v>10</v>
      </c>
      <c r="C25" s="1" t="s">
        <v>2</v>
      </c>
      <c r="D25" s="1" t="s">
        <v>2</v>
      </c>
      <c r="E25" s="1" t="s">
        <v>2</v>
      </c>
      <c r="F25" s="161" t="s">
        <v>2</v>
      </c>
    </row>
    <row r="26" spans="1:6" s="90" customFormat="1" ht="31.5">
      <c r="A26" s="40" t="s">
        <v>9</v>
      </c>
      <c r="B26" s="41" t="s">
        <v>8</v>
      </c>
      <c r="C26" s="181">
        <v>2984</v>
      </c>
      <c r="D26" s="182">
        <v>2984</v>
      </c>
      <c r="E26" s="1"/>
      <c r="F26" s="161"/>
    </row>
    <row r="27" spans="1:6" s="90" customFormat="1" ht="15.75">
      <c r="A27" s="40" t="s">
        <v>7</v>
      </c>
      <c r="B27" s="41" t="s">
        <v>6</v>
      </c>
      <c r="C27" s="1" t="s">
        <v>2</v>
      </c>
      <c r="D27" s="1" t="s">
        <v>2</v>
      </c>
      <c r="E27" s="1" t="s">
        <v>2</v>
      </c>
      <c r="F27" s="161" t="s">
        <v>2</v>
      </c>
    </row>
    <row r="28" spans="1:6" s="90" customFormat="1" ht="15.75">
      <c r="A28" s="40" t="s">
        <v>5</v>
      </c>
      <c r="B28" s="41" t="s">
        <v>244</v>
      </c>
      <c r="C28" s="168">
        <f>'[2]Калькуляция ст_ти 1 кВт свернут'!$E$19</f>
        <v>450.87</v>
      </c>
      <c r="D28" s="168">
        <f>'[2]Калькуляция ст_ти 1 кВт свернут'!$H$19</f>
        <v>131.89</v>
      </c>
      <c r="E28" s="7">
        <f>'[2]Калькуляция ст_ти 1 кВт свернут'!$K$19</f>
        <v>329.76</v>
      </c>
      <c r="F28" s="161">
        <v>131.89</v>
      </c>
    </row>
    <row r="29" spans="1:6" s="90" customFormat="1" ht="31.5">
      <c r="A29" s="40" t="s">
        <v>4</v>
      </c>
      <c r="B29" s="41" t="s">
        <v>3</v>
      </c>
      <c r="C29" s="1" t="s">
        <v>2</v>
      </c>
      <c r="D29" s="168">
        <f>'[2]Калькуляция ст_ти 1 кВт свернут'!$H$20</f>
        <v>2.76</v>
      </c>
      <c r="E29" s="1" t="s">
        <v>2</v>
      </c>
      <c r="F29" s="161" t="s">
        <v>2</v>
      </c>
    </row>
    <row r="30" spans="1:6" s="90" customFormat="1" ht="16.5" thickBot="1">
      <c r="A30" s="160" t="s">
        <v>1</v>
      </c>
      <c r="B30" s="159" t="s">
        <v>247</v>
      </c>
      <c r="C30" s="169">
        <f>'[2]Калькуляция ст_ти 1 кВт свернут'!$E$21</f>
        <v>585.21</v>
      </c>
      <c r="D30" s="169">
        <f>'[2]Калькуляция ст_ти 1 кВт свернут'!$H$21</f>
        <v>168.57</v>
      </c>
      <c r="E30" s="171">
        <f>'[2]Калькуляция ст_ти 1 кВт свернут'!$K$21</f>
        <v>428.06</v>
      </c>
      <c r="F30" s="172">
        <v>168.57</v>
      </c>
    </row>
    <row r="32" ht="66" customHeight="1"/>
    <row r="33" ht="15">
      <c r="A33" s="158" t="s">
        <v>367</v>
      </c>
    </row>
    <row r="34" spans="1:6" s="13" customFormat="1" ht="99" customHeight="1">
      <c r="A34" s="496" t="s">
        <v>0</v>
      </c>
      <c r="B34" s="661"/>
      <c r="C34" s="661"/>
      <c r="D34" s="661"/>
      <c r="E34" s="661"/>
      <c r="F34" s="661"/>
    </row>
    <row r="35" spans="1:6" s="13" customFormat="1" ht="197.25" customHeight="1">
      <c r="A35" s="565" t="s">
        <v>99</v>
      </c>
      <c r="B35" s="662"/>
      <c r="C35" s="662"/>
      <c r="D35" s="662"/>
      <c r="E35" s="662"/>
      <c r="F35" s="662"/>
    </row>
  </sheetData>
  <sheetProtection/>
  <mergeCells count="13">
    <mergeCell ref="D1:F1"/>
    <mergeCell ref="C7:D7"/>
    <mergeCell ref="E7:F7"/>
    <mergeCell ref="A34:F34"/>
    <mergeCell ref="A35:F35"/>
    <mergeCell ref="A4:A8"/>
    <mergeCell ref="B2:F2"/>
    <mergeCell ref="B4:B8"/>
    <mergeCell ref="C4:F4"/>
    <mergeCell ref="C5:D5"/>
    <mergeCell ref="E5:F5"/>
    <mergeCell ref="C6:D6"/>
    <mergeCell ref="E6:F6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52"/>
  <sheetViews>
    <sheetView view="pageBreakPreview" zoomScale="60" zoomScaleNormal="70" workbookViewId="0" topLeftCell="B5">
      <selection activeCell="R18" sqref="R18:R26"/>
    </sheetView>
  </sheetViews>
  <sheetFormatPr defaultColWidth="9.140625" defaultRowHeight="15"/>
  <cols>
    <col min="1" max="1" width="8.28125" style="14" hidden="1" customWidth="1"/>
    <col min="2" max="2" width="133.28125" style="13" customWidth="1"/>
    <col min="3" max="3" width="11.7109375" style="14" customWidth="1"/>
    <col min="4" max="4" width="10.7109375" style="14" customWidth="1"/>
    <col min="5" max="5" width="13.28125" style="14" customWidth="1"/>
    <col min="6" max="6" width="8.8515625" style="14" customWidth="1"/>
    <col min="7" max="7" width="14.8515625" style="14" customWidth="1"/>
    <col min="8" max="8" width="21.140625" style="14" hidden="1" customWidth="1"/>
    <col min="9" max="9" width="21.8515625" style="14" hidden="1" customWidth="1"/>
    <col min="10" max="10" width="25.421875" style="14" hidden="1" customWidth="1"/>
    <col min="11" max="11" width="26.7109375" style="14" hidden="1" customWidth="1"/>
    <col min="12" max="13" width="25.421875" style="14" hidden="1" customWidth="1"/>
    <col min="14" max="14" width="32.7109375" style="14" hidden="1" customWidth="1"/>
    <col min="15" max="15" width="31.28125" style="14" hidden="1" customWidth="1"/>
    <col min="16" max="16" width="25.421875" style="14" hidden="1" customWidth="1"/>
    <col min="17" max="17" width="22.57421875" style="13" hidden="1" customWidth="1"/>
    <col min="18" max="18" width="26.57421875" style="67" customWidth="1"/>
    <col min="19" max="20" width="23.7109375" style="13" hidden="1" customWidth="1"/>
    <col min="21" max="21" width="1.421875" style="13" customWidth="1"/>
    <col min="22" max="23" width="14.7109375" style="13" hidden="1" customWidth="1"/>
    <col min="24" max="28" width="20.7109375" style="13" hidden="1" customWidth="1"/>
    <col min="29" max="29" width="20.7109375" style="14" hidden="1" customWidth="1"/>
    <col min="30" max="31" width="20.7109375" style="13" hidden="1" customWidth="1"/>
    <col min="32" max="35" width="0" style="13" hidden="1" customWidth="1"/>
    <col min="36" max="36" width="14.421875" style="196" bestFit="1" customWidth="1"/>
    <col min="37" max="37" width="11.140625" style="13" bestFit="1" customWidth="1"/>
    <col min="38" max="16384" width="9.140625" style="13" customWidth="1"/>
  </cols>
  <sheetData>
    <row r="1" spans="1:20" ht="99.75" customHeight="1">
      <c r="A1" s="217"/>
      <c r="B1" s="218"/>
      <c r="C1" s="217"/>
      <c r="D1" s="217"/>
      <c r="E1" s="448" t="s">
        <v>560</v>
      </c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219"/>
      <c r="T1" s="218"/>
    </row>
    <row r="2" spans="1:20" ht="39.75" customHeight="1">
      <c r="A2" s="217"/>
      <c r="B2" s="449" t="s">
        <v>95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221"/>
      <c r="T2" s="218"/>
    </row>
    <row r="3" spans="1:31" ht="57" customHeight="1">
      <c r="A3" s="449" t="s">
        <v>562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50"/>
      <c r="U3" s="5"/>
      <c r="V3" s="454"/>
      <c r="W3" s="454"/>
      <c r="X3" s="4"/>
      <c r="Y3" s="16"/>
      <c r="Z3" s="4"/>
      <c r="AA3" s="16"/>
      <c r="AB3" s="4"/>
      <c r="AC3" s="4"/>
      <c r="AD3" s="4"/>
      <c r="AE3" s="3"/>
    </row>
    <row r="4" spans="1:31" ht="9.75" customHeight="1" hidden="1" thickBot="1">
      <c r="A4" s="222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4"/>
      <c r="S4" s="225"/>
      <c r="T4" s="226"/>
      <c r="U4" s="5"/>
      <c r="V4" s="454"/>
      <c r="W4" s="454"/>
      <c r="X4" s="4"/>
      <c r="Y4" s="16"/>
      <c r="Z4" s="4"/>
      <c r="AA4" s="16"/>
      <c r="AB4" s="4"/>
      <c r="AC4" s="4"/>
      <c r="AD4" s="4"/>
      <c r="AE4" s="4"/>
    </row>
    <row r="5" spans="1:31" ht="17.25" thickBot="1">
      <c r="A5" s="222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7" t="s">
        <v>540</v>
      </c>
      <c r="S5" s="225"/>
      <c r="T5" s="226"/>
      <c r="U5" s="5"/>
      <c r="V5" s="16"/>
      <c r="W5" s="16"/>
      <c r="X5" s="4"/>
      <c r="Y5" s="16"/>
      <c r="Z5" s="4"/>
      <c r="AA5" s="16"/>
      <c r="AB5" s="4"/>
      <c r="AC5" s="4"/>
      <c r="AD5" s="4"/>
      <c r="AE5" s="4"/>
    </row>
    <row r="6" spans="1:31" ht="18.75" customHeight="1">
      <c r="A6" s="451" t="s">
        <v>254</v>
      </c>
      <c r="B6" s="493" t="s">
        <v>255</v>
      </c>
      <c r="C6" s="422" t="s">
        <v>256</v>
      </c>
      <c r="D6" s="422" t="s">
        <v>257</v>
      </c>
      <c r="E6" s="422" t="s">
        <v>258</v>
      </c>
      <c r="F6" s="422" t="s">
        <v>259</v>
      </c>
      <c r="G6" s="422" t="s">
        <v>260</v>
      </c>
      <c r="H6" s="484" t="s">
        <v>261</v>
      </c>
      <c r="I6" s="490" t="s">
        <v>262</v>
      </c>
      <c r="J6" s="491"/>
      <c r="K6" s="491"/>
      <c r="L6" s="491"/>
      <c r="M6" s="491"/>
      <c r="N6" s="491"/>
      <c r="O6" s="491"/>
      <c r="P6" s="492"/>
      <c r="Q6" s="484" t="s">
        <v>263</v>
      </c>
      <c r="R6" s="445" t="s">
        <v>554</v>
      </c>
      <c r="S6" s="475" t="s">
        <v>265</v>
      </c>
      <c r="T6" s="478" t="s">
        <v>266</v>
      </c>
      <c r="U6" s="4"/>
      <c r="V6" s="460" t="s">
        <v>267</v>
      </c>
      <c r="W6" s="460"/>
      <c r="X6" s="461" t="s">
        <v>268</v>
      </c>
      <c r="Y6" s="460" t="s">
        <v>269</v>
      </c>
      <c r="Z6" s="461" t="s">
        <v>270</v>
      </c>
      <c r="AA6" s="460" t="s">
        <v>271</v>
      </c>
      <c r="AB6" s="461" t="s">
        <v>272</v>
      </c>
      <c r="AC6" s="461" t="s">
        <v>273</v>
      </c>
      <c r="AD6" s="461" t="s">
        <v>274</v>
      </c>
      <c r="AE6" s="462" t="s">
        <v>275</v>
      </c>
    </row>
    <row r="7" spans="1:31" ht="41.25" customHeight="1">
      <c r="A7" s="452"/>
      <c r="B7" s="494"/>
      <c r="C7" s="423"/>
      <c r="D7" s="423"/>
      <c r="E7" s="423"/>
      <c r="F7" s="423"/>
      <c r="G7" s="423"/>
      <c r="H7" s="485"/>
      <c r="I7" s="228" t="s">
        <v>276</v>
      </c>
      <c r="J7" s="228" t="s">
        <v>277</v>
      </c>
      <c r="K7" s="228" t="s">
        <v>278</v>
      </c>
      <c r="L7" s="471" t="s">
        <v>279</v>
      </c>
      <c r="M7" s="471"/>
      <c r="N7" s="228" t="s">
        <v>280</v>
      </c>
      <c r="O7" s="228" t="s">
        <v>281</v>
      </c>
      <c r="P7" s="228" t="s">
        <v>282</v>
      </c>
      <c r="Q7" s="485"/>
      <c r="R7" s="446"/>
      <c r="S7" s="476"/>
      <c r="T7" s="479"/>
      <c r="U7" s="20"/>
      <c r="V7" s="463"/>
      <c r="W7" s="463"/>
      <c r="X7" s="461"/>
      <c r="Y7" s="460"/>
      <c r="Z7" s="461"/>
      <c r="AA7" s="460"/>
      <c r="AB7" s="461"/>
      <c r="AC7" s="461"/>
      <c r="AD7" s="461"/>
      <c r="AE7" s="463"/>
    </row>
    <row r="8" spans="1:31" ht="18" customHeight="1" hidden="1">
      <c r="A8" s="452"/>
      <c r="B8" s="494"/>
      <c r="C8" s="423"/>
      <c r="D8" s="423"/>
      <c r="E8" s="423"/>
      <c r="F8" s="423"/>
      <c r="G8" s="423"/>
      <c r="H8" s="485"/>
      <c r="I8" s="228" t="s">
        <v>283</v>
      </c>
      <c r="J8" s="228" t="s">
        <v>284</v>
      </c>
      <c r="K8" s="228" t="s">
        <v>285</v>
      </c>
      <c r="L8" s="228" t="s">
        <v>286</v>
      </c>
      <c r="M8" s="228" t="s">
        <v>287</v>
      </c>
      <c r="N8" s="228" t="s">
        <v>288</v>
      </c>
      <c r="O8" s="228" t="s">
        <v>289</v>
      </c>
      <c r="P8" s="228" t="s">
        <v>290</v>
      </c>
      <c r="Q8" s="485"/>
      <c r="R8" s="446"/>
      <c r="S8" s="476"/>
      <c r="T8" s="479"/>
      <c r="U8" s="20"/>
      <c r="V8" s="481" t="s">
        <v>291</v>
      </c>
      <c r="W8" s="482"/>
      <c r="X8" s="455" t="s">
        <v>292</v>
      </c>
      <c r="Y8" s="473" t="s">
        <v>293</v>
      </c>
      <c r="Z8" s="455" t="s">
        <v>294</v>
      </c>
      <c r="AA8" s="473" t="s">
        <v>295</v>
      </c>
      <c r="AB8" s="455" t="s">
        <v>296</v>
      </c>
      <c r="AC8" s="455" t="s">
        <v>297</v>
      </c>
      <c r="AD8" s="455" t="s">
        <v>297</v>
      </c>
      <c r="AE8" s="455" t="s">
        <v>297</v>
      </c>
    </row>
    <row r="9" spans="1:31" ht="1.5" customHeight="1" hidden="1">
      <c r="A9" s="452"/>
      <c r="B9" s="494"/>
      <c r="C9" s="423"/>
      <c r="D9" s="423"/>
      <c r="E9" s="423"/>
      <c r="F9" s="423"/>
      <c r="G9" s="423"/>
      <c r="H9" s="486"/>
      <c r="I9" s="229">
        <v>0.025</v>
      </c>
      <c r="J9" s="229">
        <v>0.00504</v>
      </c>
      <c r="K9" s="229">
        <v>0.03</v>
      </c>
      <c r="L9" s="229">
        <v>0.006</v>
      </c>
      <c r="M9" s="229">
        <v>0.0005</v>
      </c>
      <c r="N9" s="229">
        <f>'[1]ПИР'!L95+0.2%</f>
        <v>0.0723</v>
      </c>
      <c r="O9" s="229">
        <v>0.0214</v>
      </c>
      <c r="P9" s="230">
        <v>0.03</v>
      </c>
      <c r="Q9" s="486"/>
      <c r="R9" s="447"/>
      <c r="S9" s="477"/>
      <c r="T9" s="480"/>
      <c r="U9" s="20"/>
      <c r="V9" s="23" t="s">
        <v>298</v>
      </c>
      <c r="W9" s="23" t="s">
        <v>299</v>
      </c>
      <c r="X9" s="464"/>
      <c r="Y9" s="474"/>
      <c r="Z9" s="464"/>
      <c r="AA9" s="474"/>
      <c r="AB9" s="483"/>
      <c r="AC9" s="472"/>
      <c r="AD9" s="456"/>
      <c r="AE9" s="456"/>
    </row>
    <row r="10" spans="1:31" ht="19.5" customHeight="1" thickBot="1">
      <c r="A10" s="453"/>
      <c r="B10" s="495"/>
      <c r="C10" s="424"/>
      <c r="D10" s="424"/>
      <c r="E10" s="424"/>
      <c r="F10" s="424"/>
      <c r="G10" s="424"/>
      <c r="H10" s="317" t="s">
        <v>300</v>
      </c>
      <c r="I10" s="317" t="s">
        <v>300</v>
      </c>
      <c r="J10" s="317" t="s">
        <v>300</v>
      </c>
      <c r="K10" s="317" t="s">
        <v>300</v>
      </c>
      <c r="L10" s="317" t="s">
        <v>300</v>
      </c>
      <c r="M10" s="317" t="s">
        <v>300</v>
      </c>
      <c r="N10" s="317" t="s">
        <v>300</v>
      </c>
      <c r="O10" s="317" t="s">
        <v>300</v>
      </c>
      <c r="P10" s="317" t="s">
        <v>300</v>
      </c>
      <c r="Q10" s="317" t="s">
        <v>301</v>
      </c>
      <c r="R10" s="318" t="s">
        <v>301</v>
      </c>
      <c r="S10" s="316" t="s">
        <v>301</v>
      </c>
      <c r="T10" s="233" t="s">
        <v>301</v>
      </c>
      <c r="U10" s="4"/>
      <c r="V10" s="457" t="s">
        <v>302</v>
      </c>
      <c r="W10" s="458"/>
      <c r="X10" s="458"/>
      <c r="Y10" s="458"/>
      <c r="Z10" s="458"/>
      <c r="AA10" s="458"/>
      <c r="AB10" s="458"/>
      <c r="AC10" s="458"/>
      <c r="AD10" s="458"/>
      <c r="AE10" s="459"/>
    </row>
    <row r="11" spans="1:36" s="39" customFormat="1" ht="18.75" customHeight="1" thickBot="1">
      <c r="A11" s="319" t="s">
        <v>303</v>
      </c>
      <c r="B11" s="324" t="s">
        <v>304</v>
      </c>
      <c r="C11" s="325"/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6"/>
      <c r="S11" s="320"/>
      <c r="T11" s="234"/>
      <c r="U11" s="36"/>
      <c r="V11" s="37"/>
      <c r="W11" s="37" t="e">
        <f>ROUND(PRODUCT(#REF!+#REF!+#REF!)/3,2)</f>
        <v>#REF!</v>
      </c>
      <c r="X11" s="37"/>
      <c r="Y11" s="38">
        <v>167224</v>
      </c>
      <c r="Z11" s="37">
        <v>161448.51</v>
      </c>
      <c r="AA11" s="37">
        <v>284124</v>
      </c>
      <c r="AB11" s="38" t="e">
        <f>ROUND(PRODUCT(#REF!+#REF!)/2,2)</f>
        <v>#REF!</v>
      </c>
      <c r="AC11" s="38" t="e">
        <f>ROUND(PRODUCT(#REF!+#REF!)/2,2)</f>
        <v>#REF!</v>
      </c>
      <c r="AD11" s="38" t="e">
        <f>ROUND(PRODUCT(#REF!+#REF!+#REF!)/3,2)</f>
        <v>#REF!</v>
      </c>
      <c r="AE11" s="37"/>
      <c r="AJ11" s="197"/>
    </row>
    <row r="12" spans="1:36" s="49" customFormat="1" ht="37.5" customHeight="1">
      <c r="A12" s="327" t="s">
        <v>305</v>
      </c>
      <c r="B12" s="330" t="s">
        <v>68</v>
      </c>
      <c r="C12" s="321" t="s">
        <v>307</v>
      </c>
      <c r="D12" s="321" t="s">
        <v>308</v>
      </c>
      <c r="E12" s="321">
        <v>50</v>
      </c>
      <c r="F12" s="321">
        <v>1</v>
      </c>
      <c r="G12" s="321">
        <v>0.4</v>
      </c>
      <c r="H12" s="322">
        <v>175248.95</v>
      </c>
      <c r="I12" s="323">
        <f>ROUND(PRODUCT(H12*I9),2)</f>
        <v>4381.22</v>
      </c>
      <c r="J12" s="322">
        <f aca="true" t="shared" si="0" ref="J12:P12">ROUND(PRODUCT($H$12*J9),2)</f>
        <v>883.25</v>
      </c>
      <c r="K12" s="322">
        <f t="shared" si="0"/>
        <v>5257.47</v>
      </c>
      <c r="L12" s="322">
        <f t="shared" si="0"/>
        <v>1051.49</v>
      </c>
      <c r="M12" s="322">
        <f t="shared" si="0"/>
        <v>87.62</v>
      </c>
      <c r="N12" s="322">
        <f t="shared" si="0"/>
        <v>12670.5</v>
      </c>
      <c r="O12" s="322">
        <f t="shared" si="0"/>
        <v>3750.33</v>
      </c>
      <c r="P12" s="322">
        <f t="shared" si="0"/>
        <v>5257.47</v>
      </c>
      <c r="Q12" s="323">
        <f>H12+I12+J12+K12+L12+M12+N12+O12+P12</f>
        <v>208588.3</v>
      </c>
      <c r="R12" s="331">
        <v>169290.99473684208</v>
      </c>
      <c r="S12" s="328">
        <f>ROUND(PRODUCT(Q12*'[1]индексы'!$H$19),2)</f>
        <v>786377.89</v>
      </c>
      <c r="T12" s="238">
        <f>ROUND(PRODUCT(R12*'[1]индексы'!$D$19),2)</f>
        <v>655156.15</v>
      </c>
      <c r="U12" s="46"/>
      <c r="V12" s="47"/>
      <c r="W12" s="47"/>
      <c r="X12" s="47"/>
      <c r="Y12" s="47"/>
      <c r="Z12" s="47"/>
      <c r="AA12" s="47"/>
      <c r="AB12" s="47"/>
      <c r="AC12" s="48"/>
      <c r="AD12" s="47"/>
      <c r="AE12" s="47"/>
      <c r="AJ12" s="198"/>
    </row>
    <row r="13" spans="1:36" s="49" customFormat="1" ht="37.5" customHeight="1">
      <c r="A13" s="327" t="s">
        <v>313</v>
      </c>
      <c r="B13" s="332" t="s">
        <v>69</v>
      </c>
      <c r="C13" s="228" t="s">
        <v>307</v>
      </c>
      <c r="D13" s="228" t="s">
        <v>308</v>
      </c>
      <c r="E13" s="228">
        <v>70</v>
      </c>
      <c r="F13" s="228">
        <v>1</v>
      </c>
      <c r="G13" s="228">
        <v>0.4</v>
      </c>
      <c r="H13" s="235">
        <v>187415.83</v>
      </c>
      <c r="I13" s="235">
        <f aca="true" t="shared" si="1" ref="I13:P13">ROUND(PRODUCT($H$13*I9),2)</f>
        <v>4685.4</v>
      </c>
      <c r="J13" s="235">
        <f t="shared" si="1"/>
        <v>944.58</v>
      </c>
      <c r="K13" s="235">
        <f t="shared" si="1"/>
        <v>5622.47</v>
      </c>
      <c r="L13" s="235">
        <f t="shared" si="1"/>
        <v>1124.49</v>
      </c>
      <c r="M13" s="235">
        <f t="shared" si="1"/>
        <v>93.71</v>
      </c>
      <c r="N13" s="235">
        <f t="shared" si="1"/>
        <v>13550.16</v>
      </c>
      <c r="O13" s="235">
        <f t="shared" si="1"/>
        <v>4010.7</v>
      </c>
      <c r="P13" s="235">
        <f t="shared" si="1"/>
        <v>5622.47</v>
      </c>
      <c r="Q13" s="236">
        <f>H13+I13+J13+K13+L13+M13+N13+O13+P13</f>
        <v>223069.80999999997</v>
      </c>
      <c r="R13" s="333">
        <v>191852.56937799044</v>
      </c>
      <c r="S13" s="328">
        <f>ROUND(PRODUCT(Q13*'[1]индексы'!$H$19),2)</f>
        <v>840973.18</v>
      </c>
      <c r="T13" s="238">
        <f>ROUND(PRODUCT(R13*'[1]индексы'!$D$19),2)</f>
        <v>742469.44</v>
      </c>
      <c r="U13" s="46"/>
      <c r="V13" s="47"/>
      <c r="W13" s="47"/>
      <c r="X13" s="47"/>
      <c r="Y13" s="47"/>
      <c r="Z13" s="47"/>
      <c r="AA13" s="47"/>
      <c r="AB13" s="47"/>
      <c r="AC13" s="48"/>
      <c r="AD13" s="47"/>
      <c r="AE13" s="47"/>
      <c r="AJ13" s="198"/>
    </row>
    <row r="14" spans="1:36" s="49" customFormat="1" ht="37.5" customHeight="1">
      <c r="A14" s="327" t="s">
        <v>319</v>
      </c>
      <c r="B14" s="332" t="s">
        <v>70</v>
      </c>
      <c r="C14" s="228" t="s">
        <v>307</v>
      </c>
      <c r="D14" s="228" t="s">
        <v>308</v>
      </c>
      <c r="E14" s="228">
        <v>95</v>
      </c>
      <c r="F14" s="228">
        <v>1</v>
      </c>
      <c r="G14" s="228">
        <v>0.4</v>
      </c>
      <c r="H14" s="235">
        <v>207693.95</v>
      </c>
      <c r="I14" s="235">
        <f aca="true" t="shared" si="2" ref="I14:P14">ROUND(PRODUCT($H$14*I9),2)</f>
        <v>5192.35</v>
      </c>
      <c r="J14" s="235">
        <f t="shared" si="2"/>
        <v>1046.78</v>
      </c>
      <c r="K14" s="235">
        <f t="shared" si="2"/>
        <v>6230.82</v>
      </c>
      <c r="L14" s="235">
        <f t="shared" si="2"/>
        <v>1246.16</v>
      </c>
      <c r="M14" s="235">
        <f t="shared" si="2"/>
        <v>103.85</v>
      </c>
      <c r="N14" s="235">
        <f t="shared" si="2"/>
        <v>15016.27</v>
      </c>
      <c r="O14" s="235">
        <f t="shared" si="2"/>
        <v>4444.65</v>
      </c>
      <c r="P14" s="235">
        <f t="shared" si="2"/>
        <v>6230.82</v>
      </c>
      <c r="Q14" s="236">
        <f>H14+I14+J14+K14+L14+M14+N14+O14+P14</f>
        <v>247205.65000000002</v>
      </c>
      <c r="R14" s="333">
        <v>213530.17822966506</v>
      </c>
      <c r="S14" s="328">
        <f>ROUND(PRODUCT(Q14*'[1]индексы'!$H$19),2)</f>
        <v>931965.3</v>
      </c>
      <c r="T14" s="238">
        <f>ROUND(PRODUCT(R14*'[1]индексы'!$D$19),2)</f>
        <v>826361.79</v>
      </c>
      <c r="U14" s="46"/>
      <c r="V14" s="47"/>
      <c r="W14" s="47"/>
      <c r="X14" s="47"/>
      <c r="Y14" s="47"/>
      <c r="Z14" s="47"/>
      <c r="AA14" s="47"/>
      <c r="AB14" s="47"/>
      <c r="AC14" s="48"/>
      <c r="AD14" s="47"/>
      <c r="AE14" s="47"/>
      <c r="AJ14" s="198"/>
    </row>
    <row r="15" spans="1:36" s="49" customFormat="1" ht="37.5" customHeight="1">
      <c r="A15" s="327"/>
      <c r="B15" s="332" t="s">
        <v>522</v>
      </c>
      <c r="C15" s="228" t="s">
        <v>307</v>
      </c>
      <c r="D15" s="228" t="s">
        <v>308</v>
      </c>
      <c r="E15" s="228">
        <v>120</v>
      </c>
      <c r="F15" s="228">
        <v>1</v>
      </c>
      <c r="G15" s="228">
        <v>0.4</v>
      </c>
      <c r="H15" s="235">
        <v>207693.95</v>
      </c>
      <c r="I15" s="235" t="e">
        <v>#VALUE!</v>
      </c>
      <c r="J15" s="235" t="e">
        <v>#VALUE!</v>
      </c>
      <c r="K15" s="235" t="e">
        <v>#VALUE!</v>
      </c>
      <c r="L15" s="235" t="e">
        <v>#VALUE!</v>
      </c>
      <c r="M15" s="235" t="e">
        <v>#VALUE!</v>
      </c>
      <c r="N15" s="235" t="e">
        <v>#VALUE!</v>
      </c>
      <c r="O15" s="235" t="e">
        <v>#VALUE!</v>
      </c>
      <c r="P15" s="235" t="e">
        <v>#VALUE!</v>
      </c>
      <c r="Q15" s="236" t="e">
        <v>#VALUE!</v>
      </c>
      <c r="R15" s="333">
        <v>231165.82894736843</v>
      </c>
      <c r="S15" s="328"/>
      <c r="T15" s="238"/>
      <c r="U15" s="46"/>
      <c r="V15" s="47"/>
      <c r="W15" s="47"/>
      <c r="X15" s="47"/>
      <c r="Y15" s="47"/>
      <c r="Z15" s="47"/>
      <c r="AA15" s="47"/>
      <c r="AB15" s="47"/>
      <c r="AC15" s="48"/>
      <c r="AD15" s="47"/>
      <c r="AE15" s="47"/>
      <c r="AJ15" s="198"/>
    </row>
    <row r="16" spans="1:31" s="49" customFormat="1" ht="37.5" customHeight="1" thickBot="1">
      <c r="A16" s="327"/>
      <c r="B16" s="339" t="s">
        <v>541</v>
      </c>
      <c r="C16" s="340" t="s">
        <v>307</v>
      </c>
      <c r="D16" s="340" t="s">
        <v>308</v>
      </c>
      <c r="E16" s="340">
        <v>240</v>
      </c>
      <c r="F16" s="340">
        <v>1</v>
      </c>
      <c r="G16" s="340">
        <v>0.4</v>
      </c>
      <c r="H16" s="341">
        <v>207693.95</v>
      </c>
      <c r="I16" s="341" t="e">
        <v>#VALUE!</v>
      </c>
      <c r="J16" s="341" t="e">
        <v>#VALUE!</v>
      </c>
      <c r="K16" s="341" t="e">
        <v>#VALUE!</v>
      </c>
      <c r="L16" s="341" t="e">
        <v>#VALUE!</v>
      </c>
      <c r="M16" s="341" t="e">
        <v>#VALUE!</v>
      </c>
      <c r="N16" s="341" t="e">
        <v>#VALUE!</v>
      </c>
      <c r="O16" s="341" t="e">
        <v>#VALUE!</v>
      </c>
      <c r="P16" s="341" t="e">
        <v>#VALUE!</v>
      </c>
      <c r="Q16" s="342" t="e">
        <v>#VALUE!</v>
      </c>
      <c r="R16" s="343">
        <v>251235.38755980862</v>
      </c>
      <c r="S16" s="328"/>
      <c r="T16" s="238"/>
      <c r="U16" s="46"/>
      <c r="V16" s="47"/>
      <c r="W16" s="47"/>
      <c r="X16" s="47"/>
      <c r="Y16" s="47"/>
      <c r="Z16" s="47"/>
      <c r="AA16" s="47"/>
      <c r="AB16" s="47"/>
      <c r="AC16" s="48"/>
      <c r="AD16" s="47"/>
      <c r="AE16" s="47"/>
    </row>
    <row r="17" spans="1:36" s="39" customFormat="1" ht="18.75" customHeight="1" thickBot="1">
      <c r="A17" s="319" t="s">
        <v>325</v>
      </c>
      <c r="B17" s="324" t="s">
        <v>326</v>
      </c>
      <c r="C17" s="325"/>
      <c r="D17" s="325"/>
      <c r="E17" s="325"/>
      <c r="F17" s="325"/>
      <c r="G17" s="325"/>
      <c r="H17" s="345"/>
      <c r="I17" s="345"/>
      <c r="J17" s="345"/>
      <c r="K17" s="345"/>
      <c r="L17" s="345"/>
      <c r="M17" s="345"/>
      <c r="N17" s="345"/>
      <c r="O17" s="345"/>
      <c r="P17" s="345"/>
      <c r="Q17" s="346"/>
      <c r="R17" s="347"/>
      <c r="S17" s="329"/>
      <c r="T17" s="239"/>
      <c r="U17" s="53"/>
      <c r="V17" s="37"/>
      <c r="W17" s="37" t="e">
        <f>ROUND(PRODUCT(#REF!+#REF!+#REF!)/3,2)</f>
        <v>#REF!</v>
      </c>
      <c r="X17" s="37" t="e">
        <f>ROUND(PRODUCT(#REF!+#REF!+#REF!)/3,2)</f>
        <v>#REF!</v>
      </c>
      <c r="Y17" s="38">
        <v>223210</v>
      </c>
      <c r="Z17" s="37">
        <v>182667.18</v>
      </c>
      <c r="AA17" s="37">
        <v>283303</v>
      </c>
      <c r="AB17" s="37">
        <v>236735</v>
      </c>
      <c r="AC17" s="38" t="e">
        <f>ROUND(PRODUCT(#REF!+#REF!)/2,2)</f>
        <v>#REF!</v>
      </c>
      <c r="AD17" s="38" t="e">
        <f>ROUND(PRODUCT(#REF!+#REF!+#REF!)/3,2)</f>
        <v>#REF!</v>
      </c>
      <c r="AE17" s="38" t="e">
        <f>ROUND(PRODUCT(#REF!+#REF!+#REF!)/3,2)</f>
        <v>#REF!</v>
      </c>
      <c r="AJ17" s="197"/>
    </row>
    <row r="18" spans="1:36" s="49" customFormat="1" ht="37.5" customHeight="1">
      <c r="A18" s="327" t="s">
        <v>327</v>
      </c>
      <c r="B18" s="330" t="s">
        <v>71</v>
      </c>
      <c r="C18" s="321" t="s">
        <v>307</v>
      </c>
      <c r="D18" s="321" t="s">
        <v>329</v>
      </c>
      <c r="E18" s="321">
        <v>50</v>
      </c>
      <c r="F18" s="321">
        <v>1</v>
      </c>
      <c r="G18" s="344" t="s">
        <v>330</v>
      </c>
      <c r="H18" s="322">
        <v>373956.59</v>
      </c>
      <c r="I18" s="322">
        <f aca="true" t="shared" si="3" ref="I18:P18">ROUND(PRODUCT($H$18*I9),2)</f>
        <v>9348.91</v>
      </c>
      <c r="J18" s="322">
        <f t="shared" si="3"/>
        <v>1884.74</v>
      </c>
      <c r="K18" s="322">
        <f t="shared" si="3"/>
        <v>11218.7</v>
      </c>
      <c r="L18" s="322">
        <f t="shared" si="3"/>
        <v>2243.74</v>
      </c>
      <c r="M18" s="322">
        <f t="shared" si="3"/>
        <v>186.98</v>
      </c>
      <c r="N18" s="322">
        <f t="shared" si="3"/>
        <v>27037.06</v>
      </c>
      <c r="O18" s="322">
        <f t="shared" si="3"/>
        <v>8002.67</v>
      </c>
      <c r="P18" s="322">
        <f t="shared" si="3"/>
        <v>11218.7</v>
      </c>
      <c r="Q18" s="323">
        <f aca="true" t="shared" si="4" ref="Q18:Q26">H18+I18+J18+K18+L18+M18+N18+O18+P18</f>
        <v>445098.08999999997</v>
      </c>
      <c r="R18" s="331">
        <v>255852.88072966508</v>
      </c>
      <c r="S18" s="328">
        <f>ROUND(PRODUCT(Q18*'[1]индексы'!$H$20),2)</f>
        <v>1464372.72</v>
      </c>
      <c r="T18" s="238">
        <f>ROUND(PRODUCT(R18*'[1]индексы'!$D$20),2)</f>
        <v>990150.65</v>
      </c>
      <c r="U18" s="46"/>
      <c r="V18" s="47"/>
      <c r="W18" s="47"/>
      <c r="X18" s="47"/>
      <c r="Y18" s="47"/>
      <c r="Z18" s="47"/>
      <c r="AA18" s="47"/>
      <c r="AB18" s="47"/>
      <c r="AC18" s="48"/>
      <c r="AD18" s="47"/>
      <c r="AE18" s="47"/>
      <c r="AJ18" s="198"/>
    </row>
    <row r="19" spans="1:36" s="49" customFormat="1" ht="38.25" customHeight="1">
      <c r="A19" s="327" t="s">
        <v>335</v>
      </c>
      <c r="B19" s="332" t="s">
        <v>72</v>
      </c>
      <c r="C19" s="228" t="s">
        <v>307</v>
      </c>
      <c r="D19" s="228" t="s">
        <v>329</v>
      </c>
      <c r="E19" s="228">
        <v>70</v>
      </c>
      <c r="F19" s="228">
        <v>1</v>
      </c>
      <c r="G19" s="240" t="s">
        <v>330</v>
      </c>
      <c r="H19" s="235">
        <v>384141.54</v>
      </c>
      <c r="I19" s="235">
        <f aca="true" t="shared" si="5" ref="I19:P19">ROUND(PRODUCT($H$19*I9),2)</f>
        <v>9603.54</v>
      </c>
      <c r="J19" s="235">
        <f t="shared" si="5"/>
        <v>1936.07</v>
      </c>
      <c r="K19" s="235">
        <f t="shared" si="5"/>
        <v>11524.25</v>
      </c>
      <c r="L19" s="235">
        <f t="shared" si="5"/>
        <v>2304.85</v>
      </c>
      <c r="M19" s="235">
        <f t="shared" si="5"/>
        <v>192.07</v>
      </c>
      <c r="N19" s="235">
        <f t="shared" si="5"/>
        <v>27773.43</v>
      </c>
      <c r="O19" s="235">
        <f t="shared" si="5"/>
        <v>8220.63</v>
      </c>
      <c r="P19" s="235">
        <f t="shared" si="5"/>
        <v>11524.25</v>
      </c>
      <c r="Q19" s="236">
        <f t="shared" si="4"/>
        <v>457220.62999999995</v>
      </c>
      <c r="R19" s="333">
        <v>266298.66172248806</v>
      </c>
      <c r="S19" s="328">
        <f>ROUND(PRODUCT(Q19*'[1]индексы'!$H$20),2)</f>
        <v>1504255.87</v>
      </c>
      <c r="T19" s="238">
        <f>ROUND(PRODUCT(R19*'[1]индексы'!$D$20),2)</f>
        <v>1030575.82</v>
      </c>
      <c r="U19" s="46"/>
      <c r="V19" s="47"/>
      <c r="W19" s="47"/>
      <c r="X19" s="47"/>
      <c r="Y19" s="47"/>
      <c r="Z19" s="47"/>
      <c r="AA19" s="47"/>
      <c r="AB19" s="47"/>
      <c r="AC19" s="48"/>
      <c r="AD19" s="47"/>
      <c r="AE19" s="47"/>
      <c r="AJ19" s="198"/>
    </row>
    <row r="20" spans="1:36" s="49" customFormat="1" ht="37.5" customHeight="1">
      <c r="A20" s="327" t="s">
        <v>341</v>
      </c>
      <c r="B20" s="332" t="s">
        <v>73</v>
      </c>
      <c r="C20" s="228" t="s">
        <v>307</v>
      </c>
      <c r="D20" s="228" t="s">
        <v>329</v>
      </c>
      <c r="E20" s="228">
        <v>95</v>
      </c>
      <c r="F20" s="228">
        <v>1</v>
      </c>
      <c r="G20" s="240" t="s">
        <v>330</v>
      </c>
      <c r="H20" s="235">
        <v>392693.04</v>
      </c>
      <c r="I20" s="235">
        <f aca="true" t="shared" si="6" ref="I20:P20">ROUND(PRODUCT($H$20*I9),2)</f>
        <v>9817.33</v>
      </c>
      <c r="J20" s="235">
        <f t="shared" si="6"/>
        <v>1979.17</v>
      </c>
      <c r="K20" s="235">
        <f t="shared" si="6"/>
        <v>11780.79</v>
      </c>
      <c r="L20" s="235">
        <f t="shared" si="6"/>
        <v>2356.16</v>
      </c>
      <c r="M20" s="235">
        <f t="shared" si="6"/>
        <v>196.35</v>
      </c>
      <c r="N20" s="235">
        <f t="shared" si="6"/>
        <v>28391.71</v>
      </c>
      <c r="O20" s="235">
        <f t="shared" si="6"/>
        <v>8403.63</v>
      </c>
      <c r="P20" s="235">
        <f t="shared" si="6"/>
        <v>11780.79</v>
      </c>
      <c r="Q20" s="236">
        <f t="shared" si="4"/>
        <v>467398.9699999999</v>
      </c>
      <c r="R20" s="333">
        <v>285770.0340430622</v>
      </c>
      <c r="S20" s="328">
        <f>ROUND(PRODUCT(Q20*'[1]индексы'!$H$20),2)</f>
        <v>1537742.61</v>
      </c>
      <c r="T20" s="238">
        <f>ROUND(PRODUCT(R20*'[1]индексы'!$D$20),2)</f>
        <v>1105930.03</v>
      </c>
      <c r="U20" s="46"/>
      <c r="V20" s="47"/>
      <c r="W20" s="47"/>
      <c r="X20" s="47"/>
      <c r="Y20" s="47"/>
      <c r="Z20" s="47"/>
      <c r="AA20" s="47"/>
      <c r="AB20" s="47"/>
      <c r="AC20" s="48"/>
      <c r="AD20" s="47"/>
      <c r="AE20" s="47"/>
      <c r="AJ20" s="198"/>
    </row>
    <row r="21" spans="1:36" s="49" customFormat="1" ht="37.5" customHeight="1">
      <c r="A21" s="327"/>
      <c r="B21" s="332" t="s">
        <v>542</v>
      </c>
      <c r="C21" s="228" t="s">
        <v>307</v>
      </c>
      <c r="D21" s="228" t="s">
        <v>329</v>
      </c>
      <c r="E21" s="228">
        <v>120</v>
      </c>
      <c r="F21" s="228">
        <v>1</v>
      </c>
      <c r="G21" s="240" t="s">
        <v>330</v>
      </c>
      <c r="H21" s="235">
        <v>392693.04</v>
      </c>
      <c r="I21" s="235">
        <v>9817.33</v>
      </c>
      <c r="J21" s="235">
        <v>1979.17</v>
      </c>
      <c r="K21" s="235">
        <v>11780.79</v>
      </c>
      <c r="L21" s="235">
        <v>2356.16</v>
      </c>
      <c r="M21" s="235">
        <v>196.35</v>
      </c>
      <c r="N21" s="235">
        <v>28391.71</v>
      </c>
      <c r="O21" s="235">
        <v>8403.63</v>
      </c>
      <c r="P21" s="235">
        <v>11780.79</v>
      </c>
      <c r="Q21" s="236">
        <v>467398.9699999999</v>
      </c>
      <c r="R21" s="333">
        <v>307673.60964114836</v>
      </c>
      <c r="S21" s="328"/>
      <c r="T21" s="238"/>
      <c r="U21" s="46"/>
      <c r="V21" s="47"/>
      <c r="W21" s="47"/>
      <c r="X21" s="47"/>
      <c r="Y21" s="47"/>
      <c r="Z21" s="47"/>
      <c r="AA21" s="47"/>
      <c r="AB21" s="47"/>
      <c r="AC21" s="48"/>
      <c r="AD21" s="47"/>
      <c r="AE21" s="47"/>
      <c r="AJ21" s="198"/>
    </row>
    <row r="22" spans="1:36" s="49" customFormat="1" ht="37.5" customHeight="1">
      <c r="A22" s="327" t="s">
        <v>347</v>
      </c>
      <c r="B22" s="332" t="s">
        <v>74</v>
      </c>
      <c r="C22" s="228" t="s">
        <v>307</v>
      </c>
      <c r="D22" s="228" t="s">
        <v>349</v>
      </c>
      <c r="E22" s="228">
        <v>50</v>
      </c>
      <c r="F22" s="228">
        <v>1</v>
      </c>
      <c r="G22" s="240" t="s">
        <v>330</v>
      </c>
      <c r="H22" s="235">
        <v>397473.24</v>
      </c>
      <c r="I22" s="235">
        <f aca="true" t="shared" si="7" ref="I22:P22">ROUND(PRODUCT($H$22*I9),2)</f>
        <v>9936.83</v>
      </c>
      <c r="J22" s="235">
        <f t="shared" si="7"/>
        <v>2003.27</v>
      </c>
      <c r="K22" s="235">
        <f t="shared" si="7"/>
        <v>11924.2</v>
      </c>
      <c r="L22" s="235">
        <f t="shared" si="7"/>
        <v>2384.84</v>
      </c>
      <c r="M22" s="235">
        <f t="shared" si="7"/>
        <v>198.74</v>
      </c>
      <c r="N22" s="235">
        <f t="shared" si="7"/>
        <v>28737.32</v>
      </c>
      <c r="O22" s="235">
        <f t="shared" si="7"/>
        <v>8505.93</v>
      </c>
      <c r="P22" s="235">
        <f t="shared" si="7"/>
        <v>11924.2</v>
      </c>
      <c r="Q22" s="236">
        <f t="shared" si="4"/>
        <v>473088.57000000007</v>
      </c>
      <c r="R22" s="333">
        <v>264247.6209330143</v>
      </c>
      <c r="S22" s="328">
        <f>ROUND(PRODUCT(Q22*'[1]индексы'!$H$20),2)</f>
        <v>1556461.4</v>
      </c>
      <c r="T22" s="238">
        <f>ROUND(PRODUCT(R22*'[1]индексы'!$D$20),2)</f>
        <v>1022638.29</v>
      </c>
      <c r="U22" s="46"/>
      <c r="V22" s="47"/>
      <c r="W22" s="47"/>
      <c r="X22" s="47"/>
      <c r="Y22" s="47"/>
      <c r="Z22" s="47"/>
      <c r="AA22" s="47"/>
      <c r="AB22" s="47"/>
      <c r="AC22" s="48"/>
      <c r="AD22" s="47"/>
      <c r="AE22" s="47"/>
      <c r="AJ22" s="198"/>
    </row>
    <row r="23" spans="1:36" s="49" customFormat="1" ht="37.5" customHeight="1">
      <c r="A23" s="327" t="s">
        <v>354</v>
      </c>
      <c r="B23" s="332" t="s">
        <v>75</v>
      </c>
      <c r="C23" s="228" t="s">
        <v>307</v>
      </c>
      <c r="D23" s="228" t="s">
        <v>349</v>
      </c>
      <c r="E23" s="228">
        <v>70</v>
      </c>
      <c r="F23" s="228">
        <v>1</v>
      </c>
      <c r="G23" s="240" t="s">
        <v>330</v>
      </c>
      <c r="H23" s="235">
        <v>402277.46</v>
      </c>
      <c r="I23" s="235">
        <f aca="true" t="shared" si="8" ref="I23:P23">ROUND(PRODUCT($H$23*I9),2)</f>
        <v>10056.94</v>
      </c>
      <c r="J23" s="235">
        <f t="shared" si="8"/>
        <v>2027.48</v>
      </c>
      <c r="K23" s="235">
        <f t="shared" si="8"/>
        <v>12068.32</v>
      </c>
      <c r="L23" s="235">
        <f t="shared" si="8"/>
        <v>2413.66</v>
      </c>
      <c r="M23" s="235">
        <f t="shared" si="8"/>
        <v>201.14</v>
      </c>
      <c r="N23" s="235">
        <f t="shared" si="8"/>
        <v>29084.66</v>
      </c>
      <c r="O23" s="235">
        <f t="shared" si="8"/>
        <v>8608.74</v>
      </c>
      <c r="P23" s="235">
        <f t="shared" si="8"/>
        <v>12068.32</v>
      </c>
      <c r="Q23" s="236">
        <f t="shared" si="4"/>
        <v>478806.72</v>
      </c>
      <c r="R23" s="333">
        <v>268519.40009569377</v>
      </c>
      <c r="S23" s="328">
        <f>ROUND(PRODUCT(Q23*'[1]индексы'!$H$20),2)</f>
        <v>1575274.11</v>
      </c>
      <c r="T23" s="238">
        <f>ROUND(PRODUCT(R23*'[1]индексы'!$D$20),2)</f>
        <v>1039170.08</v>
      </c>
      <c r="U23" s="46"/>
      <c r="V23" s="47"/>
      <c r="W23" s="47"/>
      <c r="X23" s="47"/>
      <c r="Y23" s="47"/>
      <c r="Z23" s="47"/>
      <c r="AA23" s="47"/>
      <c r="AB23" s="47"/>
      <c r="AC23" s="48"/>
      <c r="AD23" s="47"/>
      <c r="AE23" s="47"/>
      <c r="AJ23" s="198"/>
    </row>
    <row r="24" spans="1:36" s="49" customFormat="1" ht="37.5" customHeight="1">
      <c r="A24" s="327"/>
      <c r="B24" s="332" t="s">
        <v>76</v>
      </c>
      <c r="C24" s="228" t="s">
        <v>307</v>
      </c>
      <c r="D24" s="228" t="s">
        <v>349</v>
      </c>
      <c r="E24" s="228">
        <v>95</v>
      </c>
      <c r="F24" s="228">
        <v>1</v>
      </c>
      <c r="G24" s="240" t="s">
        <v>330</v>
      </c>
      <c r="H24" s="235">
        <v>413086.95</v>
      </c>
      <c r="I24" s="235">
        <v>10327.17</v>
      </c>
      <c r="J24" s="235">
        <v>2081.96</v>
      </c>
      <c r="K24" s="235">
        <v>12392.61</v>
      </c>
      <c r="L24" s="235">
        <v>2478.52</v>
      </c>
      <c r="M24" s="235">
        <v>206.54</v>
      </c>
      <c r="N24" s="235">
        <v>29866.19</v>
      </c>
      <c r="O24" s="235">
        <v>8840.06</v>
      </c>
      <c r="P24" s="235">
        <v>12392.61</v>
      </c>
      <c r="Q24" s="236">
        <v>491672.61</v>
      </c>
      <c r="R24" s="333">
        <v>285833.13287081337</v>
      </c>
      <c r="S24" s="328"/>
      <c r="T24" s="238"/>
      <c r="U24" s="46"/>
      <c r="V24" s="47"/>
      <c r="W24" s="47"/>
      <c r="X24" s="47"/>
      <c r="Y24" s="47"/>
      <c r="Z24" s="47"/>
      <c r="AA24" s="47"/>
      <c r="AB24" s="47"/>
      <c r="AC24" s="48"/>
      <c r="AD24" s="47"/>
      <c r="AE24" s="47"/>
      <c r="AJ24" s="198"/>
    </row>
    <row r="25" spans="1:36" s="49" customFormat="1" ht="37.5" customHeight="1">
      <c r="A25" s="327"/>
      <c r="B25" s="332" t="s">
        <v>543</v>
      </c>
      <c r="C25" s="228" t="s">
        <v>307</v>
      </c>
      <c r="D25" s="228" t="s">
        <v>349</v>
      </c>
      <c r="E25" s="228">
        <v>120</v>
      </c>
      <c r="F25" s="228">
        <v>1</v>
      </c>
      <c r="G25" s="240" t="s">
        <v>330</v>
      </c>
      <c r="H25" s="235">
        <v>413086.95</v>
      </c>
      <c r="I25" s="235">
        <v>10327.17</v>
      </c>
      <c r="J25" s="235">
        <v>2081.96</v>
      </c>
      <c r="K25" s="235">
        <v>12392.61</v>
      </c>
      <c r="L25" s="235">
        <v>2478.52</v>
      </c>
      <c r="M25" s="235">
        <v>206.54</v>
      </c>
      <c r="N25" s="235">
        <v>29866.19</v>
      </c>
      <c r="O25" s="235">
        <v>8840.06</v>
      </c>
      <c r="P25" s="235">
        <v>12392.61</v>
      </c>
      <c r="Q25" s="236">
        <v>491672.61</v>
      </c>
      <c r="R25" s="333">
        <v>317599.5033732058</v>
      </c>
      <c r="S25" s="328"/>
      <c r="T25" s="238"/>
      <c r="U25" s="46"/>
      <c r="V25" s="47"/>
      <c r="W25" s="47"/>
      <c r="X25" s="47"/>
      <c r="Y25" s="47"/>
      <c r="Z25" s="47"/>
      <c r="AA25" s="47"/>
      <c r="AB25" s="47"/>
      <c r="AC25" s="48"/>
      <c r="AD25" s="47"/>
      <c r="AE25" s="47"/>
      <c r="AJ25" s="198"/>
    </row>
    <row r="26" spans="1:49" s="49" customFormat="1" ht="37.5" customHeight="1" thickBot="1">
      <c r="A26" s="327" t="s">
        <v>361</v>
      </c>
      <c r="B26" s="334" t="s">
        <v>544</v>
      </c>
      <c r="C26" s="317" t="s">
        <v>307</v>
      </c>
      <c r="D26" s="317" t="s">
        <v>349</v>
      </c>
      <c r="E26" s="317">
        <v>240</v>
      </c>
      <c r="F26" s="317">
        <v>1</v>
      </c>
      <c r="G26" s="335" t="s">
        <v>330</v>
      </c>
      <c r="H26" s="336">
        <v>413086.95</v>
      </c>
      <c r="I26" s="336">
        <f aca="true" t="shared" si="9" ref="I26:P26">ROUND(PRODUCT($H$26*I9),2)</f>
        <v>10327.17</v>
      </c>
      <c r="J26" s="336">
        <f t="shared" si="9"/>
        <v>2081.96</v>
      </c>
      <c r="K26" s="336">
        <f t="shared" si="9"/>
        <v>12392.61</v>
      </c>
      <c r="L26" s="336">
        <f t="shared" si="9"/>
        <v>2478.52</v>
      </c>
      <c r="M26" s="336">
        <f t="shared" si="9"/>
        <v>206.54</v>
      </c>
      <c r="N26" s="336">
        <f t="shared" si="9"/>
        <v>29866.19</v>
      </c>
      <c r="O26" s="336">
        <f t="shared" si="9"/>
        <v>8840.06</v>
      </c>
      <c r="P26" s="336">
        <f t="shared" si="9"/>
        <v>12392.61</v>
      </c>
      <c r="Q26" s="337">
        <f t="shared" si="4"/>
        <v>491672.61</v>
      </c>
      <c r="R26" s="338">
        <v>350186.3181818182</v>
      </c>
      <c r="S26" s="328">
        <f>ROUND(PRODUCT(Q26*'[1]индексы'!$H$20),2)</f>
        <v>1617602.89</v>
      </c>
      <c r="T26" s="238">
        <f>ROUND(PRODUCT(R26*'[1]индексы'!$D$20),2)</f>
        <v>1355221.05</v>
      </c>
      <c r="U26" s="46"/>
      <c r="V26" s="47"/>
      <c r="W26" s="47"/>
      <c r="X26" s="47"/>
      <c r="Y26" s="47"/>
      <c r="Z26" s="47"/>
      <c r="AA26" s="47"/>
      <c r="AB26" s="47"/>
      <c r="AC26" s="48"/>
      <c r="AD26" s="47"/>
      <c r="AE26" s="47"/>
      <c r="AW26" s="49" t="s">
        <v>563</v>
      </c>
    </row>
    <row r="27" ht="1.5" customHeight="1" hidden="1">
      <c r="AC27" s="57"/>
    </row>
    <row r="28" spans="1:29" ht="3" customHeight="1" hidden="1">
      <c r="A28" s="58"/>
      <c r="B28" s="59"/>
      <c r="C28" s="58" t="s">
        <v>367</v>
      </c>
      <c r="Q28" s="59"/>
      <c r="S28" s="59"/>
      <c r="T28" s="59"/>
      <c r="U28" s="59"/>
      <c r="AC28" s="57"/>
    </row>
    <row r="29" spans="1:29" ht="3" customHeight="1" hidden="1">
      <c r="A29" s="58"/>
      <c r="B29" s="18"/>
      <c r="C29" s="465" t="s">
        <v>368</v>
      </c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18"/>
      <c r="P29" s="18"/>
      <c r="Q29" s="18"/>
      <c r="R29" s="78"/>
      <c r="S29" s="59"/>
      <c r="T29" s="59"/>
      <c r="U29" s="59"/>
      <c r="AC29" s="57"/>
    </row>
    <row r="30" spans="1:29" ht="3" customHeight="1" hidden="1">
      <c r="A30" s="60"/>
      <c r="B30" s="12"/>
      <c r="C30" s="467" t="s">
        <v>369</v>
      </c>
      <c r="D30" s="468"/>
      <c r="E30" s="468"/>
      <c r="F30" s="468"/>
      <c r="G30" s="468"/>
      <c r="H30" s="468"/>
      <c r="I30" s="468"/>
      <c r="J30" s="468"/>
      <c r="K30" s="468"/>
      <c r="L30" s="468"/>
      <c r="M30" s="468"/>
      <c r="N30" s="468"/>
      <c r="O30" s="12"/>
      <c r="P30" s="12"/>
      <c r="Q30" s="12"/>
      <c r="R30" s="79"/>
      <c r="S30" s="12"/>
      <c r="T30" s="12"/>
      <c r="U30" s="12"/>
      <c r="AC30" s="57"/>
    </row>
    <row r="31" spans="1:36" s="49" customFormat="1" ht="3" customHeight="1" hidden="1">
      <c r="A31" s="61"/>
      <c r="B31" s="62"/>
      <c r="C31" s="469" t="s">
        <v>370</v>
      </c>
      <c r="D31" s="470"/>
      <c r="E31" s="470"/>
      <c r="F31" s="470"/>
      <c r="G31" s="470"/>
      <c r="H31" s="470"/>
      <c r="I31" s="470"/>
      <c r="J31" s="470"/>
      <c r="K31" s="470"/>
      <c r="L31" s="470"/>
      <c r="M31" s="470"/>
      <c r="N31" s="470"/>
      <c r="O31" s="62"/>
      <c r="P31" s="62"/>
      <c r="Q31" s="62"/>
      <c r="R31" s="79"/>
      <c r="AC31" s="63"/>
      <c r="AJ31" s="198"/>
    </row>
    <row r="32" spans="1:36" s="49" customFormat="1" ht="3" customHeight="1" hidden="1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79"/>
      <c r="S32" s="62"/>
      <c r="T32" s="62"/>
      <c r="U32" s="62"/>
      <c r="AC32" s="63"/>
      <c r="AJ32" s="198"/>
    </row>
    <row r="33" spans="1:36" s="49" customFormat="1" ht="3" customHeight="1" hidden="1">
      <c r="A33" s="487" t="s">
        <v>276</v>
      </c>
      <c r="B33" s="488"/>
      <c r="C33" s="489" t="s">
        <v>283</v>
      </c>
      <c r="D33" s="488"/>
      <c r="E33" s="488"/>
      <c r="F33" s="488"/>
      <c r="G33" s="488"/>
      <c r="H33" s="488"/>
      <c r="I33" s="488"/>
      <c r="J33" s="488"/>
      <c r="K33" s="488"/>
      <c r="L33" s="488"/>
      <c r="M33" s="488"/>
      <c r="N33" s="488"/>
      <c r="O33" s="488"/>
      <c r="P33" s="488"/>
      <c r="Q33" s="488"/>
      <c r="R33" s="80">
        <v>0.025</v>
      </c>
      <c r="S33" s="64"/>
      <c r="T33" s="64"/>
      <c r="U33" s="64"/>
      <c r="AC33" s="63"/>
      <c r="AJ33" s="198"/>
    </row>
    <row r="34" spans="1:36" s="49" customFormat="1" ht="3" customHeight="1" hidden="1">
      <c r="A34" s="469" t="s">
        <v>277</v>
      </c>
      <c r="B34" s="488"/>
      <c r="C34" s="496" t="s">
        <v>284</v>
      </c>
      <c r="D34" s="496"/>
      <c r="E34" s="496"/>
      <c r="F34" s="496"/>
      <c r="G34" s="496"/>
      <c r="H34" s="496"/>
      <c r="I34" s="496"/>
      <c r="J34" s="496"/>
      <c r="K34" s="496"/>
      <c r="L34" s="496"/>
      <c r="M34" s="496"/>
      <c r="N34" s="496"/>
      <c r="O34" s="496"/>
      <c r="P34" s="496"/>
      <c r="Q34" s="488"/>
      <c r="R34" s="80">
        <v>0.00504</v>
      </c>
      <c r="S34" s="64"/>
      <c r="T34" s="64"/>
      <c r="U34" s="64"/>
      <c r="AC34" s="63"/>
      <c r="AJ34" s="198"/>
    </row>
    <row r="35" spans="1:36" s="49" customFormat="1" ht="3" customHeight="1" hidden="1">
      <c r="A35" s="469" t="s">
        <v>278</v>
      </c>
      <c r="B35" s="488"/>
      <c r="C35" s="496" t="s">
        <v>371</v>
      </c>
      <c r="D35" s="496"/>
      <c r="E35" s="496"/>
      <c r="F35" s="496"/>
      <c r="G35" s="496"/>
      <c r="H35" s="496"/>
      <c r="I35" s="496"/>
      <c r="J35" s="496"/>
      <c r="K35" s="496"/>
      <c r="L35" s="496"/>
      <c r="M35" s="496"/>
      <c r="N35" s="496"/>
      <c r="O35" s="496"/>
      <c r="P35" s="496"/>
      <c r="Q35" s="488"/>
      <c r="R35" s="80">
        <v>0.03</v>
      </c>
      <c r="S35" s="64"/>
      <c r="T35" s="64"/>
      <c r="U35" s="64"/>
      <c r="AC35" s="63"/>
      <c r="AJ35" s="198"/>
    </row>
    <row r="36" spans="1:36" s="49" customFormat="1" ht="3" customHeight="1" hidden="1">
      <c r="A36" s="469" t="s">
        <v>279</v>
      </c>
      <c r="B36" s="488"/>
      <c r="C36" s="496" t="s">
        <v>286</v>
      </c>
      <c r="D36" s="470"/>
      <c r="E36" s="470"/>
      <c r="F36" s="470"/>
      <c r="G36" s="470"/>
      <c r="H36" s="470"/>
      <c r="I36" s="470"/>
      <c r="J36" s="470"/>
      <c r="K36" s="470"/>
      <c r="L36" s="470"/>
      <c r="M36" s="470"/>
      <c r="N36" s="470"/>
      <c r="O36" s="470"/>
      <c r="P36" s="470"/>
      <c r="Q36" s="470"/>
      <c r="R36" s="80">
        <v>0.006</v>
      </c>
      <c r="S36" s="64"/>
      <c r="T36" s="64"/>
      <c r="U36" s="64"/>
      <c r="AC36" s="63"/>
      <c r="AJ36" s="198"/>
    </row>
    <row r="37" spans="1:36" s="49" customFormat="1" ht="3" customHeight="1" hidden="1">
      <c r="A37" s="488"/>
      <c r="B37" s="488"/>
      <c r="C37" s="489" t="s">
        <v>287</v>
      </c>
      <c r="D37" s="488"/>
      <c r="E37" s="488"/>
      <c r="F37" s="488"/>
      <c r="G37" s="488"/>
      <c r="H37" s="488"/>
      <c r="I37" s="488"/>
      <c r="J37" s="488"/>
      <c r="K37" s="488"/>
      <c r="L37" s="488"/>
      <c r="M37" s="488"/>
      <c r="N37" s="488"/>
      <c r="O37" s="488"/>
      <c r="P37" s="488"/>
      <c r="Q37" s="488"/>
      <c r="R37" s="80">
        <v>0.0005</v>
      </c>
      <c r="S37" s="64"/>
      <c r="T37" s="64"/>
      <c r="U37" s="64"/>
      <c r="AC37" s="63"/>
      <c r="AJ37" s="198"/>
    </row>
    <row r="38" spans="1:36" s="49" customFormat="1" ht="3" customHeight="1" hidden="1">
      <c r="A38" s="469" t="s">
        <v>280</v>
      </c>
      <c r="B38" s="488"/>
      <c r="C38" s="489" t="s">
        <v>372</v>
      </c>
      <c r="D38" s="488"/>
      <c r="E38" s="488"/>
      <c r="F38" s="488"/>
      <c r="G38" s="488"/>
      <c r="H38" s="488"/>
      <c r="I38" s="488"/>
      <c r="J38" s="488"/>
      <c r="K38" s="488"/>
      <c r="L38" s="488"/>
      <c r="M38" s="488"/>
      <c r="N38" s="488"/>
      <c r="O38" s="488"/>
      <c r="P38" s="488"/>
      <c r="Q38" s="488"/>
      <c r="R38" s="80">
        <v>0.002</v>
      </c>
      <c r="S38" s="64"/>
      <c r="T38" s="64"/>
      <c r="U38" s="64"/>
      <c r="AC38" s="63"/>
      <c r="AJ38" s="198"/>
    </row>
    <row r="39" spans="1:36" s="49" customFormat="1" ht="3" customHeight="1" hidden="1">
      <c r="A39" s="469" t="s">
        <v>281</v>
      </c>
      <c r="B39" s="488"/>
      <c r="C39" s="489" t="s">
        <v>289</v>
      </c>
      <c r="D39" s="488"/>
      <c r="E39" s="488"/>
      <c r="F39" s="488"/>
      <c r="G39" s="488"/>
      <c r="H39" s="488"/>
      <c r="I39" s="488"/>
      <c r="J39" s="488"/>
      <c r="K39" s="488"/>
      <c r="L39" s="488"/>
      <c r="M39" s="488"/>
      <c r="N39" s="488"/>
      <c r="O39" s="488"/>
      <c r="P39" s="488"/>
      <c r="Q39" s="488"/>
      <c r="R39" s="80">
        <v>0.0214</v>
      </c>
      <c r="S39" s="64"/>
      <c r="T39" s="64"/>
      <c r="U39" s="64"/>
      <c r="AC39" s="63"/>
      <c r="AJ39" s="198"/>
    </row>
    <row r="40" spans="1:36" s="49" customFormat="1" ht="3" customHeight="1" hidden="1">
      <c r="A40" s="469" t="s">
        <v>282</v>
      </c>
      <c r="B40" s="488"/>
      <c r="C40" s="489" t="s">
        <v>290</v>
      </c>
      <c r="D40" s="488"/>
      <c r="E40" s="488"/>
      <c r="F40" s="488"/>
      <c r="G40" s="488"/>
      <c r="H40" s="488"/>
      <c r="I40" s="488"/>
      <c r="J40" s="488"/>
      <c r="K40" s="488"/>
      <c r="L40" s="488"/>
      <c r="M40" s="488"/>
      <c r="N40" s="488"/>
      <c r="O40" s="488"/>
      <c r="P40" s="488"/>
      <c r="Q40" s="488"/>
      <c r="R40" s="80">
        <v>0.03</v>
      </c>
      <c r="S40" s="64"/>
      <c r="T40" s="64"/>
      <c r="U40" s="64"/>
      <c r="AC40" s="63"/>
      <c r="AJ40" s="198"/>
    </row>
    <row r="41" spans="2:29" ht="3" customHeight="1" hidden="1">
      <c r="B41" s="13" t="s">
        <v>373</v>
      </c>
      <c r="C41" s="58"/>
      <c r="Q41" s="65"/>
      <c r="R41" s="80">
        <f>SUM(R33:R40)</f>
        <v>0.11994</v>
      </c>
      <c r="S41" s="65"/>
      <c r="T41" s="65"/>
      <c r="U41" s="65"/>
      <c r="AC41" s="57"/>
    </row>
    <row r="42" spans="3:29" ht="3" customHeight="1" hidden="1">
      <c r="C42" s="58"/>
      <c r="Q42" s="65"/>
      <c r="R42" s="81">
        <v>1.11994</v>
      </c>
      <c r="S42" s="66"/>
      <c r="T42" s="66"/>
      <c r="U42" s="66"/>
      <c r="AC42" s="57"/>
    </row>
    <row r="43" spans="1:29" ht="3" customHeight="1" hidden="1">
      <c r="A43" s="58"/>
      <c r="C43" s="58"/>
      <c r="Q43" s="65"/>
      <c r="R43" s="80"/>
      <c r="S43" s="65"/>
      <c r="T43" s="65"/>
      <c r="U43" s="65"/>
      <c r="AC43" s="57"/>
    </row>
    <row r="44" spans="1:29" ht="3" customHeight="1" hidden="1">
      <c r="A44" s="58"/>
      <c r="C44" s="58" t="s">
        <v>374</v>
      </c>
      <c r="E44" s="58"/>
      <c r="F44" s="13"/>
      <c r="I44" s="14" t="s">
        <v>375</v>
      </c>
      <c r="AC44" s="57"/>
    </row>
    <row r="45" ht="3" customHeight="1" hidden="1">
      <c r="AC45" s="57"/>
    </row>
    <row r="46" spans="2:29" ht="3" customHeight="1" hidden="1">
      <c r="B46" s="13" t="s">
        <v>376</v>
      </c>
      <c r="AC46" s="57"/>
    </row>
    <row r="47" spans="1:36" s="72" customFormat="1" ht="3" customHeight="1" hidden="1">
      <c r="A47" s="67"/>
      <c r="B47" s="68" t="s">
        <v>377</v>
      </c>
      <c r="C47" s="69"/>
      <c r="D47" s="69"/>
      <c r="E47" s="69"/>
      <c r="F47" s="69"/>
      <c r="G47" s="69"/>
      <c r="H47" s="70">
        <f>ROUND(PRODUCT(SUM(H12:H14)/9),2)</f>
        <v>63373.19</v>
      </c>
      <c r="I47" s="69"/>
      <c r="J47" s="69"/>
      <c r="K47" s="69"/>
      <c r="L47" s="69"/>
      <c r="M47" s="69"/>
      <c r="N47" s="69"/>
      <c r="O47" s="69"/>
      <c r="P47" s="69"/>
      <c r="Q47" s="71">
        <f>ROUND(PRODUCT(SUM(Q12:Q14)/9),2)</f>
        <v>75429.31</v>
      </c>
      <c r="R47" s="82">
        <f>ROUND(PRODUCT(SUM(R12:R14)/9),2)</f>
        <v>63852.64</v>
      </c>
      <c r="S47" s="71">
        <f>ROUND(PRODUCT(SUM(S12:S14)/9),2)</f>
        <v>284368.49</v>
      </c>
      <c r="T47" s="71">
        <f>ROUND(PRODUCT(SUM(T12:T14)/9),2)</f>
        <v>247109.71</v>
      </c>
      <c r="AC47" s="73"/>
      <c r="AJ47" s="199"/>
    </row>
    <row r="48" spans="1:36" s="72" customFormat="1" ht="3" customHeight="1" hidden="1">
      <c r="A48" s="67"/>
      <c r="B48" s="68" t="s">
        <v>378</v>
      </c>
      <c r="C48" s="69"/>
      <c r="D48" s="69"/>
      <c r="E48" s="69"/>
      <c r="F48" s="69"/>
      <c r="G48" s="69"/>
      <c r="H48" s="70">
        <f>ROUND(PRODUCT(SUM(H18:H26))/18,2)</f>
        <v>199027.54</v>
      </c>
      <c r="I48" s="69"/>
      <c r="J48" s="69"/>
      <c r="K48" s="69"/>
      <c r="L48" s="69"/>
      <c r="M48" s="69"/>
      <c r="N48" s="69"/>
      <c r="O48" s="69"/>
      <c r="P48" s="69"/>
      <c r="Q48" s="71">
        <f>ROUND(PRODUCT(SUM(Q18:Q26)/18),2)</f>
        <v>236890.54</v>
      </c>
      <c r="R48" s="82">
        <f>ROUND(PRODUCT(SUM(R18:R26)/18),2)</f>
        <v>144554.51</v>
      </c>
      <c r="S48" s="71">
        <f>ROUND(PRODUCT(SUM(S18:S26)/18),2)</f>
        <v>514206.09</v>
      </c>
      <c r="T48" s="71">
        <f>ROUND(PRODUCT(SUM(T18:T26)/18),2)</f>
        <v>363538.11</v>
      </c>
      <c r="AC48" s="73"/>
      <c r="AJ48" s="199"/>
    </row>
    <row r="49" ht="3" customHeight="1" hidden="1">
      <c r="AC49" s="57"/>
    </row>
    <row r="50" ht="3" customHeight="1" hidden="1">
      <c r="AC50" s="57"/>
    </row>
    <row r="51" ht="3" customHeight="1" hidden="1"/>
    <row r="52" spans="2:36" s="14" customFormat="1" ht="3" customHeight="1" hidden="1">
      <c r="B52" s="13" t="s">
        <v>374</v>
      </c>
      <c r="C52" s="14" t="s">
        <v>379</v>
      </c>
      <c r="Q52" s="13"/>
      <c r="R52" s="67"/>
      <c r="S52" s="13"/>
      <c r="T52" s="13"/>
      <c r="U52" s="13"/>
      <c r="V52" s="13"/>
      <c r="W52" s="13"/>
      <c r="X52" s="13"/>
      <c r="Y52" s="13"/>
      <c r="Z52" s="13"/>
      <c r="AA52" s="13"/>
      <c r="AB52" s="13"/>
      <c r="AD52" s="13"/>
      <c r="AE52" s="13"/>
      <c r="AF52" s="13"/>
      <c r="AG52" s="13"/>
      <c r="AH52" s="13"/>
      <c r="AI52" s="13"/>
      <c r="AJ52" s="200"/>
    </row>
    <row r="53" ht="3" customHeight="1" hidden="1"/>
  </sheetData>
  <sheetProtection/>
  <mergeCells count="56">
    <mergeCell ref="A39:B39"/>
    <mergeCell ref="C39:Q39"/>
    <mergeCell ref="A40:B40"/>
    <mergeCell ref="C40:Q40"/>
    <mergeCell ref="A38:B38"/>
    <mergeCell ref="C38:Q38"/>
    <mergeCell ref="A34:B34"/>
    <mergeCell ref="C34:Q34"/>
    <mergeCell ref="A35:B35"/>
    <mergeCell ref="C35:Q35"/>
    <mergeCell ref="A36:B37"/>
    <mergeCell ref="C36:Q36"/>
    <mergeCell ref="C37:Q37"/>
    <mergeCell ref="A33:B33"/>
    <mergeCell ref="C33:Q33"/>
    <mergeCell ref="AA8:AA9"/>
    <mergeCell ref="F6:F10"/>
    <mergeCell ref="G6:G10"/>
    <mergeCell ref="H6:H9"/>
    <mergeCell ref="I6:P6"/>
    <mergeCell ref="Y6:Y7"/>
    <mergeCell ref="Z6:Z7"/>
    <mergeCell ref="B6:B10"/>
    <mergeCell ref="AC8:AC9"/>
    <mergeCell ref="Y8:Y9"/>
    <mergeCell ref="S6:S9"/>
    <mergeCell ref="T6:T9"/>
    <mergeCell ref="C6:C10"/>
    <mergeCell ref="V8:W8"/>
    <mergeCell ref="AB8:AB9"/>
    <mergeCell ref="Z8:Z9"/>
    <mergeCell ref="X6:X7"/>
    <mergeCell ref="Q6:Q9"/>
    <mergeCell ref="C29:N29"/>
    <mergeCell ref="C30:N30"/>
    <mergeCell ref="C31:N31"/>
    <mergeCell ref="E6:E10"/>
    <mergeCell ref="L7:M7"/>
    <mergeCell ref="D6:D10"/>
    <mergeCell ref="AE8:AE9"/>
    <mergeCell ref="V10:AE10"/>
    <mergeCell ref="AA6:AA7"/>
    <mergeCell ref="AB6:AB7"/>
    <mergeCell ref="AC6:AC7"/>
    <mergeCell ref="AD6:AD7"/>
    <mergeCell ref="AE6:AE7"/>
    <mergeCell ref="X8:X9"/>
    <mergeCell ref="V6:W7"/>
    <mergeCell ref="AD8:AD9"/>
    <mergeCell ref="R6:R9"/>
    <mergeCell ref="E1:R1"/>
    <mergeCell ref="A3:T3"/>
    <mergeCell ref="A6:A10"/>
    <mergeCell ref="V3:W3"/>
    <mergeCell ref="V4:W4"/>
    <mergeCell ref="B2:R2"/>
  </mergeCells>
  <printOptions/>
  <pageMargins left="0.7086614173228347" right="0.7086614173228347" top="0.6692913385826772" bottom="0.7480314960629921" header="0.31496062992125984" footer="0.31496062992125984"/>
  <pageSetup fitToWidth="0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4"/>
  <sheetViews>
    <sheetView view="pageBreakPreview" zoomScale="60" zoomScaleNormal="60" zoomScalePageLayoutView="0" workbookViewId="0" topLeftCell="B5">
      <selection activeCell="Q19" sqref="Q19:Q26"/>
    </sheetView>
  </sheetViews>
  <sheetFormatPr defaultColWidth="9.140625" defaultRowHeight="15"/>
  <cols>
    <col min="1" max="1" width="9.8515625" style="86" hidden="1" customWidth="1"/>
    <col min="2" max="2" width="106.421875" style="84" customWidth="1"/>
    <col min="3" max="3" width="17.00390625" style="86" customWidth="1"/>
    <col min="4" max="4" width="17.57421875" style="86" customWidth="1"/>
    <col min="5" max="5" width="14.140625" style="86" customWidth="1"/>
    <col min="6" max="6" width="13.7109375" style="86" customWidth="1"/>
    <col min="7" max="9" width="25.421875" style="86" hidden="1" customWidth="1"/>
    <col min="10" max="10" width="28.421875" style="86" hidden="1" customWidth="1"/>
    <col min="11" max="12" width="25.421875" style="86" hidden="1" customWidth="1"/>
    <col min="13" max="13" width="32.28125" style="86" hidden="1" customWidth="1"/>
    <col min="14" max="15" width="25.421875" style="86" hidden="1" customWidth="1"/>
    <col min="16" max="16" width="23.7109375" style="84" hidden="1" customWidth="1"/>
    <col min="17" max="17" width="23.7109375" style="148" customWidth="1"/>
    <col min="18" max="19" width="23.7109375" style="84" hidden="1" customWidth="1"/>
    <col min="20" max="20" width="1.7109375" style="84" hidden="1" customWidth="1"/>
    <col min="21" max="27" width="20.7109375" style="84" hidden="1" customWidth="1"/>
    <col min="28" max="28" width="11.140625" style="84" hidden="1" customWidth="1"/>
    <col min="29" max="31" width="20.7109375" style="84" hidden="1" customWidth="1"/>
    <col min="32" max="32" width="23.140625" style="84" customWidth="1"/>
    <col min="33" max="16384" width="9.140625" style="84" customWidth="1"/>
  </cols>
  <sheetData>
    <row r="1" spans="1:30" ht="99.75" customHeight="1">
      <c r="A1" s="204"/>
      <c r="B1" s="205"/>
      <c r="C1" s="204"/>
      <c r="D1" s="204"/>
      <c r="E1" s="501" t="s">
        <v>565</v>
      </c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Y1" s="501"/>
      <c r="Z1" s="501"/>
      <c r="AA1" s="501"/>
      <c r="AB1" s="501"/>
      <c r="AC1" s="501"/>
      <c r="AD1" s="501"/>
    </row>
    <row r="2" spans="1:30" ht="39.75" customHeight="1">
      <c r="A2" s="204"/>
      <c r="B2" s="497" t="s">
        <v>95</v>
      </c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</row>
    <row r="3" spans="1:30" s="138" customFormat="1" ht="69.75" customHeight="1">
      <c r="A3" s="502" t="s">
        <v>564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4"/>
      <c r="R3" s="504"/>
      <c r="S3" s="504"/>
      <c r="T3" s="208"/>
      <c r="U3" s="209"/>
      <c r="V3" s="209"/>
      <c r="W3" s="209"/>
      <c r="X3" s="209"/>
      <c r="Y3" s="209"/>
      <c r="Z3" s="209"/>
      <c r="AA3" s="209"/>
      <c r="AB3" s="209"/>
      <c r="AC3" s="209"/>
      <c r="AD3" s="209"/>
    </row>
    <row r="4" spans="1:30" s="138" customFormat="1" ht="18" thickBot="1">
      <c r="A4" s="194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10" t="s">
        <v>540</v>
      </c>
      <c r="R4" s="207"/>
      <c r="S4" s="207"/>
      <c r="T4" s="208"/>
      <c r="U4" s="209"/>
      <c r="V4" s="209"/>
      <c r="W4" s="209"/>
      <c r="X4" s="209"/>
      <c r="Y4" s="209"/>
      <c r="Z4" s="209"/>
      <c r="AA4" s="209"/>
      <c r="AB4" s="209"/>
      <c r="AC4" s="209"/>
      <c r="AD4" s="209"/>
    </row>
    <row r="5" spans="1:31" ht="69" customHeight="1">
      <c r="A5" s="451" t="s">
        <v>254</v>
      </c>
      <c r="B5" s="493" t="s">
        <v>255</v>
      </c>
      <c r="C5" s="422" t="s">
        <v>158</v>
      </c>
      <c r="D5" s="422" t="s">
        <v>157</v>
      </c>
      <c r="E5" s="422" t="s">
        <v>160</v>
      </c>
      <c r="F5" s="422" t="s">
        <v>260</v>
      </c>
      <c r="G5" s="505" t="s">
        <v>261</v>
      </c>
      <c r="H5" s="514" t="s">
        <v>262</v>
      </c>
      <c r="I5" s="515"/>
      <c r="J5" s="515"/>
      <c r="K5" s="515"/>
      <c r="L5" s="515"/>
      <c r="M5" s="515"/>
      <c r="N5" s="515"/>
      <c r="O5" s="516"/>
      <c r="P5" s="505" t="s">
        <v>156</v>
      </c>
      <c r="Q5" s="508" t="s">
        <v>555</v>
      </c>
      <c r="R5" s="511" t="s">
        <v>265</v>
      </c>
      <c r="S5" s="517" t="s">
        <v>266</v>
      </c>
      <c r="T5" s="117"/>
      <c r="U5" s="499" t="s">
        <v>154</v>
      </c>
      <c r="V5" s="524" t="s">
        <v>268</v>
      </c>
      <c r="W5" s="525" t="s">
        <v>269</v>
      </c>
      <c r="X5" s="526"/>
      <c r="Y5" s="524" t="s">
        <v>270</v>
      </c>
      <c r="Z5" s="499" t="s">
        <v>271</v>
      </c>
      <c r="AA5" s="525" t="s">
        <v>153</v>
      </c>
      <c r="AB5" s="528"/>
      <c r="AC5" s="529"/>
      <c r="AD5" s="455" t="s">
        <v>274</v>
      </c>
      <c r="AE5" s="499" t="s">
        <v>275</v>
      </c>
    </row>
    <row r="6" spans="1:31" ht="185.25" customHeight="1" hidden="1">
      <c r="A6" s="452"/>
      <c r="B6" s="494"/>
      <c r="C6" s="423"/>
      <c r="D6" s="423"/>
      <c r="E6" s="423"/>
      <c r="F6" s="423"/>
      <c r="G6" s="506"/>
      <c r="H6" s="232" t="s">
        <v>276</v>
      </c>
      <c r="I6" s="232" t="s">
        <v>277</v>
      </c>
      <c r="J6" s="232" t="s">
        <v>278</v>
      </c>
      <c r="K6" s="520" t="s">
        <v>279</v>
      </c>
      <c r="L6" s="520"/>
      <c r="M6" s="232" t="s">
        <v>280</v>
      </c>
      <c r="N6" s="232" t="s">
        <v>281</v>
      </c>
      <c r="O6" s="232" t="s">
        <v>282</v>
      </c>
      <c r="P6" s="506"/>
      <c r="Q6" s="509"/>
      <c r="R6" s="512"/>
      <c r="S6" s="518"/>
      <c r="T6" s="6"/>
      <c r="U6" s="500"/>
      <c r="V6" s="500"/>
      <c r="W6" s="527"/>
      <c r="X6" s="513"/>
      <c r="Y6" s="500"/>
      <c r="Z6" s="500"/>
      <c r="AA6" s="530"/>
      <c r="AB6" s="531"/>
      <c r="AC6" s="532"/>
      <c r="AD6" s="500"/>
      <c r="AE6" s="500"/>
    </row>
    <row r="7" spans="1:31" ht="132" customHeight="1" hidden="1">
      <c r="A7" s="452"/>
      <c r="B7" s="494"/>
      <c r="C7" s="423"/>
      <c r="D7" s="423"/>
      <c r="E7" s="423"/>
      <c r="F7" s="423"/>
      <c r="G7" s="506"/>
      <c r="H7" s="352" t="s">
        <v>283</v>
      </c>
      <c r="I7" s="352" t="s">
        <v>284</v>
      </c>
      <c r="J7" s="352" t="s">
        <v>285</v>
      </c>
      <c r="K7" s="352" t="s">
        <v>286</v>
      </c>
      <c r="L7" s="352" t="s">
        <v>287</v>
      </c>
      <c r="M7" s="232" t="s">
        <v>288</v>
      </c>
      <c r="N7" s="352" t="s">
        <v>289</v>
      </c>
      <c r="O7" s="352" t="s">
        <v>290</v>
      </c>
      <c r="P7" s="506"/>
      <c r="Q7" s="509"/>
      <c r="R7" s="512"/>
      <c r="S7" s="518"/>
      <c r="T7" s="6"/>
      <c r="U7" s="135" t="s">
        <v>152</v>
      </c>
      <c r="V7" s="131" t="s">
        <v>151</v>
      </c>
      <c r="W7" s="137" t="s">
        <v>293</v>
      </c>
      <c r="X7" s="136"/>
      <c r="Y7" s="131" t="s">
        <v>294</v>
      </c>
      <c r="Z7" s="135" t="s">
        <v>295</v>
      </c>
      <c r="AA7" s="134" t="s">
        <v>297</v>
      </c>
      <c r="AB7" s="133"/>
      <c r="AC7" s="132"/>
      <c r="AD7" s="131" t="s">
        <v>297</v>
      </c>
      <c r="AE7" s="131" t="s">
        <v>297</v>
      </c>
    </row>
    <row r="8" spans="1:31" ht="37.5" customHeight="1" hidden="1">
      <c r="A8" s="452"/>
      <c r="B8" s="494"/>
      <c r="C8" s="423"/>
      <c r="D8" s="423"/>
      <c r="E8" s="423"/>
      <c r="F8" s="423"/>
      <c r="G8" s="507"/>
      <c r="H8" s="256">
        <v>0.025</v>
      </c>
      <c r="I8" s="256">
        <v>0.00504</v>
      </c>
      <c r="J8" s="256">
        <v>0.03</v>
      </c>
      <c r="K8" s="256">
        <v>0.006</v>
      </c>
      <c r="L8" s="256">
        <v>0.0005</v>
      </c>
      <c r="M8" s="256">
        <f>'[1]ПИР'!L194+0.2%</f>
        <v>0.0659</v>
      </c>
      <c r="N8" s="256">
        <v>0.0214</v>
      </c>
      <c r="O8" s="353">
        <v>0.03</v>
      </c>
      <c r="P8" s="507"/>
      <c r="Q8" s="510"/>
      <c r="R8" s="513"/>
      <c r="S8" s="519"/>
      <c r="T8" s="6"/>
      <c r="U8" s="128"/>
      <c r="V8" s="127"/>
      <c r="W8" s="2" t="s">
        <v>150</v>
      </c>
      <c r="X8" s="2" t="s">
        <v>149</v>
      </c>
      <c r="Y8" s="127"/>
      <c r="Z8" s="127"/>
      <c r="AA8" s="126"/>
      <c r="AB8" s="125"/>
      <c r="AC8" s="124"/>
      <c r="AD8" s="123"/>
      <c r="AE8" s="123"/>
    </row>
    <row r="9" spans="1:31" ht="19.5" customHeight="1" thickBot="1">
      <c r="A9" s="453"/>
      <c r="B9" s="495"/>
      <c r="C9" s="424"/>
      <c r="D9" s="424"/>
      <c r="E9" s="424"/>
      <c r="F9" s="424"/>
      <c r="G9" s="358" t="s">
        <v>300</v>
      </c>
      <c r="H9" s="358" t="s">
        <v>300</v>
      </c>
      <c r="I9" s="358" t="s">
        <v>300</v>
      </c>
      <c r="J9" s="358" t="s">
        <v>300</v>
      </c>
      <c r="K9" s="358" t="s">
        <v>300</v>
      </c>
      <c r="L9" s="358" t="s">
        <v>300</v>
      </c>
      <c r="M9" s="358" t="s">
        <v>300</v>
      </c>
      <c r="N9" s="358" t="s">
        <v>300</v>
      </c>
      <c r="O9" s="358" t="s">
        <v>300</v>
      </c>
      <c r="P9" s="358" t="s">
        <v>301</v>
      </c>
      <c r="Q9" s="359" t="s">
        <v>301</v>
      </c>
      <c r="R9" s="348" t="s">
        <v>301</v>
      </c>
      <c r="S9" s="121" t="s">
        <v>301</v>
      </c>
      <c r="T9" s="117"/>
      <c r="U9" s="521" t="s">
        <v>148</v>
      </c>
      <c r="V9" s="522"/>
      <c r="W9" s="522"/>
      <c r="X9" s="522"/>
      <c r="Y9" s="522"/>
      <c r="Z9" s="522"/>
      <c r="AA9" s="522"/>
      <c r="AB9" s="522"/>
      <c r="AC9" s="522"/>
      <c r="AD9" s="522"/>
      <c r="AE9" s="523"/>
    </row>
    <row r="10" spans="1:31" s="101" customFormat="1" ht="26.25" customHeight="1" thickBot="1">
      <c r="A10" s="319" t="s">
        <v>147</v>
      </c>
      <c r="B10" s="366" t="s">
        <v>146</v>
      </c>
      <c r="C10" s="367"/>
      <c r="D10" s="367"/>
      <c r="E10" s="367"/>
      <c r="F10" s="367"/>
      <c r="G10" s="367"/>
      <c r="H10" s="367"/>
      <c r="I10" s="367"/>
      <c r="J10" s="367"/>
      <c r="K10" s="367"/>
      <c r="L10" s="367"/>
      <c r="M10" s="367"/>
      <c r="N10" s="367"/>
      <c r="O10" s="367"/>
      <c r="P10" s="368"/>
      <c r="Q10" s="369"/>
      <c r="R10" s="349"/>
      <c r="S10" s="114"/>
      <c r="T10" s="113"/>
      <c r="U10" s="104" t="e">
        <f>(#REF!+#REF!+#REF!+#REF!+#REF!+#REF!+#REF!+#REF!)/8</f>
        <v>#REF!</v>
      </c>
      <c r="V10" s="104" t="e">
        <f>(#REF!+#REF!+#REF!+#REF!+#REF!+#REF!+#REF!+#REF!+#REF!+#REF!+#REF!+#REF!)/12</f>
        <v>#REF!</v>
      </c>
      <c r="W10" s="104" t="e">
        <f>(#REF!+#REF!+#REF!+#REF!+#REF!+#REF!+#REF!)/7</f>
        <v>#REF!</v>
      </c>
      <c r="X10" s="104" t="e">
        <f>(#REF!+#REF!+#REF!+#REF!+#REF!+#REF!+#REF!)/7</f>
        <v>#REF!</v>
      </c>
      <c r="Y10" s="103">
        <v>213423.67</v>
      </c>
      <c r="Z10" s="103">
        <v>375850</v>
      </c>
      <c r="AA10" s="104" t="e">
        <f>(#REF!+#REF!+#REF!+#REF!+#REF!+#REF!+#REF!+#REF!+#REF!+#REF!+#REF!+#REF!+#REF!+#REF!+#REF!+#REF!)/16</f>
        <v>#REF!</v>
      </c>
      <c r="AB10" s="104"/>
      <c r="AC10" s="104" t="e">
        <f>(#REF!+#REF!+#REF!+#REF!+#REF!+#REF!+#REF!+#REF!+#REF!+#REF!+#REF!+#REF!+#REF!+#REF!+#REF!+#REF!)/4</f>
        <v>#REF!</v>
      </c>
      <c r="AD10" s="102"/>
      <c r="AE10" s="102"/>
    </row>
    <row r="11" spans="1:32" s="90" customFormat="1" ht="36" customHeight="1">
      <c r="A11" s="327" t="s">
        <v>133</v>
      </c>
      <c r="B11" s="363" t="s">
        <v>77</v>
      </c>
      <c r="C11" s="231" t="s">
        <v>470</v>
      </c>
      <c r="D11" s="231">
        <v>50</v>
      </c>
      <c r="E11" s="231">
        <v>1</v>
      </c>
      <c r="F11" s="231">
        <v>0.4</v>
      </c>
      <c r="G11" s="364">
        <v>154105.36</v>
      </c>
      <c r="H11" s="364">
        <f aca="true" t="shared" si="0" ref="H11:H17">ROUND(PRODUCT(G11*$H$8),2)</f>
        <v>3852.63</v>
      </c>
      <c r="I11" s="364">
        <f aca="true" t="shared" si="1" ref="I11:I17">ROUND(PRODUCT(G11*$I$8),2)</f>
        <v>776.69</v>
      </c>
      <c r="J11" s="364">
        <f aca="true" t="shared" si="2" ref="J11:J17">ROUND(PRODUCT(G11*$J$8),2)</f>
        <v>4623.16</v>
      </c>
      <c r="K11" s="364">
        <f aca="true" t="shared" si="3" ref="K11:K17">ROUND(PRODUCT(G11*$K$8),2)</f>
        <v>924.63</v>
      </c>
      <c r="L11" s="364">
        <f aca="true" t="shared" si="4" ref="L11:L17">ROUND(PRODUCT(G11*$L$8),2)</f>
        <v>77.05</v>
      </c>
      <c r="M11" s="364">
        <f aca="true" t="shared" si="5" ref="M11:M17">ROUND(PRODUCT(G11*$M$8),2)</f>
        <v>10155.54</v>
      </c>
      <c r="N11" s="364">
        <f aca="true" t="shared" si="6" ref="N11:N17">ROUND(PRODUCT(G11*$N$8),2)</f>
        <v>3297.85</v>
      </c>
      <c r="O11" s="364">
        <f aca="true" t="shared" si="7" ref="O11:O17">ROUND(PRODUCT(G11*$O$8),2)</f>
        <v>4623.16</v>
      </c>
      <c r="P11" s="364">
        <f aca="true" t="shared" si="8" ref="P11:P17">G11+H11+I11+J11+K11+L11+M11+N11+O11</f>
        <v>182436.07</v>
      </c>
      <c r="Q11" s="365">
        <v>121028.60861538463</v>
      </c>
      <c r="R11" s="350">
        <f>ROUND(PRODUCT(P11*'[1]индексы'!$H$16),2)</f>
        <v>910355.99</v>
      </c>
      <c r="S11" s="96">
        <f>ROUND(PRODUCT(Q11*'[1]индексы'!$D$16),2)</f>
        <v>655975.06</v>
      </c>
      <c r="T11" s="92"/>
      <c r="U11" s="91"/>
      <c r="V11" s="111">
        <v>308062.28</v>
      </c>
      <c r="W11" s="91"/>
      <c r="X11" s="91"/>
      <c r="Y11" s="91"/>
      <c r="Z11" s="91"/>
      <c r="AA11" s="111">
        <v>175789</v>
      </c>
      <c r="AB11" s="111"/>
      <c r="AC11" s="111"/>
      <c r="AD11" s="91"/>
      <c r="AE11" s="91"/>
      <c r="AF11" s="215"/>
    </row>
    <row r="12" spans="1:32" s="90" customFormat="1" ht="36" customHeight="1">
      <c r="A12" s="327" t="s">
        <v>121</v>
      </c>
      <c r="B12" s="361" t="s">
        <v>78</v>
      </c>
      <c r="C12" s="201" t="s">
        <v>470</v>
      </c>
      <c r="D12" s="201">
        <v>70</v>
      </c>
      <c r="E12" s="201">
        <v>1</v>
      </c>
      <c r="F12" s="201">
        <v>0.4</v>
      </c>
      <c r="G12" s="237">
        <v>168131.39</v>
      </c>
      <c r="H12" s="237">
        <f t="shared" si="0"/>
        <v>4203.28</v>
      </c>
      <c r="I12" s="237">
        <f t="shared" si="1"/>
        <v>847.38</v>
      </c>
      <c r="J12" s="237">
        <f t="shared" si="2"/>
        <v>5043.94</v>
      </c>
      <c r="K12" s="237">
        <f t="shared" si="3"/>
        <v>1008.79</v>
      </c>
      <c r="L12" s="237">
        <f t="shared" si="4"/>
        <v>84.07</v>
      </c>
      <c r="M12" s="237">
        <f t="shared" si="5"/>
        <v>11079.86</v>
      </c>
      <c r="N12" s="237">
        <f t="shared" si="6"/>
        <v>3598.01</v>
      </c>
      <c r="O12" s="237">
        <f t="shared" si="7"/>
        <v>5043.94</v>
      </c>
      <c r="P12" s="237">
        <f t="shared" si="8"/>
        <v>199040.66000000003</v>
      </c>
      <c r="Q12" s="239">
        <v>125710.59056410259</v>
      </c>
      <c r="R12" s="350">
        <f>ROUND(PRODUCT(P12*'[1]индексы'!$H$16),2)</f>
        <v>993212.89</v>
      </c>
      <c r="S12" s="96">
        <f>ROUND(PRODUCT(Q12*'[1]индексы'!$D$16),2)</f>
        <v>681351.4</v>
      </c>
      <c r="T12" s="92"/>
      <c r="U12" s="91"/>
      <c r="V12" s="111">
        <v>324968.38</v>
      </c>
      <c r="W12" s="91"/>
      <c r="X12" s="91"/>
      <c r="Y12" s="91"/>
      <c r="Z12" s="91"/>
      <c r="AA12" s="111">
        <v>186717</v>
      </c>
      <c r="AB12" s="111"/>
      <c r="AC12" s="111"/>
      <c r="AD12" s="91"/>
      <c r="AE12" s="91"/>
      <c r="AF12" s="215"/>
    </row>
    <row r="13" spans="1:32" s="90" customFormat="1" ht="36" customHeight="1">
      <c r="A13" s="327" t="s">
        <v>109</v>
      </c>
      <c r="B13" s="361" t="s">
        <v>79</v>
      </c>
      <c r="C13" s="201" t="s">
        <v>470</v>
      </c>
      <c r="D13" s="201">
        <v>95</v>
      </c>
      <c r="E13" s="201">
        <v>1</v>
      </c>
      <c r="F13" s="201">
        <v>0.4</v>
      </c>
      <c r="G13" s="237">
        <v>190555.38</v>
      </c>
      <c r="H13" s="237">
        <f t="shared" si="0"/>
        <v>4763.88</v>
      </c>
      <c r="I13" s="237">
        <f t="shared" si="1"/>
        <v>960.4</v>
      </c>
      <c r="J13" s="237">
        <f t="shared" si="2"/>
        <v>5716.66</v>
      </c>
      <c r="K13" s="237">
        <f t="shared" si="3"/>
        <v>1143.33</v>
      </c>
      <c r="L13" s="237">
        <f t="shared" si="4"/>
        <v>95.28</v>
      </c>
      <c r="M13" s="237">
        <f t="shared" si="5"/>
        <v>12557.6</v>
      </c>
      <c r="N13" s="237">
        <f t="shared" si="6"/>
        <v>4077.89</v>
      </c>
      <c r="O13" s="237">
        <f t="shared" si="7"/>
        <v>5716.66</v>
      </c>
      <c r="P13" s="237">
        <f t="shared" si="8"/>
        <v>225587.08000000002</v>
      </c>
      <c r="Q13" s="239">
        <v>139384.49302564104</v>
      </c>
      <c r="R13" s="350">
        <f>ROUND(PRODUCT(P13*'[1]индексы'!$H$16),2)</f>
        <v>1125679.53</v>
      </c>
      <c r="S13" s="96">
        <f>ROUND(PRODUCT(Q13*'[1]индексы'!$D$16),2)</f>
        <v>755463.95</v>
      </c>
      <c r="T13" s="92"/>
      <c r="U13" s="91"/>
      <c r="V13" s="111">
        <v>333470.67</v>
      </c>
      <c r="W13" s="91"/>
      <c r="X13" s="91"/>
      <c r="Y13" s="91"/>
      <c r="Z13" s="91"/>
      <c r="AA13" s="111">
        <v>203609</v>
      </c>
      <c r="AB13" s="111"/>
      <c r="AC13" s="111"/>
      <c r="AD13" s="91"/>
      <c r="AE13" s="91"/>
      <c r="AF13" s="215"/>
    </row>
    <row r="14" spans="1:32" s="90" customFormat="1" ht="36" customHeight="1">
      <c r="A14" s="327" t="s">
        <v>519</v>
      </c>
      <c r="B14" s="361" t="s">
        <v>80</v>
      </c>
      <c r="C14" s="201" t="s">
        <v>470</v>
      </c>
      <c r="D14" s="201">
        <v>120</v>
      </c>
      <c r="E14" s="201">
        <v>1</v>
      </c>
      <c r="F14" s="201">
        <v>0.4</v>
      </c>
      <c r="G14" s="237">
        <v>210021.2</v>
      </c>
      <c r="H14" s="237">
        <f t="shared" si="0"/>
        <v>5250.53</v>
      </c>
      <c r="I14" s="237">
        <f t="shared" si="1"/>
        <v>1058.51</v>
      </c>
      <c r="J14" s="237">
        <f t="shared" si="2"/>
        <v>6300.64</v>
      </c>
      <c r="K14" s="237">
        <f t="shared" si="3"/>
        <v>1260.13</v>
      </c>
      <c r="L14" s="237">
        <f t="shared" si="4"/>
        <v>105.01</v>
      </c>
      <c r="M14" s="237">
        <f t="shared" si="5"/>
        <v>13840.4</v>
      </c>
      <c r="N14" s="237">
        <f t="shared" si="6"/>
        <v>4494.45</v>
      </c>
      <c r="O14" s="237">
        <f t="shared" si="7"/>
        <v>6300.64</v>
      </c>
      <c r="P14" s="237">
        <f t="shared" si="8"/>
        <v>248631.51000000007</v>
      </c>
      <c r="Q14" s="239">
        <v>154751.52543589746</v>
      </c>
      <c r="R14" s="350">
        <f>ROUND(PRODUCT(P14*'[1]индексы'!$H$16),2)</f>
        <v>1240671.23</v>
      </c>
      <c r="S14" s="96">
        <f>ROUND(PRODUCT(Q14*'[1]индексы'!$D$16),2)</f>
        <v>838753.27</v>
      </c>
      <c r="T14" s="92"/>
      <c r="U14" s="91"/>
      <c r="V14" s="111">
        <v>350272.31</v>
      </c>
      <c r="W14" s="91"/>
      <c r="X14" s="91"/>
      <c r="Y14" s="91"/>
      <c r="Z14" s="91"/>
      <c r="AA14" s="111">
        <v>216519</v>
      </c>
      <c r="AB14" s="112" t="s">
        <v>477</v>
      </c>
      <c r="AC14" s="111">
        <v>385551</v>
      </c>
      <c r="AD14" s="91"/>
      <c r="AE14" s="91"/>
      <c r="AF14" s="215"/>
    </row>
    <row r="15" spans="1:32" s="90" customFormat="1" ht="36" customHeight="1">
      <c r="A15" s="327" t="s">
        <v>507</v>
      </c>
      <c r="B15" s="361" t="s">
        <v>81</v>
      </c>
      <c r="C15" s="201" t="s">
        <v>470</v>
      </c>
      <c r="D15" s="201">
        <v>150</v>
      </c>
      <c r="E15" s="201">
        <v>1</v>
      </c>
      <c r="F15" s="201">
        <v>0.4</v>
      </c>
      <c r="G15" s="237">
        <v>228508.69</v>
      </c>
      <c r="H15" s="237">
        <f t="shared" si="0"/>
        <v>5712.72</v>
      </c>
      <c r="I15" s="237">
        <f t="shared" si="1"/>
        <v>1151.68</v>
      </c>
      <c r="J15" s="237">
        <f t="shared" si="2"/>
        <v>6855.26</v>
      </c>
      <c r="K15" s="237">
        <f t="shared" si="3"/>
        <v>1371.05</v>
      </c>
      <c r="L15" s="237">
        <f t="shared" si="4"/>
        <v>114.25</v>
      </c>
      <c r="M15" s="237">
        <f t="shared" si="5"/>
        <v>15058.72</v>
      </c>
      <c r="N15" s="237">
        <f t="shared" si="6"/>
        <v>4890.09</v>
      </c>
      <c r="O15" s="237">
        <f t="shared" si="7"/>
        <v>6855.26</v>
      </c>
      <c r="P15" s="237">
        <f t="shared" si="8"/>
        <v>270517.72000000003</v>
      </c>
      <c r="Q15" s="239">
        <v>168679.16461538462</v>
      </c>
      <c r="R15" s="350">
        <f>ROUND(PRODUCT(P15*'[1]индексы'!$H$16),2)</f>
        <v>1349883.42</v>
      </c>
      <c r="S15" s="96">
        <f>ROUND(PRODUCT(Q15*'[1]индексы'!$D$16),2)</f>
        <v>914241.07</v>
      </c>
      <c r="T15" s="92"/>
      <c r="U15" s="91"/>
      <c r="V15" s="111">
        <v>382287.52</v>
      </c>
      <c r="W15" s="91"/>
      <c r="X15" s="91"/>
      <c r="Y15" s="91"/>
      <c r="Z15" s="91"/>
      <c r="AA15" s="111">
        <v>259600</v>
      </c>
      <c r="AB15" s="111"/>
      <c r="AC15" s="111"/>
      <c r="AD15" s="91"/>
      <c r="AE15" s="91"/>
      <c r="AF15" s="215"/>
    </row>
    <row r="16" spans="1:32" s="90" customFormat="1" ht="36" customHeight="1">
      <c r="A16" s="327" t="s">
        <v>495</v>
      </c>
      <c r="B16" s="361" t="s">
        <v>82</v>
      </c>
      <c r="C16" s="201" t="s">
        <v>470</v>
      </c>
      <c r="D16" s="201">
        <v>185</v>
      </c>
      <c r="E16" s="201">
        <v>1</v>
      </c>
      <c r="F16" s="201">
        <v>0.4</v>
      </c>
      <c r="G16" s="237">
        <v>264465.01</v>
      </c>
      <c r="H16" s="237">
        <f t="shared" si="0"/>
        <v>6611.63</v>
      </c>
      <c r="I16" s="237">
        <f t="shared" si="1"/>
        <v>1332.9</v>
      </c>
      <c r="J16" s="237">
        <f t="shared" si="2"/>
        <v>7933.95</v>
      </c>
      <c r="K16" s="237">
        <f t="shared" si="3"/>
        <v>1586.79</v>
      </c>
      <c r="L16" s="237">
        <f t="shared" si="4"/>
        <v>132.23</v>
      </c>
      <c r="M16" s="237">
        <f t="shared" si="5"/>
        <v>17428.24</v>
      </c>
      <c r="N16" s="237">
        <f t="shared" si="6"/>
        <v>5659.55</v>
      </c>
      <c r="O16" s="237">
        <f t="shared" si="7"/>
        <v>7933.95</v>
      </c>
      <c r="P16" s="237">
        <f t="shared" si="8"/>
        <v>313084.25</v>
      </c>
      <c r="Q16" s="239">
        <v>195760.67723076924</v>
      </c>
      <c r="R16" s="350">
        <f>ROUND(PRODUCT(P16*'[1]индексы'!$H$16),2)</f>
        <v>1562290.41</v>
      </c>
      <c r="S16" s="96">
        <f>ROUND(PRODUCT(Q16*'[1]индексы'!$D$16),2)</f>
        <v>1061022.87</v>
      </c>
      <c r="T16" s="92"/>
      <c r="U16" s="91"/>
      <c r="V16" s="91"/>
      <c r="W16" s="91"/>
      <c r="X16" s="91"/>
      <c r="Y16" s="91"/>
      <c r="Z16" s="91"/>
      <c r="AA16" s="111">
        <v>279120</v>
      </c>
      <c r="AB16" s="111"/>
      <c r="AC16" s="111"/>
      <c r="AD16" s="91"/>
      <c r="AE16" s="91"/>
      <c r="AF16" s="215"/>
    </row>
    <row r="17" spans="1:32" s="90" customFormat="1" ht="36" customHeight="1" thickBot="1">
      <c r="A17" s="327" t="s">
        <v>483</v>
      </c>
      <c r="B17" s="370" t="s">
        <v>83</v>
      </c>
      <c r="C17" s="275" t="s">
        <v>470</v>
      </c>
      <c r="D17" s="275">
        <v>240</v>
      </c>
      <c r="E17" s="275">
        <v>1</v>
      </c>
      <c r="F17" s="275">
        <v>0.4</v>
      </c>
      <c r="G17" s="371">
        <v>308674.35</v>
      </c>
      <c r="H17" s="371">
        <f t="shared" si="0"/>
        <v>7716.86</v>
      </c>
      <c r="I17" s="371">
        <f t="shared" si="1"/>
        <v>1555.72</v>
      </c>
      <c r="J17" s="371">
        <f t="shared" si="2"/>
        <v>9260.23</v>
      </c>
      <c r="K17" s="371">
        <f t="shared" si="3"/>
        <v>1852.05</v>
      </c>
      <c r="L17" s="371">
        <f t="shared" si="4"/>
        <v>154.34</v>
      </c>
      <c r="M17" s="371">
        <f t="shared" si="5"/>
        <v>20341.64</v>
      </c>
      <c r="N17" s="371">
        <f t="shared" si="6"/>
        <v>6605.63</v>
      </c>
      <c r="O17" s="371">
        <f t="shared" si="7"/>
        <v>9260.23</v>
      </c>
      <c r="P17" s="371">
        <f t="shared" si="8"/>
        <v>365421.04999999993</v>
      </c>
      <c r="Q17" s="372">
        <v>225268.7314871795</v>
      </c>
      <c r="R17" s="350">
        <f>ROUND(PRODUCT(P17*'[1]индексы'!$H$16),2)</f>
        <v>1823451.04</v>
      </c>
      <c r="S17" s="96">
        <f>ROUND(PRODUCT(Q17*'[1]индексы'!$D$16),2)</f>
        <v>1220956.52</v>
      </c>
      <c r="T17" s="92"/>
      <c r="U17" s="91"/>
      <c r="V17" s="91"/>
      <c r="W17" s="91"/>
      <c r="X17" s="91"/>
      <c r="Y17" s="91"/>
      <c r="Z17" s="91"/>
      <c r="AA17" s="111">
        <v>385865</v>
      </c>
      <c r="AB17" s="112" t="s">
        <v>477</v>
      </c>
      <c r="AC17" s="111">
        <v>687603</v>
      </c>
      <c r="AD17" s="91"/>
      <c r="AE17" s="91"/>
      <c r="AF17" s="215"/>
    </row>
    <row r="18" spans="1:31" s="101" customFormat="1" ht="29.25" customHeight="1" thickBot="1">
      <c r="A18" s="319" t="s">
        <v>469</v>
      </c>
      <c r="B18" s="366" t="s">
        <v>468</v>
      </c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7"/>
      <c r="N18" s="367"/>
      <c r="O18" s="367"/>
      <c r="P18" s="374"/>
      <c r="Q18" s="375"/>
      <c r="R18" s="351"/>
      <c r="S18" s="106"/>
      <c r="T18" s="105"/>
      <c r="U18" s="104" t="e">
        <f>(#REF!+#REF!+#REF!+#REF!+#REF!+#REF!+#REF!+#REF!+#REF!+#REF!+#REF!+#REF!+#REF!+#REF!)/14</f>
        <v>#REF!</v>
      </c>
      <c r="V18" s="104" t="e">
        <f>(#REF!+#REF!+#REF!+#REF!+#REF!+#REF!)/6</f>
        <v>#REF!</v>
      </c>
      <c r="W18" s="104"/>
      <c r="X18" s="104"/>
      <c r="Y18" s="103">
        <v>277134.32</v>
      </c>
      <c r="Z18" s="103">
        <v>479992</v>
      </c>
      <c r="AA18" s="102"/>
      <c r="AB18" s="102"/>
      <c r="AC18" s="102"/>
      <c r="AD18" s="102"/>
      <c r="AE18" s="102"/>
    </row>
    <row r="19" spans="1:32" s="90" customFormat="1" ht="36" customHeight="1">
      <c r="A19" s="327" t="s">
        <v>467</v>
      </c>
      <c r="B19" s="363" t="s">
        <v>84</v>
      </c>
      <c r="C19" s="231" t="s">
        <v>383</v>
      </c>
      <c r="D19" s="231">
        <v>50</v>
      </c>
      <c r="E19" s="231">
        <v>1</v>
      </c>
      <c r="F19" s="373" t="s">
        <v>330</v>
      </c>
      <c r="G19" s="364">
        <v>318197.18</v>
      </c>
      <c r="H19" s="364">
        <f aca="true" t="shared" si="9" ref="H19:O19">ROUND(PRODUCT($G$19*H8),2)</f>
        <v>7954.93</v>
      </c>
      <c r="I19" s="364">
        <f t="shared" si="9"/>
        <v>1603.71</v>
      </c>
      <c r="J19" s="364">
        <f t="shared" si="9"/>
        <v>9545.92</v>
      </c>
      <c r="K19" s="364">
        <f t="shared" si="9"/>
        <v>1909.18</v>
      </c>
      <c r="L19" s="364">
        <f t="shared" si="9"/>
        <v>159.1</v>
      </c>
      <c r="M19" s="364">
        <f t="shared" si="9"/>
        <v>20969.19</v>
      </c>
      <c r="N19" s="364">
        <f t="shared" si="9"/>
        <v>6809.42</v>
      </c>
      <c r="O19" s="364">
        <f t="shared" si="9"/>
        <v>9545.92</v>
      </c>
      <c r="P19" s="364">
        <f aca="true" t="shared" si="10" ref="P19:P26">G19+H19+I19+J19+K19+L19+M19+N19+O19</f>
        <v>376694.54999999993</v>
      </c>
      <c r="Q19" s="365">
        <v>257352.30492307694</v>
      </c>
      <c r="R19" s="350">
        <f>ROUND(PRODUCT(P19*'[1]индексы'!$H$18),2)</f>
        <v>1970112.5</v>
      </c>
      <c r="S19" s="96">
        <f>ROUND(PRODUCT(Q19*'[1]индексы'!$D$18),2)</f>
        <v>1394849.49</v>
      </c>
      <c r="T19" s="92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215"/>
    </row>
    <row r="20" spans="1:32" s="90" customFormat="1" ht="36" customHeight="1">
      <c r="A20" s="327" t="s">
        <v>455</v>
      </c>
      <c r="B20" s="361" t="s">
        <v>85</v>
      </c>
      <c r="C20" s="201" t="s">
        <v>383</v>
      </c>
      <c r="D20" s="201">
        <v>70</v>
      </c>
      <c r="E20" s="201">
        <v>1</v>
      </c>
      <c r="F20" s="354" t="s">
        <v>330</v>
      </c>
      <c r="G20" s="237">
        <v>497318.22</v>
      </c>
      <c r="H20" s="237">
        <f aca="true" t="shared" si="11" ref="H20:H26">ROUND(PRODUCT(G20*$H$8),2)</f>
        <v>12432.96</v>
      </c>
      <c r="I20" s="237">
        <f aca="true" t="shared" si="12" ref="I20:I26">ROUND(PRODUCT(G20*$I$8),2)</f>
        <v>2506.48</v>
      </c>
      <c r="J20" s="237">
        <f aca="true" t="shared" si="13" ref="J20:J26">ROUND(PRODUCT(G20*$J$8),2)</f>
        <v>14919.55</v>
      </c>
      <c r="K20" s="237">
        <f aca="true" t="shared" si="14" ref="K20:K26">ROUND(PRODUCT(G20*$K$8),2)</f>
        <v>2983.91</v>
      </c>
      <c r="L20" s="237">
        <f aca="true" t="shared" si="15" ref="L20:L26">ROUND(PRODUCT(G20*$L$8),2)</f>
        <v>248.66</v>
      </c>
      <c r="M20" s="237">
        <f aca="true" t="shared" si="16" ref="M20:M26">ROUND(PRODUCT(G20*$M$8),2)</f>
        <v>32773.27</v>
      </c>
      <c r="N20" s="237">
        <f aca="true" t="shared" si="17" ref="N20:N26">ROUND(PRODUCT(G20*$N$8),2)</f>
        <v>10642.61</v>
      </c>
      <c r="O20" s="237">
        <f aca="true" t="shared" si="18" ref="O20:O26">ROUND(PRODUCT(G20*$O$8),2)</f>
        <v>14919.55</v>
      </c>
      <c r="P20" s="237">
        <f t="shared" si="10"/>
        <v>588745.2100000001</v>
      </c>
      <c r="Q20" s="239">
        <v>307192.0623589743</v>
      </c>
      <c r="R20" s="350">
        <f>ROUND(PRODUCT(P20*'[1]индексы'!$H$18),2)</f>
        <v>3079137.45</v>
      </c>
      <c r="S20" s="96">
        <f>ROUND(PRODUCT(Q20*'[1]индексы'!$D$18),2)</f>
        <v>1664980.98</v>
      </c>
      <c r="T20" s="92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215"/>
    </row>
    <row r="21" spans="1:32" s="90" customFormat="1" ht="36" customHeight="1">
      <c r="A21" s="327" t="s">
        <v>443</v>
      </c>
      <c r="B21" s="361" t="s">
        <v>86</v>
      </c>
      <c r="C21" s="201" t="s">
        <v>383</v>
      </c>
      <c r="D21" s="201">
        <v>95</v>
      </c>
      <c r="E21" s="201">
        <v>1</v>
      </c>
      <c r="F21" s="354" t="s">
        <v>330</v>
      </c>
      <c r="G21" s="237">
        <v>513258.57</v>
      </c>
      <c r="H21" s="237">
        <f t="shared" si="11"/>
        <v>12831.46</v>
      </c>
      <c r="I21" s="237">
        <f t="shared" si="12"/>
        <v>2586.82</v>
      </c>
      <c r="J21" s="237">
        <f t="shared" si="13"/>
        <v>15397.76</v>
      </c>
      <c r="K21" s="237">
        <f t="shared" si="14"/>
        <v>3079.55</v>
      </c>
      <c r="L21" s="237">
        <f t="shared" si="15"/>
        <v>256.63</v>
      </c>
      <c r="M21" s="237">
        <f t="shared" si="16"/>
        <v>33823.74</v>
      </c>
      <c r="N21" s="237">
        <f t="shared" si="17"/>
        <v>10983.73</v>
      </c>
      <c r="O21" s="237">
        <f t="shared" si="18"/>
        <v>15397.76</v>
      </c>
      <c r="P21" s="237">
        <f t="shared" si="10"/>
        <v>607616.02</v>
      </c>
      <c r="Q21" s="239">
        <v>338037.2177435897</v>
      </c>
      <c r="R21" s="350">
        <f>ROUND(PRODUCT(P21*'[1]индексы'!$H$18),2)</f>
        <v>3177831.78</v>
      </c>
      <c r="S21" s="96">
        <f>ROUND(PRODUCT(Q21*'[1]индексы'!$D$18),2)</f>
        <v>1832161.72</v>
      </c>
      <c r="T21" s="92"/>
      <c r="U21" s="91"/>
      <c r="V21" s="91">
        <v>669010.65</v>
      </c>
      <c r="W21" s="91"/>
      <c r="X21" s="91"/>
      <c r="Y21" s="91"/>
      <c r="Z21" s="91"/>
      <c r="AA21" s="91"/>
      <c r="AB21" s="91"/>
      <c r="AC21" s="91"/>
      <c r="AD21" s="91"/>
      <c r="AE21" s="91"/>
      <c r="AF21" s="215"/>
    </row>
    <row r="22" spans="1:32" s="90" customFormat="1" ht="36" customHeight="1">
      <c r="A22" s="327" t="s">
        <v>431</v>
      </c>
      <c r="B22" s="361" t="s">
        <v>87</v>
      </c>
      <c r="C22" s="201" t="s">
        <v>383</v>
      </c>
      <c r="D22" s="201">
        <v>120</v>
      </c>
      <c r="E22" s="201">
        <v>1</v>
      </c>
      <c r="F22" s="354" t="s">
        <v>330</v>
      </c>
      <c r="G22" s="237">
        <v>519502.72</v>
      </c>
      <c r="H22" s="237">
        <f t="shared" si="11"/>
        <v>12987.57</v>
      </c>
      <c r="I22" s="237">
        <f t="shared" si="12"/>
        <v>2618.29</v>
      </c>
      <c r="J22" s="237">
        <f t="shared" si="13"/>
        <v>15585.08</v>
      </c>
      <c r="K22" s="237">
        <f t="shared" si="14"/>
        <v>3117.02</v>
      </c>
      <c r="L22" s="237">
        <f t="shared" si="15"/>
        <v>259.75</v>
      </c>
      <c r="M22" s="237">
        <f t="shared" si="16"/>
        <v>34235.23</v>
      </c>
      <c r="N22" s="237">
        <f t="shared" si="17"/>
        <v>11117.36</v>
      </c>
      <c r="O22" s="237">
        <f t="shared" si="18"/>
        <v>15585.08</v>
      </c>
      <c r="P22" s="237">
        <f t="shared" si="10"/>
        <v>615008.0999999999</v>
      </c>
      <c r="Q22" s="239">
        <v>382811.9746666667</v>
      </c>
      <c r="R22" s="350">
        <f>ROUND(PRODUCT(P22*'[1]индексы'!$H$18),2)</f>
        <v>3216492.36</v>
      </c>
      <c r="S22" s="96">
        <f>ROUND(PRODUCT(Q22*'[1]индексы'!$D$18),2)</f>
        <v>2074840.9</v>
      </c>
      <c r="T22" s="92"/>
      <c r="U22" s="91"/>
      <c r="V22" s="91">
        <v>652417.29</v>
      </c>
      <c r="W22" s="91"/>
      <c r="X22" s="91"/>
      <c r="Y22" s="91"/>
      <c r="Z22" s="91"/>
      <c r="AA22" s="91"/>
      <c r="AB22" s="91"/>
      <c r="AC22" s="91"/>
      <c r="AD22" s="91"/>
      <c r="AE22" s="91"/>
      <c r="AF22" s="215"/>
    </row>
    <row r="23" spans="1:32" s="90" customFormat="1" ht="36" customHeight="1">
      <c r="A23" s="327" t="s">
        <v>419</v>
      </c>
      <c r="B23" s="361" t="s">
        <v>88</v>
      </c>
      <c r="C23" s="201" t="s">
        <v>383</v>
      </c>
      <c r="D23" s="201">
        <v>150</v>
      </c>
      <c r="E23" s="201">
        <v>1</v>
      </c>
      <c r="F23" s="354" t="s">
        <v>330</v>
      </c>
      <c r="G23" s="237">
        <v>570548.48</v>
      </c>
      <c r="H23" s="237">
        <f t="shared" si="11"/>
        <v>14263.71</v>
      </c>
      <c r="I23" s="237">
        <f t="shared" si="12"/>
        <v>2875.56</v>
      </c>
      <c r="J23" s="237">
        <f t="shared" si="13"/>
        <v>17116.45</v>
      </c>
      <c r="K23" s="237">
        <f t="shared" si="14"/>
        <v>3423.29</v>
      </c>
      <c r="L23" s="237">
        <f t="shared" si="15"/>
        <v>285.27</v>
      </c>
      <c r="M23" s="237">
        <f t="shared" si="16"/>
        <v>37599.14</v>
      </c>
      <c r="N23" s="237">
        <f t="shared" si="17"/>
        <v>12209.74</v>
      </c>
      <c r="O23" s="237">
        <f t="shared" si="18"/>
        <v>17116.45</v>
      </c>
      <c r="P23" s="237">
        <f t="shared" si="10"/>
        <v>675438.09</v>
      </c>
      <c r="Q23" s="239">
        <v>391714.5815384615</v>
      </c>
      <c r="R23" s="350">
        <f>ROUND(PRODUCT(P23*'[1]индексы'!$H$18),2)</f>
        <v>3532541.21</v>
      </c>
      <c r="S23" s="96">
        <f>ROUND(PRODUCT(Q23*'[1]индексы'!$D$18),2)</f>
        <v>2123093.03</v>
      </c>
      <c r="T23" s="92"/>
      <c r="U23" s="91"/>
      <c r="V23" s="91">
        <v>711282.61</v>
      </c>
      <c r="W23" s="91"/>
      <c r="X23" s="91"/>
      <c r="Y23" s="91"/>
      <c r="Z23" s="91"/>
      <c r="AA23" s="91"/>
      <c r="AB23" s="91"/>
      <c r="AC23" s="91"/>
      <c r="AD23" s="91"/>
      <c r="AE23" s="91"/>
      <c r="AF23" s="215"/>
    </row>
    <row r="24" spans="1:32" s="90" customFormat="1" ht="36" customHeight="1">
      <c r="A24" s="327" t="s">
        <v>407</v>
      </c>
      <c r="B24" s="361" t="s">
        <v>89</v>
      </c>
      <c r="C24" s="201" t="s">
        <v>383</v>
      </c>
      <c r="D24" s="201">
        <v>185</v>
      </c>
      <c r="E24" s="201">
        <v>1</v>
      </c>
      <c r="F24" s="354" t="s">
        <v>330</v>
      </c>
      <c r="G24" s="237">
        <v>622549.47</v>
      </c>
      <c r="H24" s="237">
        <f t="shared" si="11"/>
        <v>15563.74</v>
      </c>
      <c r="I24" s="237">
        <f t="shared" si="12"/>
        <v>3137.65</v>
      </c>
      <c r="J24" s="237">
        <f t="shared" si="13"/>
        <v>18676.48</v>
      </c>
      <c r="K24" s="237">
        <f t="shared" si="14"/>
        <v>3735.3</v>
      </c>
      <c r="L24" s="237">
        <f t="shared" si="15"/>
        <v>311.27</v>
      </c>
      <c r="M24" s="237">
        <f t="shared" si="16"/>
        <v>41026.01</v>
      </c>
      <c r="N24" s="237">
        <f t="shared" si="17"/>
        <v>13322.56</v>
      </c>
      <c r="O24" s="237">
        <f t="shared" si="18"/>
        <v>18676.48</v>
      </c>
      <c r="P24" s="237">
        <f t="shared" si="10"/>
        <v>736998.9600000001</v>
      </c>
      <c r="Q24" s="239">
        <v>406340.29046153853</v>
      </c>
      <c r="R24" s="350">
        <f>ROUND(PRODUCT(P24*'[1]индексы'!$H$18),2)</f>
        <v>3854504.56</v>
      </c>
      <c r="S24" s="96">
        <f>ROUND(PRODUCT(Q24*'[1]индексы'!$D$18),2)</f>
        <v>2202364.37</v>
      </c>
      <c r="T24" s="92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215"/>
    </row>
    <row r="25" spans="1:32" s="90" customFormat="1" ht="36" customHeight="1">
      <c r="A25" s="327"/>
      <c r="B25" s="361" t="s">
        <v>90</v>
      </c>
      <c r="C25" s="201" t="s">
        <v>383</v>
      </c>
      <c r="D25" s="201">
        <v>240</v>
      </c>
      <c r="E25" s="201">
        <v>1</v>
      </c>
      <c r="F25" s="354" t="s">
        <v>330</v>
      </c>
      <c r="G25" s="237">
        <v>657368.95</v>
      </c>
      <c r="H25" s="237">
        <v>16434.22</v>
      </c>
      <c r="I25" s="237">
        <v>3313.14</v>
      </c>
      <c r="J25" s="237">
        <v>19721.07</v>
      </c>
      <c r="K25" s="237">
        <v>3944.21</v>
      </c>
      <c r="L25" s="237">
        <v>328.68</v>
      </c>
      <c r="M25" s="237">
        <v>43320.61</v>
      </c>
      <c r="N25" s="237">
        <v>14067.7</v>
      </c>
      <c r="O25" s="237">
        <v>19721.07</v>
      </c>
      <c r="P25" s="237">
        <v>778219.6499999998</v>
      </c>
      <c r="Q25" s="239">
        <v>497623.01353846164</v>
      </c>
      <c r="R25" s="350"/>
      <c r="S25" s="96"/>
      <c r="T25" s="92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215"/>
    </row>
    <row r="26" spans="1:31" s="90" customFormat="1" ht="36" customHeight="1" thickBot="1">
      <c r="A26" s="360" t="s">
        <v>395</v>
      </c>
      <c r="B26" s="362" t="s">
        <v>545</v>
      </c>
      <c r="C26" s="284" t="s">
        <v>383</v>
      </c>
      <c r="D26" s="284">
        <v>500</v>
      </c>
      <c r="E26" s="284">
        <v>1</v>
      </c>
      <c r="F26" s="355" t="s">
        <v>330</v>
      </c>
      <c r="G26" s="356">
        <v>657368.95</v>
      </c>
      <c r="H26" s="356">
        <f t="shared" si="11"/>
        <v>16434.22</v>
      </c>
      <c r="I26" s="356">
        <f t="shared" si="12"/>
        <v>3313.14</v>
      </c>
      <c r="J26" s="356">
        <f t="shared" si="13"/>
        <v>19721.07</v>
      </c>
      <c r="K26" s="356">
        <f t="shared" si="14"/>
        <v>3944.21</v>
      </c>
      <c r="L26" s="356">
        <f t="shared" si="15"/>
        <v>328.68</v>
      </c>
      <c r="M26" s="356">
        <f t="shared" si="16"/>
        <v>43320.61</v>
      </c>
      <c r="N26" s="356">
        <f t="shared" si="17"/>
        <v>14067.7</v>
      </c>
      <c r="O26" s="356">
        <f t="shared" si="18"/>
        <v>19721.07</v>
      </c>
      <c r="P26" s="356">
        <f t="shared" si="10"/>
        <v>778219.6499999998</v>
      </c>
      <c r="Q26" s="357">
        <v>551810.504923077</v>
      </c>
      <c r="R26" s="350">
        <f>ROUND(PRODUCT(P26*'[1]индексы'!$H$18),2)</f>
        <v>4070088.77</v>
      </c>
      <c r="S26" s="96">
        <f>ROUND(PRODUCT(Q26*'[1]индексы'!$D$18),2)</f>
        <v>2990812.94</v>
      </c>
      <c r="T26" s="92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</row>
    <row r="27" ht="15.75" customHeight="1" hidden="1"/>
    <row r="28" spans="1:20" ht="15.75" customHeight="1" hidden="1">
      <c r="A28" s="87"/>
      <c r="B28" s="89" t="s">
        <v>376</v>
      </c>
      <c r="C28" s="87"/>
      <c r="P28" s="86"/>
      <c r="R28" s="89"/>
      <c r="S28" s="89"/>
      <c r="T28" s="89"/>
    </row>
    <row r="29" spans="1:21" s="72" customFormat="1" ht="31.5" customHeight="1" hidden="1">
      <c r="A29" s="67"/>
      <c r="B29" s="68" t="s">
        <v>382</v>
      </c>
      <c r="C29" s="69"/>
      <c r="D29" s="69"/>
      <c r="E29" s="69"/>
      <c r="F29" s="69"/>
      <c r="G29" s="82">
        <f>ROUND(PRODUCT(SUM(G11:G17)/48),2)</f>
        <v>31759.61</v>
      </c>
      <c r="H29" s="69"/>
      <c r="I29" s="69"/>
      <c r="J29" s="69"/>
      <c r="K29" s="69"/>
      <c r="L29" s="69"/>
      <c r="M29" s="69"/>
      <c r="N29" s="69"/>
      <c r="O29" s="69"/>
      <c r="P29" s="71">
        <f>ROUND(PRODUCT(SUM(P11:P17)/48),2)</f>
        <v>37598.3</v>
      </c>
      <c r="Q29" s="82">
        <f>ROUND(PRODUCT(SUM(Q11:Q17)/48),2)</f>
        <v>23553.83</v>
      </c>
      <c r="R29" s="71">
        <f>ROUND(PRODUCT(SUM(R11:R17)/48),2)</f>
        <v>187615.51</v>
      </c>
      <c r="S29" s="71">
        <f>ROUND(PRODUCT(SUM(S11:S17)/48),2)</f>
        <v>127661.75</v>
      </c>
      <c r="T29" s="88"/>
      <c r="U29" s="88"/>
    </row>
    <row r="30" spans="1:21" s="72" customFormat="1" ht="31.5" customHeight="1" hidden="1">
      <c r="A30" s="67"/>
      <c r="B30" s="68" t="s">
        <v>381</v>
      </c>
      <c r="C30" s="69"/>
      <c r="D30" s="69"/>
      <c r="E30" s="69"/>
      <c r="F30" s="69"/>
      <c r="G30" s="82">
        <f>ROUND(PRODUCT(SUM(G19:G26))/42,2)</f>
        <v>103716.97</v>
      </c>
      <c r="H30" s="69"/>
      <c r="I30" s="69"/>
      <c r="J30" s="69"/>
      <c r="K30" s="69"/>
      <c r="L30" s="69"/>
      <c r="M30" s="69"/>
      <c r="N30" s="69"/>
      <c r="O30" s="69"/>
      <c r="P30" s="71">
        <f>ROUND(PRODUCT(SUM(P19:P26)/42),2)</f>
        <v>122784.29</v>
      </c>
      <c r="Q30" s="82">
        <f>ROUND(PRODUCT(SUM(Q19:Q26)/42),2)</f>
        <v>74592.43</v>
      </c>
      <c r="R30" s="71">
        <f>ROUND(PRODUCT(SUM(R19:R26)/42),2)</f>
        <v>545254.97</v>
      </c>
      <c r="S30" s="71">
        <f>ROUND(PRODUCT(SUM(S19:S26)/42),2)</f>
        <v>340073.89</v>
      </c>
      <c r="T30" s="88"/>
      <c r="U30" s="88"/>
    </row>
    <row r="31" ht="15.75" customHeight="1" hidden="1"/>
    <row r="32" ht="15.75" customHeight="1" hidden="1"/>
    <row r="33" ht="15.75" customHeight="1" hidden="1"/>
    <row r="34" spans="1:8" ht="15.75" customHeight="1" hidden="1">
      <c r="A34" s="87"/>
      <c r="C34" s="87" t="s">
        <v>374</v>
      </c>
      <c r="D34" s="87"/>
      <c r="E34" s="84"/>
      <c r="H34" s="86" t="s">
        <v>375</v>
      </c>
    </row>
  </sheetData>
  <sheetProtection/>
  <mergeCells count="25">
    <mergeCell ref="AE5:AE6"/>
    <mergeCell ref="K6:L6"/>
    <mergeCell ref="U9:AE9"/>
    <mergeCell ref="V5:V6"/>
    <mergeCell ref="W5:X6"/>
    <mergeCell ref="Y5:Y6"/>
    <mergeCell ref="Z5:Z6"/>
    <mergeCell ref="AA5:AC6"/>
    <mergeCell ref="AD5:AD6"/>
    <mergeCell ref="G5:G8"/>
    <mergeCell ref="P5:P8"/>
    <mergeCell ref="Q5:Q8"/>
    <mergeCell ref="R5:R8"/>
    <mergeCell ref="H5:O5"/>
    <mergeCell ref="S5:S8"/>
    <mergeCell ref="B2:Q2"/>
    <mergeCell ref="U5:U6"/>
    <mergeCell ref="E1:AD1"/>
    <mergeCell ref="A3:S3"/>
    <mergeCell ref="A5:A9"/>
    <mergeCell ref="B5:B9"/>
    <mergeCell ref="C5:C9"/>
    <mergeCell ref="D5:D9"/>
    <mergeCell ref="E5:E9"/>
    <mergeCell ref="F5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1"/>
  <sheetViews>
    <sheetView view="pageBreakPreview" zoomScale="75" zoomScaleNormal="75" zoomScaleSheetLayoutView="75" zoomScalePageLayoutView="0" workbookViewId="0" topLeftCell="B1">
      <selection activeCell="B3" sqref="B3:H3"/>
    </sheetView>
  </sheetViews>
  <sheetFormatPr defaultColWidth="9.140625" defaultRowHeight="15"/>
  <cols>
    <col min="1" max="1" width="7.28125" style="86" hidden="1" customWidth="1"/>
    <col min="2" max="2" width="108.421875" style="84" customWidth="1"/>
    <col min="3" max="3" width="14.00390625" style="86" customWidth="1"/>
    <col min="4" max="4" width="21.28125" style="86" customWidth="1"/>
    <col min="5" max="5" width="18.421875" style="86" customWidth="1"/>
    <col min="6" max="6" width="16.00390625" style="86" customWidth="1"/>
    <col min="7" max="7" width="13.421875" style="86" customWidth="1"/>
    <col min="8" max="8" width="22.7109375" style="86" customWidth="1"/>
    <col min="9" max="18" width="22.7109375" style="86" hidden="1" customWidth="1"/>
    <col min="19" max="19" width="22.7109375" style="84" hidden="1" customWidth="1"/>
    <col min="20" max="20" width="22.7109375" style="85" hidden="1" customWidth="1"/>
    <col min="21" max="22" width="22.7109375" style="84" hidden="1" customWidth="1"/>
    <col min="23" max="24" width="22.7109375" style="84" customWidth="1"/>
    <col min="25" max="30" width="18.7109375" style="84" customWidth="1"/>
    <col min="31" max="31" width="19.421875" style="84" customWidth="1"/>
    <col min="32" max="32" width="18.7109375" style="84" customWidth="1"/>
    <col min="33" max="16384" width="9.140625" style="84" customWidth="1"/>
  </cols>
  <sheetData>
    <row r="1" spans="1:22" ht="99.75" customHeight="1">
      <c r="A1" s="251"/>
      <c r="B1" s="252"/>
      <c r="C1" s="251"/>
      <c r="D1" s="251"/>
      <c r="E1" s="251"/>
      <c r="F1" s="533" t="s">
        <v>567</v>
      </c>
      <c r="G1" s="533"/>
      <c r="H1" s="533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2"/>
      <c r="T1" s="253"/>
      <c r="U1" s="252"/>
      <c r="V1" s="252"/>
    </row>
    <row r="2" spans="1:23" ht="39.75" customHeight="1">
      <c r="A2" s="411" t="s">
        <v>95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7"/>
      <c r="U2" s="537"/>
      <c r="V2" s="537"/>
      <c r="W2" s="157"/>
    </row>
    <row r="3" spans="1:23" ht="69.75" customHeight="1">
      <c r="A3" s="242"/>
      <c r="B3" s="449" t="s">
        <v>566</v>
      </c>
      <c r="C3" s="449"/>
      <c r="D3" s="449"/>
      <c r="E3" s="449"/>
      <c r="F3" s="449"/>
      <c r="G3" s="449"/>
      <c r="H3" s="449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1"/>
      <c r="U3" s="251"/>
      <c r="V3" s="251"/>
      <c r="W3" s="157"/>
    </row>
    <row r="4" spans="1:23" ht="17.25" thickBot="1">
      <c r="A4" s="242"/>
      <c r="B4" s="220"/>
      <c r="C4" s="220"/>
      <c r="D4" s="220"/>
      <c r="E4" s="220"/>
      <c r="F4" s="220"/>
      <c r="G4" s="220"/>
      <c r="H4" s="255" t="s">
        <v>540</v>
      </c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1"/>
      <c r="U4" s="251"/>
      <c r="V4" s="251"/>
      <c r="W4" s="157"/>
    </row>
    <row r="5" spans="1:32" ht="20.25" customHeight="1">
      <c r="A5" s="451" t="s">
        <v>254</v>
      </c>
      <c r="B5" s="493" t="s">
        <v>255</v>
      </c>
      <c r="C5" s="422" t="s">
        <v>230</v>
      </c>
      <c r="D5" s="422" t="s">
        <v>229</v>
      </c>
      <c r="E5" s="422" t="s">
        <v>228</v>
      </c>
      <c r="F5" s="422" t="s">
        <v>227</v>
      </c>
      <c r="G5" s="422" t="s">
        <v>260</v>
      </c>
      <c r="H5" s="445" t="s">
        <v>556</v>
      </c>
      <c r="I5" s="475" t="s">
        <v>226</v>
      </c>
      <c r="J5" s="505" t="s">
        <v>261</v>
      </c>
      <c r="K5" s="514" t="s">
        <v>262</v>
      </c>
      <c r="L5" s="515"/>
      <c r="M5" s="515"/>
      <c r="N5" s="515"/>
      <c r="O5" s="515"/>
      <c r="P5" s="515"/>
      <c r="Q5" s="515"/>
      <c r="R5" s="516"/>
      <c r="S5" s="505" t="s">
        <v>261</v>
      </c>
      <c r="T5" s="546" t="s">
        <v>225</v>
      </c>
      <c r="U5" s="505" t="s">
        <v>224</v>
      </c>
      <c r="V5" s="478" t="s">
        <v>223</v>
      </c>
      <c r="W5" s="117"/>
      <c r="X5" s="462"/>
      <c r="Y5" s="462"/>
      <c r="Z5" s="462"/>
      <c r="AA5" s="462"/>
      <c r="AB5" s="462"/>
      <c r="AC5" s="462"/>
      <c r="AD5" s="462"/>
      <c r="AE5" s="461"/>
      <c r="AF5" s="462"/>
    </row>
    <row r="6" spans="1:32" ht="148.5" customHeight="1" hidden="1">
      <c r="A6" s="452"/>
      <c r="B6" s="494"/>
      <c r="C6" s="423"/>
      <c r="D6" s="423"/>
      <c r="E6" s="423"/>
      <c r="F6" s="423"/>
      <c r="G6" s="423"/>
      <c r="H6" s="534"/>
      <c r="I6" s="476"/>
      <c r="J6" s="506"/>
      <c r="K6" s="232" t="s">
        <v>276</v>
      </c>
      <c r="L6" s="232" t="s">
        <v>277</v>
      </c>
      <c r="M6" s="232" t="s">
        <v>278</v>
      </c>
      <c r="N6" s="520" t="s">
        <v>279</v>
      </c>
      <c r="O6" s="520"/>
      <c r="P6" s="232" t="s">
        <v>280</v>
      </c>
      <c r="Q6" s="232" t="s">
        <v>281</v>
      </c>
      <c r="R6" s="232" t="s">
        <v>282</v>
      </c>
      <c r="S6" s="506"/>
      <c r="T6" s="547"/>
      <c r="U6" s="506"/>
      <c r="V6" s="479"/>
      <c r="W6" s="6"/>
      <c r="X6" s="463"/>
      <c r="Y6" s="463"/>
      <c r="Z6" s="463"/>
      <c r="AA6" s="463"/>
      <c r="AB6" s="463"/>
      <c r="AC6" s="463"/>
      <c r="AD6" s="463"/>
      <c r="AE6" s="463"/>
      <c r="AF6" s="463"/>
    </row>
    <row r="7" spans="1:32" ht="129.75" customHeight="1" hidden="1">
      <c r="A7" s="452"/>
      <c r="B7" s="494"/>
      <c r="C7" s="423"/>
      <c r="D7" s="423"/>
      <c r="E7" s="423"/>
      <c r="F7" s="423"/>
      <c r="G7" s="423"/>
      <c r="H7" s="534"/>
      <c r="I7" s="476"/>
      <c r="J7" s="506"/>
      <c r="K7" s="232" t="s">
        <v>283</v>
      </c>
      <c r="L7" s="232" t="s">
        <v>284</v>
      </c>
      <c r="M7" s="232" t="s">
        <v>285</v>
      </c>
      <c r="N7" s="232" t="s">
        <v>286</v>
      </c>
      <c r="O7" s="232" t="s">
        <v>287</v>
      </c>
      <c r="P7" s="232" t="s">
        <v>288</v>
      </c>
      <c r="Q7" s="232" t="s">
        <v>289</v>
      </c>
      <c r="R7" s="232" t="s">
        <v>290</v>
      </c>
      <c r="S7" s="506"/>
      <c r="T7" s="547"/>
      <c r="U7" s="506"/>
      <c r="V7" s="479"/>
      <c r="W7" s="6"/>
      <c r="X7" s="131"/>
      <c r="Y7" s="131"/>
      <c r="Z7" s="131"/>
      <c r="AA7" s="131"/>
      <c r="AB7" s="131"/>
      <c r="AC7" s="131"/>
      <c r="AD7" s="131"/>
      <c r="AE7" s="131"/>
      <c r="AF7" s="131"/>
    </row>
    <row r="8" spans="1:32" ht="15.75">
      <c r="A8" s="540"/>
      <c r="B8" s="538"/>
      <c r="C8" s="542"/>
      <c r="D8" s="542"/>
      <c r="E8" s="542"/>
      <c r="F8" s="542"/>
      <c r="G8" s="542"/>
      <c r="H8" s="534"/>
      <c r="I8" s="476"/>
      <c r="J8" s="506"/>
      <c r="K8" s="544">
        <v>0.025</v>
      </c>
      <c r="L8" s="544">
        <v>0.00504</v>
      </c>
      <c r="M8" s="544">
        <v>0.03</v>
      </c>
      <c r="N8" s="544">
        <v>0.006</v>
      </c>
      <c r="O8" s="544">
        <v>0.0005</v>
      </c>
      <c r="P8" s="256">
        <f>'[1]ПИР'!L224</f>
        <v>0.0874</v>
      </c>
      <c r="Q8" s="544">
        <v>0.0214</v>
      </c>
      <c r="R8" s="548">
        <v>0.03</v>
      </c>
      <c r="S8" s="506"/>
      <c r="T8" s="547"/>
      <c r="U8" s="506"/>
      <c r="V8" s="479"/>
      <c r="W8" s="6"/>
      <c r="X8" s="118"/>
      <c r="Y8" s="118"/>
      <c r="Z8" s="156"/>
      <c r="AA8" s="118"/>
      <c r="AB8" s="118"/>
      <c r="AC8" s="118"/>
      <c r="AD8" s="156"/>
      <c r="AE8" s="156"/>
      <c r="AF8" s="156"/>
    </row>
    <row r="9" spans="1:32" ht="25.5" customHeight="1">
      <c r="A9" s="540"/>
      <c r="B9" s="538"/>
      <c r="C9" s="542"/>
      <c r="D9" s="542"/>
      <c r="E9" s="542"/>
      <c r="F9" s="542"/>
      <c r="G9" s="542"/>
      <c r="H9" s="535"/>
      <c r="I9" s="477"/>
      <c r="J9" s="507"/>
      <c r="K9" s="545"/>
      <c r="L9" s="545"/>
      <c r="M9" s="545"/>
      <c r="N9" s="545"/>
      <c r="O9" s="545"/>
      <c r="P9" s="256">
        <f>P8+0.2%</f>
        <v>0.08940000000000001</v>
      </c>
      <c r="Q9" s="545"/>
      <c r="R9" s="549"/>
      <c r="S9" s="507"/>
      <c r="T9" s="507"/>
      <c r="U9" s="507"/>
      <c r="V9" s="480"/>
      <c r="W9" s="6"/>
      <c r="X9" s="155"/>
      <c r="Y9" s="154"/>
      <c r="Z9" s="153"/>
      <c r="AA9" s="154"/>
      <c r="AB9" s="154"/>
      <c r="AC9" s="154"/>
      <c r="AD9" s="153"/>
      <c r="AE9" s="153"/>
      <c r="AF9" s="152"/>
    </row>
    <row r="10" spans="1:32" ht="39.75" customHeight="1" thickBot="1">
      <c r="A10" s="541"/>
      <c r="B10" s="539"/>
      <c r="C10" s="543"/>
      <c r="D10" s="543"/>
      <c r="E10" s="543"/>
      <c r="F10" s="543"/>
      <c r="G10" s="543"/>
      <c r="H10" s="318" t="s">
        <v>222</v>
      </c>
      <c r="I10" s="316" t="s">
        <v>222</v>
      </c>
      <c r="J10" s="232" t="s">
        <v>300</v>
      </c>
      <c r="K10" s="232" t="s">
        <v>300</v>
      </c>
      <c r="L10" s="232" t="s">
        <v>300</v>
      </c>
      <c r="M10" s="232" t="s">
        <v>300</v>
      </c>
      <c r="N10" s="232" t="s">
        <v>300</v>
      </c>
      <c r="O10" s="232" t="s">
        <v>300</v>
      </c>
      <c r="P10" s="232" t="s">
        <v>300</v>
      </c>
      <c r="Q10" s="232" t="s">
        <v>300</v>
      </c>
      <c r="R10" s="232" t="s">
        <v>300</v>
      </c>
      <c r="S10" s="232" t="s">
        <v>300</v>
      </c>
      <c r="T10" s="232" t="s">
        <v>300</v>
      </c>
      <c r="U10" s="232" t="s">
        <v>300</v>
      </c>
      <c r="V10" s="233" t="s">
        <v>300</v>
      </c>
      <c r="W10" s="184"/>
      <c r="X10" s="521"/>
      <c r="Y10" s="522"/>
      <c r="Z10" s="522"/>
      <c r="AA10" s="522"/>
      <c r="AB10" s="522"/>
      <c r="AC10" s="522"/>
      <c r="AD10" s="522"/>
      <c r="AE10" s="522"/>
      <c r="AF10" s="523"/>
    </row>
    <row r="11" spans="1:32" s="90" customFormat="1" ht="22.5" customHeight="1">
      <c r="A11" s="327" t="s">
        <v>221</v>
      </c>
      <c r="B11" s="379" t="s">
        <v>220</v>
      </c>
      <c r="C11" s="279" t="s">
        <v>213</v>
      </c>
      <c r="D11" s="279" t="s">
        <v>212</v>
      </c>
      <c r="E11" s="279" t="s">
        <v>219</v>
      </c>
      <c r="F11" s="380">
        <f>ROUND(PRODUCT(25*F34),2)</f>
        <v>22.25</v>
      </c>
      <c r="G11" s="279" t="s">
        <v>163</v>
      </c>
      <c r="H11" s="381">
        <v>2284.807639836289</v>
      </c>
      <c r="I11" s="376">
        <f aca="true" t="shared" si="0" ref="I11:I28">ROUND(PRODUCT(V11/H11)*1000,2)</f>
        <v>590956.72</v>
      </c>
      <c r="J11" s="237">
        <v>135696.34</v>
      </c>
      <c r="K11" s="237">
        <f aca="true" t="shared" si="1" ref="K11:Q11">ROUND(PRODUCT($J$11*K8),2)</f>
        <v>3392.41</v>
      </c>
      <c r="L11" s="237">
        <f t="shared" si="1"/>
        <v>683.91</v>
      </c>
      <c r="M11" s="237">
        <f t="shared" si="1"/>
        <v>4070.89</v>
      </c>
      <c r="N11" s="237">
        <f t="shared" si="1"/>
        <v>814.18</v>
      </c>
      <c r="O11" s="237">
        <f t="shared" si="1"/>
        <v>67.85</v>
      </c>
      <c r="P11" s="237">
        <f t="shared" si="1"/>
        <v>11859.86</v>
      </c>
      <c r="Q11" s="237">
        <f t="shared" si="1"/>
        <v>2903.9</v>
      </c>
      <c r="R11" s="237">
        <f aca="true" t="shared" si="2" ref="R11:R28">ROUND(PRODUCT(J11*$R$8),2)</f>
        <v>4070.89</v>
      </c>
      <c r="S11" s="237">
        <f aca="true" t="shared" si="3" ref="S11:S28">SUM(J11:R11)</f>
        <v>163560.23</v>
      </c>
      <c r="T11" s="258">
        <f>ROUND(PRODUCT(S11*'[1]индексы'!$L$9),2)</f>
        <v>198562.12</v>
      </c>
      <c r="U11" s="237">
        <f>ROUND(PRODUCT(S11*'[1]индексы'!$H$9),2)</f>
        <v>915937.29</v>
      </c>
      <c r="V11" s="238">
        <f>ROUND(PRODUCT(T11*'[1]индексы'!$D$9),2)</f>
        <v>1350222.42</v>
      </c>
      <c r="W11" s="92"/>
      <c r="X11" s="91"/>
      <c r="Y11" s="91"/>
      <c r="Z11" s="91"/>
      <c r="AA11" s="91"/>
      <c r="AB11" s="91"/>
      <c r="AC11" s="91"/>
      <c r="AD11" s="91"/>
      <c r="AE11" s="91"/>
      <c r="AF11" s="91"/>
    </row>
    <row r="12" spans="1:32" s="90" customFormat="1" ht="24" customHeight="1">
      <c r="A12" s="327" t="s">
        <v>218</v>
      </c>
      <c r="B12" s="377" t="s">
        <v>217</v>
      </c>
      <c r="C12" s="201" t="s">
        <v>213</v>
      </c>
      <c r="D12" s="201" t="s">
        <v>212</v>
      </c>
      <c r="E12" s="201" t="s">
        <v>216</v>
      </c>
      <c r="F12" s="257">
        <f>ROUND(PRODUCT(40*F34),2)</f>
        <v>35.6</v>
      </c>
      <c r="G12" s="201" t="s">
        <v>163</v>
      </c>
      <c r="H12" s="239">
        <v>1557.9727148703955</v>
      </c>
      <c r="I12" s="376">
        <f t="shared" si="0"/>
        <v>905161.41</v>
      </c>
      <c r="J12" s="237">
        <v>141725.74</v>
      </c>
      <c r="K12" s="237">
        <f aca="true" t="shared" si="4" ref="K12:Q12">ROUND(PRODUCT($J$12*K8),2)</f>
        <v>3543.14</v>
      </c>
      <c r="L12" s="237">
        <f t="shared" si="4"/>
        <v>714.3</v>
      </c>
      <c r="M12" s="237">
        <f t="shared" si="4"/>
        <v>4251.77</v>
      </c>
      <c r="N12" s="237">
        <f t="shared" si="4"/>
        <v>850.35</v>
      </c>
      <c r="O12" s="237">
        <f t="shared" si="4"/>
        <v>70.86</v>
      </c>
      <c r="P12" s="237">
        <f t="shared" si="4"/>
        <v>12386.83</v>
      </c>
      <c r="Q12" s="237">
        <f t="shared" si="4"/>
        <v>3032.93</v>
      </c>
      <c r="R12" s="237">
        <f t="shared" si="2"/>
        <v>4251.77</v>
      </c>
      <c r="S12" s="237">
        <f t="shared" si="3"/>
        <v>170827.68999999994</v>
      </c>
      <c r="T12" s="258">
        <f>ROUND(PRODUCT(S12*'[1]индексы'!$L$9),2)</f>
        <v>207384.82</v>
      </c>
      <c r="U12" s="237">
        <f>ROUND(PRODUCT(S12*'[1]индексы'!$H$9),2)</f>
        <v>956635.06</v>
      </c>
      <c r="V12" s="238">
        <f>ROUND(PRODUCT(T12*'[1]индексы'!$D$9),2)</f>
        <v>1410216.78</v>
      </c>
      <c r="W12" s="92"/>
      <c r="X12" s="91"/>
      <c r="Y12" s="91"/>
      <c r="Z12" s="91"/>
      <c r="AA12" s="91"/>
      <c r="AB12" s="91"/>
      <c r="AC12" s="91"/>
      <c r="AD12" s="91"/>
      <c r="AE12" s="91"/>
      <c r="AF12" s="91"/>
    </row>
    <row r="13" spans="1:32" s="90" customFormat="1" ht="22.5" customHeight="1" thickBot="1">
      <c r="A13" s="327" t="s">
        <v>215</v>
      </c>
      <c r="B13" s="378" t="s">
        <v>214</v>
      </c>
      <c r="C13" s="284" t="s">
        <v>213</v>
      </c>
      <c r="D13" s="284" t="s">
        <v>212</v>
      </c>
      <c r="E13" s="284" t="s">
        <v>204</v>
      </c>
      <c r="F13" s="382">
        <f>ROUND(PRODUCT(63*F34),2)</f>
        <v>56.07</v>
      </c>
      <c r="G13" s="284" t="s">
        <v>163</v>
      </c>
      <c r="H13" s="357">
        <v>972.3983628922236</v>
      </c>
      <c r="I13" s="376">
        <f t="shared" si="0"/>
        <v>1485975.86</v>
      </c>
      <c r="J13" s="237">
        <v>145217.45</v>
      </c>
      <c r="K13" s="237">
        <f aca="true" t="shared" si="5" ref="K13:Q13">ROUND(PRODUCT($J$13*K8),2)</f>
        <v>3630.44</v>
      </c>
      <c r="L13" s="237">
        <f t="shared" si="5"/>
        <v>731.9</v>
      </c>
      <c r="M13" s="237">
        <f t="shared" si="5"/>
        <v>4356.52</v>
      </c>
      <c r="N13" s="237">
        <f t="shared" si="5"/>
        <v>871.3</v>
      </c>
      <c r="O13" s="237">
        <f t="shared" si="5"/>
        <v>72.61</v>
      </c>
      <c r="P13" s="237">
        <f t="shared" si="5"/>
        <v>12692.01</v>
      </c>
      <c r="Q13" s="237">
        <f t="shared" si="5"/>
        <v>3107.65</v>
      </c>
      <c r="R13" s="237">
        <f t="shared" si="2"/>
        <v>4356.52</v>
      </c>
      <c r="S13" s="237">
        <f t="shared" si="3"/>
        <v>175036.39999999997</v>
      </c>
      <c r="T13" s="258">
        <f>ROUND(PRODUCT(S13*'[1]индексы'!$L$9),2)</f>
        <v>212494.19</v>
      </c>
      <c r="U13" s="237">
        <f>ROUND(PRODUCT(S13*'[1]индексы'!$H$9),2)</f>
        <v>980203.84</v>
      </c>
      <c r="V13" s="238">
        <f>ROUND(PRODUCT(T13*'[1]индексы'!$D$9),2)</f>
        <v>1444960.49</v>
      </c>
      <c r="W13" s="92"/>
      <c r="X13" s="91"/>
      <c r="Y13" s="91"/>
      <c r="Z13" s="91"/>
      <c r="AA13" s="91"/>
      <c r="AB13" s="91"/>
      <c r="AC13" s="91"/>
      <c r="AD13" s="91"/>
      <c r="AE13" s="91"/>
      <c r="AF13" s="91"/>
    </row>
    <row r="14" spans="1:32" s="90" customFormat="1" ht="24.75" customHeight="1">
      <c r="A14" s="327" t="s">
        <v>211</v>
      </c>
      <c r="B14" s="379" t="s">
        <v>546</v>
      </c>
      <c r="C14" s="279" t="s">
        <v>206</v>
      </c>
      <c r="D14" s="279" t="s">
        <v>205</v>
      </c>
      <c r="E14" s="279" t="s">
        <v>201</v>
      </c>
      <c r="F14" s="380">
        <f>ROUND(PRODUCT(100*F34),2)</f>
        <v>89</v>
      </c>
      <c r="G14" s="279" t="s">
        <v>163</v>
      </c>
      <c r="H14" s="381">
        <v>770.362892223738</v>
      </c>
      <c r="I14" s="376">
        <f t="shared" si="0"/>
        <v>1982317.29</v>
      </c>
      <c r="J14" s="237">
        <v>153472.78</v>
      </c>
      <c r="K14" s="237">
        <f aca="true" t="shared" si="6" ref="K14:Q14">ROUND(PRODUCT($J$14*K8),2)</f>
        <v>3836.82</v>
      </c>
      <c r="L14" s="237">
        <f t="shared" si="6"/>
        <v>773.5</v>
      </c>
      <c r="M14" s="237">
        <f t="shared" si="6"/>
        <v>4604.18</v>
      </c>
      <c r="N14" s="237">
        <f t="shared" si="6"/>
        <v>920.84</v>
      </c>
      <c r="O14" s="237">
        <f t="shared" si="6"/>
        <v>76.74</v>
      </c>
      <c r="P14" s="237">
        <f t="shared" si="6"/>
        <v>13413.52</v>
      </c>
      <c r="Q14" s="237">
        <f t="shared" si="6"/>
        <v>3284.32</v>
      </c>
      <c r="R14" s="237">
        <f t="shared" si="2"/>
        <v>4604.18</v>
      </c>
      <c r="S14" s="237">
        <f t="shared" si="3"/>
        <v>184986.87999999998</v>
      </c>
      <c r="T14" s="258">
        <f>ROUND(PRODUCT(S14*'[1]индексы'!$L$9),2)</f>
        <v>224574.07</v>
      </c>
      <c r="U14" s="237">
        <f>ROUND(PRODUCT(S14*'[1]индексы'!$H$9),2)</f>
        <v>1035926.53</v>
      </c>
      <c r="V14" s="238">
        <f>ROUND(PRODUCT(T14*'[1]индексы'!$D$9),2)</f>
        <v>1527103.68</v>
      </c>
      <c r="W14" s="92"/>
      <c r="X14" s="91"/>
      <c r="Y14" s="91"/>
      <c r="Z14" s="91"/>
      <c r="AA14" s="91"/>
      <c r="AB14" s="91"/>
      <c r="AC14" s="91"/>
      <c r="AD14" s="91"/>
      <c r="AE14" s="91"/>
      <c r="AF14" s="91"/>
    </row>
    <row r="15" spans="1:32" s="90" customFormat="1" ht="24" customHeight="1">
      <c r="A15" s="327" t="s">
        <v>210</v>
      </c>
      <c r="B15" s="377" t="s">
        <v>209</v>
      </c>
      <c r="C15" s="201" t="s">
        <v>206</v>
      </c>
      <c r="D15" s="201" t="s">
        <v>205</v>
      </c>
      <c r="E15" s="201" t="s">
        <v>198</v>
      </c>
      <c r="F15" s="257">
        <f>ROUND(PRODUCT(160*F34),2)</f>
        <v>142.4</v>
      </c>
      <c r="G15" s="201" t="s">
        <v>163</v>
      </c>
      <c r="H15" s="239">
        <v>540.4038199181446</v>
      </c>
      <c r="I15" s="376">
        <f t="shared" si="0"/>
        <v>3513988.28</v>
      </c>
      <c r="J15" s="237">
        <v>190845.35</v>
      </c>
      <c r="K15" s="237">
        <f aca="true" t="shared" si="7" ref="K15:Q15">ROUND(PRODUCT($J$15*K8),2)</f>
        <v>4771.13</v>
      </c>
      <c r="L15" s="237">
        <f t="shared" si="7"/>
        <v>961.86</v>
      </c>
      <c r="M15" s="237">
        <f t="shared" si="7"/>
        <v>5725.36</v>
      </c>
      <c r="N15" s="237">
        <f t="shared" si="7"/>
        <v>1145.07</v>
      </c>
      <c r="O15" s="237">
        <f t="shared" si="7"/>
        <v>95.42</v>
      </c>
      <c r="P15" s="237">
        <f t="shared" si="7"/>
        <v>16679.88</v>
      </c>
      <c r="Q15" s="237">
        <f t="shared" si="7"/>
        <v>4084.09</v>
      </c>
      <c r="R15" s="237">
        <f t="shared" si="2"/>
        <v>5725.36</v>
      </c>
      <c r="S15" s="237">
        <f t="shared" si="3"/>
        <v>230033.52</v>
      </c>
      <c r="T15" s="258">
        <f>ROUND(PRODUCT(S15*'[1]индексы'!$L$9),2)</f>
        <v>279260.69</v>
      </c>
      <c r="U15" s="237">
        <f>ROUND(PRODUCT(S15*'[1]индексы'!$H$9),2)</f>
        <v>1288187.71</v>
      </c>
      <c r="V15" s="238">
        <f>ROUND(PRODUCT(T15*'[1]индексы'!$D$9),2)</f>
        <v>1898972.69</v>
      </c>
      <c r="W15" s="92"/>
      <c r="X15" s="91"/>
      <c r="Y15" s="91"/>
      <c r="Z15" s="91"/>
      <c r="AA15" s="91"/>
      <c r="AB15" s="91"/>
      <c r="AC15" s="91"/>
      <c r="AD15" s="91"/>
      <c r="AE15" s="91"/>
      <c r="AF15" s="91"/>
    </row>
    <row r="16" spans="1:32" s="90" customFormat="1" ht="24" customHeight="1" thickBot="1">
      <c r="A16" s="327" t="s">
        <v>208</v>
      </c>
      <c r="B16" s="378" t="s">
        <v>207</v>
      </c>
      <c r="C16" s="284" t="s">
        <v>206</v>
      </c>
      <c r="D16" s="284" t="s">
        <v>205</v>
      </c>
      <c r="E16" s="284" t="s">
        <v>195</v>
      </c>
      <c r="F16" s="382">
        <f>ROUND(PRODUCT(250*F34),2)</f>
        <v>222.5</v>
      </c>
      <c r="G16" s="284" t="s">
        <v>163</v>
      </c>
      <c r="H16" s="357">
        <v>381.075034106412</v>
      </c>
      <c r="I16" s="376">
        <f t="shared" si="0"/>
        <v>5337919.85</v>
      </c>
      <c r="J16" s="237">
        <v>204430.35</v>
      </c>
      <c r="K16" s="237">
        <f aca="true" t="shared" si="8" ref="K16:Q16">ROUND(PRODUCT($J$16*K8),2)</f>
        <v>5110.76</v>
      </c>
      <c r="L16" s="237">
        <f t="shared" si="8"/>
        <v>1030.33</v>
      </c>
      <c r="M16" s="237">
        <f t="shared" si="8"/>
        <v>6132.91</v>
      </c>
      <c r="N16" s="237">
        <f t="shared" si="8"/>
        <v>1226.58</v>
      </c>
      <c r="O16" s="237">
        <f t="shared" si="8"/>
        <v>102.22</v>
      </c>
      <c r="P16" s="237">
        <f t="shared" si="8"/>
        <v>17867.21</v>
      </c>
      <c r="Q16" s="237">
        <f t="shared" si="8"/>
        <v>4374.81</v>
      </c>
      <c r="R16" s="237">
        <f t="shared" si="2"/>
        <v>6132.91</v>
      </c>
      <c r="S16" s="237">
        <f t="shared" si="3"/>
        <v>246408.08</v>
      </c>
      <c r="T16" s="258">
        <f>ROUND(PRODUCT(S16*'[1]индексы'!$L$9),2)</f>
        <v>299139.41</v>
      </c>
      <c r="U16" s="237">
        <f>ROUND(PRODUCT(S16*'[1]индексы'!$H$9),2)</f>
        <v>1379885.25</v>
      </c>
      <c r="V16" s="238">
        <f>ROUND(PRODUCT(T16*'[1]индексы'!$D$9),2)</f>
        <v>2034147.99</v>
      </c>
      <c r="W16" s="92"/>
      <c r="X16" s="91"/>
      <c r="Y16" s="91"/>
      <c r="Z16" s="91"/>
      <c r="AA16" s="91"/>
      <c r="AB16" s="91"/>
      <c r="AC16" s="91"/>
      <c r="AD16" s="91"/>
      <c r="AE16" s="91"/>
      <c r="AF16" s="91"/>
    </row>
    <row r="17" spans="1:32" s="90" customFormat="1" ht="22.5" customHeight="1">
      <c r="A17" s="327" t="s">
        <v>203</v>
      </c>
      <c r="B17" s="379" t="s">
        <v>202</v>
      </c>
      <c r="C17" s="279" t="s">
        <v>168</v>
      </c>
      <c r="D17" s="279" t="s">
        <v>167</v>
      </c>
      <c r="E17" s="279" t="s">
        <v>201</v>
      </c>
      <c r="F17" s="380">
        <f>ROUND(PRODUCT(100*F34),2)</f>
        <v>89</v>
      </c>
      <c r="G17" s="279" t="s">
        <v>163</v>
      </c>
      <c r="H17" s="381">
        <v>5185.577080491132</v>
      </c>
      <c r="I17" s="376">
        <f t="shared" si="0"/>
        <v>765183.24</v>
      </c>
      <c r="J17" s="237">
        <v>398772.66</v>
      </c>
      <c r="K17" s="237">
        <f aca="true" t="shared" si="9" ref="K17:Q17">ROUND(PRODUCT($J$17*K8),2)</f>
        <v>9969.32</v>
      </c>
      <c r="L17" s="237">
        <f t="shared" si="9"/>
        <v>2009.81</v>
      </c>
      <c r="M17" s="237">
        <f t="shared" si="9"/>
        <v>11963.18</v>
      </c>
      <c r="N17" s="237">
        <f t="shared" si="9"/>
        <v>2392.64</v>
      </c>
      <c r="O17" s="237">
        <f t="shared" si="9"/>
        <v>199.39</v>
      </c>
      <c r="P17" s="237">
        <f t="shared" si="9"/>
        <v>34852.73</v>
      </c>
      <c r="Q17" s="237">
        <f t="shared" si="9"/>
        <v>8533.73</v>
      </c>
      <c r="R17" s="237">
        <f t="shared" si="2"/>
        <v>11963.18</v>
      </c>
      <c r="S17" s="237">
        <f t="shared" si="3"/>
        <v>480656.63999999996</v>
      </c>
      <c r="T17" s="258">
        <f>ROUND(PRODUCT(S17*'[1]индексы'!$L$9),2)</f>
        <v>583517.16</v>
      </c>
      <c r="U17" s="237">
        <f>ROUND(PRODUCT(S17*'[1]индексы'!$H$9),2)</f>
        <v>2691677.18</v>
      </c>
      <c r="V17" s="238">
        <f>ROUND(PRODUCT(T17*'[1]индексы'!$D$9),2)</f>
        <v>3967916.69</v>
      </c>
      <c r="W17" s="92"/>
      <c r="X17" s="91"/>
      <c r="Y17" s="91"/>
      <c r="Z17" s="91"/>
      <c r="AA17" s="91"/>
      <c r="AB17" s="91"/>
      <c r="AC17" s="91"/>
      <c r="AD17" s="91"/>
      <c r="AE17" s="91"/>
      <c r="AF17" s="91"/>
    </row>
    <row r="18" spans="1:32" s="90" customFormat="1" ht="24" customHeight="1">
      <c r="A18" s="327" t="s">
        <v>200</v>
      </c>
      <c r="B18" s="377" t="s">
        <v>199</v>
      </c>
      <c r="C18" s="201" t="s">
        <v>168</v>
      </c>
      <c r="D18" s="201" t="s">
        <v>167</v>
      </c>
      <c r="E18" s="201" t="s">
        <v>198</v>
      </c>
      <c r="F18" s="257">
        <f>ROUND(PRODUCT(160*F34),2)</f>
        <v>142.4</v>
      </c>
      <c r="G18" s="201" t="s">
        <v>163</v>
      </c>
      <c r="H18" s="239">
        <v>3287.5934515688946</v>
      </c>
      <c r="I18" s="376">
        <f t="shared" si="0"/>
        <v>1229522.7</v>
      </c>
      <c r="J18" s="237">
        <v>406235.15</v>
      </c>
      <c r="K18" s="237">
        <f aca="true" t="shared" si="10" ref="K18:Q18">ROUND(PRODUCT($J$18*K8),2)</f>
        <v>10155.88</v>
      </c>
      <c r="L18" s="237">
        <f t="shared" si="10"/>
        <v>2047.43</v>
      </c>
      <c r="M18" s="237">
        <f t="shared" si="10"/>
        <v>12187.05</v>
      </c>
      <c r="N18" s="237">
        <f t="shared" si="10"/>
        <v>2437.41</v>
      </c>
      <c r="O18" s="237">
        <f t="shared" si="10"/>
        <v>203.12</v>
      </c>
      <c r="P18" s="237">
        <f t="shared" si="10"/>
        <v>35504.95</v>
      </c>
      <c r="Q18" s="237">
        <f t="shared" si="10"/>
        <v>8693.43</v>
      </c>
      <c r="R18" s="237">
        <f t="shared" si="2"/>
        <v>12187.05</v>
      </c>
      <c r="S18" s="237">
        <f t="shared" si="3"/>
        <v>489651.47</v>
      </c>
      <c r="T18" s="258">
        <f>ROUND(PRODUCT(S18*'[1]индексы'!$L$9),2)</f>
        <v>594436.88</v>
      </c>
      <c r="U18" s="237">
        <f>ROUND(PRODUCT(S18*'[1]индексы'!$H$9),2)</f>
        <v>2742048.23</v>
      </c>
      <c r="V18" s="238">
        <f>ROUND(PRODUCT(T18*'[1]индексы'!$D$9),2)</f>
        <v>4042170.78</v>
      </c>
      <c r="W18" s="92"/>
      <c r="X18" s="91"/>
      <c r="Y18" s="91"/>
      <c r="Z18" s="91"/>
      <c r="AA18" s="91"/>
      <c r="AB18" s="91"/>
      <c r="AC18" s="91"/>
      <c r="AD18" s="91"/>
      <c r="AE18" s="91"/>
      <c r="AF18" s="91"/>
    </row>
    <row r="19" spans="1:32" s="90" customFormat="1" ht="24" customHeight="1">
      <c r="A19" s="327" t="s">
        <v>197</v>
      </c>
      <c r="B19" s="377" t="s">
        <v>196</v>
      </c>
      <c r="C19" s="201" t="s">
        <v>168</v>
      </c>
      <c r="D19" s="201" t="s">
        <v>167</v>
      </c>
      <c r="E19" s="201" t="s">
        <v>195</v>
      </c>
      <c r="F19" s="257">
        <f>ROUND(PRODUCT(250*F34),2)</f>
        <v>222.5</v>
      </c>
      <c r="G19" s="201" t="s">
        <v>163</v>
      </c>
      <c r="H19" s="239">
        <v>2130.406548431105</v>
      </c>
      <c r="I19" s="376">
        <f t="shared" si="0"/>
        <v>1960820.96</v>
      </c>
      <c r="J19" s="237">
        <v>419820.15</v>
      </c>
      <c r="K19" s="237">
        <f aca="true" t="shared" si="11" ref="K19:Q19">ROUND(PRODUCT($J$19*K8),2)</f>
        <v>10495.5</v>
      </c>
      <c r="L19" s="237">
        <f t="shared" si="11"/>
        <v>2115.89</v>
      </c>
      <c r="M19" s="237">
        <f t="shared" si="11"/>
        <v>12594.6</v>
      </c>
      <c r="N19" s="237">
        <f t="shared" si="11"/>
        <v>2518.92</v>
      </c>
      <c r="O19" s="237">
        <f t="shared" si="11"/>
        <v>209.91</v>
      </c>
      <c r="P19" s="237">
        <f t="shared" si="11"/>
        <v>36692.28</v>
      </c>
      <c r="Q19" s="237">
        <f t="shared" si="11"/>
        <v>8984.15</v>
      </c>
      <c r="R19" s="237">
        <f t="shared" si="2"/>
        <v>12594.6</v>
      </c>
      <c r="S19" s="237">
        <f t="shared" si="3"/>
        <v>506026</v>
      </c>
      <c r="T19" s="258">
        <f>ROUND(PRODUCT(S19*'[1]индексы'!$L$9),2)</f>
        <v>614315.56</v>
      </c>
      <c r="U19" s="237">
        <f>ROUND(PRODUCT(S19*'[1]индексы'!$H$9),2)</f>
        <v>2833745.6</v>
      </c>
      <c r="V19" s="238">
        <f>ROUND(PRODUCT(T19*'[1]индексы'!$D$9),2)</f>
        <v>4177345.81</v>
      </c>
      <c r="W19" s="92"/>
      <c r="X19" s="91"/>
      <c r="Y19" s="91"/>
      <c r="Z19" s="91"/>
      <c r="AA19" s="91"/>
      <c r="AB19" s="91"/>
      <c r="AC19" s="91"/>
      <c r="AD19" s="111"/>
      <c r="AE19" s="91"/>
      <c r="AF19" s="91"/>
    </row>
    <row r="20" spans="1:32" s="90" customFormat="1" ht="24" customHeight="1">
      <c r="A20" s="327" t="s">
        <v>194</v>
      </c>
      <c r="B20" s="377" t="s">
        <v>193</v>
      </c>
      <c r="C20" s="201" t="s">
        <v>168</v>
      </c>
      <c r="D20" s="201" t="s">
        <v>167</v>
      </c>
      <c r="E20" s="201" t="s">
        <v>192</v>
      </c>
      <c r="F20" s="257">
        <f>ROUND(PRODUCT(400*F34),2)</f>
        <v>356</v>
      </c>
      <c r="G20" s="201" t="s">
        <v>163</v>
      </c>
      <c r="H20" s="239">
        <v>1337.869031377899</v>
      </c>
      <c r="I20" s="376">
        <f t="shared" si="0"/>
        <v>3342826.04</v>
      </c>
      <c r="J20" s="237">
        <v>449459.14</v>
      </c>
      <c r="K20" s="237">
        <f aca="true" t="shared" si="12" ref="K20:Q20">ROUND(PRODUCT($J$20*K8),2)</f>
        <v>11236.48</v>
      </c>
      <c r="L20" s="237">
        <f t="shared" si="12"/>
        <v>2265.27</v>
      </c>
      <c r="M20" s="237">
        <f t="shared" si="12"/>
        <v>13483.77</v>
      </c>
      <c r="N20" s="237">
        <f t="shared" si="12"/>
        <v>2696.75</v>
      </c>
      <c r="O20" s="237">
        <f t="shared" si="12"/>
        <v>224.73</v>
      </c>
      <c r="P20" s="237">
        <f t="shared" si="12"/>
        <v>39282.73</v>
      </c>
      <c r="Q20" s="237">
        <f t="shared" si="12"/>
        <v>9618.43</v>
      </c>
      <c r="R20" s="237">
        <f t="shared" si="2"/>
        <v>13483.77</v>
      </c>
      <c r="S20" s="237">
        <f t="shared" si="3"/>
        <v>541751.0700000001</v>
      </c>
      <c r="T20" s="258">
        <f>ROUND(PRODUCT(S20*'[1]индексы'!$L$9),2)</f>
        <v>657685.8</v>
      </c>
      <c r="U20" s="237">
        <f>ROUND(PRODUCT(S20*'[1]индексы'!$H$9),2)</f>
        <v>3033805.99</v>
      </c>
      <c r="V20" s="238">
        <f>ROUND(PRODUCT(T20*'[1]индексы'!$D$9),2)</f>
        <v>4472263.44</v>
      </c>
      <c r="W20" s="92"/>
      <c r="X20" s="91"/>
      <c r="Y20" s="91"/>
      <c r="Z20" s="91"/>
      <c r="AA20" s="91"/>
      <c r="AB20" s="91"/>
      <c r="AC20" s="91"/>
      <c r="AD20" s="91"/>
      <c r="AE20" s="91"/>
      <c r="AF20" s="91"/>
    </row>
    <row r="21" spans="1:32" s="90" customFormat="1" ht="24.75" customHeight="1">
      <c r="A21" s="327" t="s">
        <v>191</v>
      </c>
      <c r="B21" s="377" t="s">
        <v>190</v>
      </c>
      <c r="C21" s="201" t="s">
        <v>168</v>
      </c>
      <c r="D21" s="201" t="s">
        <v>167</v>
      </c>
      <c r="E21" s="201" t="s">
        <v>189</v>
      </c>
      <c r="F21" s="257">
        <f>ROUND(PRODUCT(630*F34),2)</f>
        <v>560.7</v>
      </c>
      <c r="G21" s="201" t="s">
        <v>163</v>
      </c>
      <c r="H21" s="239">
        <v>886.1637107776262</v>
      </c>
      <c r="I21" s="376">
        <f t="shared" si="0"/>
        <v>5133104.71</v>
      </c>
      <c r="J21" s="237">
        <v>457148.11</v>
      </c>
      <c r="K21" s="237">
        <f aca="true" t="shared" si="13" ref="K21:Q21">ROUND(PRODUCT($J$21*K8),2)</f>
        <v>11428.7</v>
      </c>
      <c r="L21" s="237">
        <f t="shared" si="13"/>
        <v>2304.03</v>
      </c>
      <c r="M21" s="237">
        <f t="shared" si="13"/>
        <v>13714.44</v>
      </c>
      <c r="N21" s="237">
        <f t="shared" si="13"/>
        <v>2742.89</v>
      </c>
      <c r="O21" s="237">
        <f t="shared" si="13"/>
        <v>228.57</v>
      </c>
      <c r="P21" s="237">
        <f t="shared" si="13"/>
        <v>39954.74</v>
      </c>
      <c r="Q21" s="237">
        <f t="shared" si="13"/>
        <v>9782.97</v>
      </c>
      <c r="R21" s="237">
        <f t="shared" si="2"/>
        <v>13714.44</v>
      </c>
      <c r="S21" s="237">
        <f t="shared" si="3"/>
        <v>551018.89</v>
      </c>
      <c r="T21" s="258">
        <f>ROUND(PRODUCT(S21*'[1]индексы'!$L$9),2)</f>
        <v>668936.93</v>
      </c>
      <c r="U21" s="237">
        <f>ROUND(PRODUCT(S21*'[1]индексы'!$H$9),2)</f>
        <v>3085705.78</v>
      </c>
      <c r="V21" s="238">
        <f>ROUND(PRODUCT(T21*'[1]индексы'!$D$9),2)</f>
        <v>4548771.12</v>
      </c>
      <c r="W21" s="92"/>
      <c r="X21" s="91"/>
      <c r="Y21" s="91"/>
      <c r="Z21" s="91"/>
      <c r="AA21" s="91"/>
      <c r="AB21" s="91"/>
      <c r="AC21" s="91"/>
      <c r="AD21" s="91"/>
      <c r="AE21" s="91"/>
      <c r="AF21" s="91"/>
    </row>
    <row r="22" spans="1:32" s="90" customFormat="1" ht="22.5" customHeight="1" thickBot="1">
      <c r="A22" s="327" t="s">
        <v>188</v>
      </c>
      <c r="B22" s="378" t="s">
        <v>187</v>
      </c>
      <c r="C22" s="284" t="s">
        <v>168</v>
      </c>
      <c r="D22" s="284" t="s">
        <v>167</v>
      </c>
      <c r="E22" s="284" t="s">
        <v>186</v>
      </c>
      <c r="F22" s="382">
        <f>ROUND(PRODUCT(1000*F34),2)</f>
        <v>890</v>
      </c>
      <c r="G22" s="284" t="s">
        <v>163</v>
      </c>
      <c r="H22" s="357">
        <v>644.706684856753</v>
      </c>
      <c r="I22" s="376">
        <f t="shared" si="0"/>
        <v>7583565.42</v>
      </c>
      <c r="J22" s="237">
        <v>491358.47</v>
      </c>
      <c r="K22" s="237">
        <f aca="true" t="shared" si="14" ref="K22:Q22">ROUND(PRODUCT($J$22*K8),2)</f>
        <v>12283.96</v>
      </c>
      <c r="L22" s="237">
        <f t="shared" si="14"/>
        <v>2476.45</v>
      </c>
      <c r="M22" s="237">
        <f t="shared" si="14"/>
        <v>14740.75</v>
      </c>
      <c r="N22" s="237">
        <f t="shared" si="14"/>
        <v>2948.15</v>
      </c>
      <c r="O22" s="237">
        <f t="shared" si="14"/>
        <v>245.68</v>
      </c>
      <c r="P22" s="237">
        <f t="shared" si="14"/>
        <v>42944.73</v>
      </c>
      <c r="Q22" s="237">
        <f t="shared" si="14"/>
        <v>10515.07</v>
      </c>
      <c r="R22" s="237">
        <f t="shared" si="2"/>
        <v>14740.75</v>
      </c>
      <c r="S22" s="237">
        <f t="shared" si="3"/>
        <v>592254.01</v>
      </c>
      <c r="T22" s="258">
        <f>ROUND(PRODUCT(S22*'[1]индексы'!$L$9),2)</f>
        <v>718996.37</v>
      </c>
      <c r="U22" s="237">
        <f>ROUND(PRODUCT(S22*'[1]индексы'!$H$9),2)</f>
        <v>3316622.46</v>
      </c>
      <c r="V22" s="238">
        <f>ROUND(PRODUCT(T22*'[1]индексы'!$D$9),2)</f>
        <v>4889175.32</v>
      </c>
      <c r="W22" s="92"/>
      <c r="X22" s="91"/>
      <c r="Y22" s="91"/>
      <c r="Z22" s="91"/>
      <c r="AA22" s="91"/>
      <c r="AB22" s="91"/>
      <c r="AC22" s="91"/>
      <c r="AD22" s="91"/>
      <c r="AE22" s="91"/>
      <c r="AF22" s="91"/>
    </row>
    <row r="23" spans="1:32" s="90" customFormat="1" ht="24.75" customHeight="1">
      <c r="A23" s="327" t="s">
        <v>185</v>
      </c>
      <c r="B23" s="379" t="s">
        <v>184</v>
      </c>
      <c r="C23" s="279" t="s">
        <v>168</v>
      </c>
      <c r="D23" s="279" t="s">
        <v>167</v>
      </c>
      <c r="E23" s="279" t="s">
        <v>183</v>
      </c>
      <c r="F23" s="380">
        <v>89</v>
      </c>
      <c r="G23" s="279" t="s">
        <v>163</v>
      </c>
      <c r="H23" s="381">
        <v>9215.609822646657</v>
      </c>
      <c r="I23" s="376">
        <f t="shared" si="0"/>
        <v>793958.45</v>
      </c>
      <c r="J23" s="237">
        <v>735334.07</v>
      </c>
      <c r="K23" s="237">
        <f aca="true" t="shared" si="15" ref="K23:Q23">ROUND(PRODUCT($J$23*K8),2)</f>
        <v>18383.35</v>
      </c>
      <c r="L23" s="237">
        <f t="shared" si="15"/>
        <v>3706.08</v>
      </c>
      <c r="M23" s="237">
        <f t="shared" si="15"/>
        <v>22060.02</v>
      </c>
      <c r="N23" s="237">
        <f t="shared" si="15"/>
        <v>4412</v>
      </c>
      <c r="O23" s="237">
        <f t="shared" si="15"/>
        <v>367.67</v>
      </c>
      <c r="P23" s="237">
        <f t="shared" si="15"/>
        <v>64268.2</v>
      </c>
      <c r="Q23" s="237">
        <f t="shared" si="15"/>
        <v>15736.15</v>
      </c>
      <c r="R23" s="237">
        <f t="shared" si="2"/>
        <v>22060.02</v>
      </c>
      <c r="S23" s="237">
        <f t="shared" si="3"/>
        <v>886327.5599999999</v>
      </c>
      <c r="T23" s="258">
        <f>ROUND(PRODUCT(S23*'[1]индексы'!$L$9),2)</f>
        <v>1076001.66</v>
      </c>
      <c r="U23" s="237">
        <f>ROUND(PRODUCT(S23*'[1]индексы'!$H$9),2)</f>
        <v>4963434.34</v>
      </c>
      <c r="V23" s="238">
        <f>ROUND(PRODUCT(T23*'[1]индексы'!$D$9),2)</f>
        <v>7316811.29</v>
      </c>
      <c r="W23" s="92"/>
      <c r="X23" s="91"/>
      <c r="Y23" s="91"/>
      <c r="Z23" s="111"/>
      <c r="AA23" s="91"/>
      <c r="AB23" s="91"/>
      <c r="AC23" s="91"/>
      <c r="AD23" s="91"/>
      <c r="AE23" s="91"/>
      <c r="AF23" s="91"/>
    </row>
    <row r="24" spans="1:32" s="90" customFormat="1" ht="19.5" customHeight="1">
      <c r="A24" s="327" t="s">
        <v>182</v>
      </c>
      <c r="B24" s="377" t="s">
        <v>181</v>
      </c>
      <c r="C24" s="201" t="s">
        <v>168</v>
      </c>
      <c r="D24" s="201" t="s">
        <v>167</v>
      </c>
      <c r="E24" s="201" t="s">
        <v>180</v>
      </c>
      <c r="F24" s="257">
        <v>142.4</v>
      </c>
      <c r="G24" s="201" t="s">
        <v>163</v>
      </c>
      <c r="H24" s="239">
        <v>5854.100954979535</v>
      </c>
      <c r="I24" s="376">
        <f t="shared" si="0"/>
        <v>1275399.04</v>
      </c>
      <c r="J24" s="237">
        <v>750359.06</v>
      </c>
      <c r="K24" s="237">
        <f aca="true" t="shared" si="16" ref="K24:Q24">ROUND(PRODUCT($J$24*K8),2)</f>
        <v>18758.98</v>
      </c>
      <c r="L24" s="237">
        <f t="shared" si="16"/>
        <v>3781.81</v>
      </c>
      <c r="M24" s="237">
        <f t="shared" si="16"/>
        <v>22510.77</v>
      </c>
      <c r="N24" s="237">
        <f t="shared" si="16"/>
        <v>4502.15</v>
      </c>
      <c r="O24" s="237">
        <f t="shared" si="16"/>
        <v>375.18</v>
      </c>
      <c r="P24" s="237">
        <f t="shared" si="16"/>
        <v>65581.38</v>
      </c>
      <c r="Q24" s="237">
        <f t="shared" si="16"/>
        <v>16057.68</v>
      </c>
      <c r="R24" s="237">
        <f t="shared" si="2"/>
        <v>22510.77</v>
      </c>
      <c r="S24" s="237">
        <f t="shared" si="3"/>
        <v>904437.7800000003</v>
      </c>
      <c r="T24" s="258">
        <f>ROUND(PRODUCT(S24*'[1]индексы'!$L$9),2)</f>
        <v>1097987.46</v>
      </c>
      <c r="U24" s="237">
        <f>ROUND(PRODUCT(S24*'[1]индексы'!$H$9),2)</f>
        <v>5064851.57</v>
      </c>
      <c r="V24" s="238">
        <f>ROUND(PRODUCT(T24*'[1]индексы'!$D$9),2)</f>
        <v>7466314.73</v>
      </c>
      <c r="W24" s="92"/>
      <c r="X24" s="91"/>
      <c r="Y24" s="91"/>
      <c r="Z24" s="111"/>
      <c r="AA24" s="91"/>
      <c r="AB24" s="91"/>
      <c r="AC24" s="91"/>
      <c r="AD24" s="91"/>
      <c r="AE24" s="91"/>
      <c r="AF24" s="91"/>
    </row>
    <row r="25" spans="1:32" s="90" customFormat="1" ht="24.75" customHeight="1">
      <c r="A25" s="327" t="s">
        <v>179</v>
      </c>
      <c r="B25" s="377" t="s">
        <v>178</v>
      </c>
      <c r="C25" s="201" t="s">
        <v>168</v>
      </c>
      <c r="D25" s="201" t="s">
        <v>167</v>
      </c>
      <c r="E25" s="201" t="s">
        <v>177</v>
      </c>
      <c r="F25" s="257">
        <v>222.5</v>
      </c>
      <c r="G25" s="201" t="s">
        <v>163</v>
      </c>
      <c r="H25" s="239">
        <v>3798.4311050477486</v>
      </c>
      <c r="I25" s="376">
        <f t="shared" si="0"/>
        <v>2036805.4</v>
      </c>
      <c r="J25" s="237">
        <v>777529.05</v>
      </c>
      <c r="K25" s="237">
        <f aca="true" t="shared" si="17" ref="K25:Q25">ROUND(PRODUCT($J$25*K8),2)</f>
        <v>19438.23</v>
      </c>
      <c r="L25" s="237">
        <f t="shared" si="17"/>
        <v>3918.75</v>
      </c>
      <c r="M25" s="237">
        <f t="shared" si="17"/>
        <v>23325.87</v>
      </c>
      <c r="N25" s="237">
        <f t="shared" si="17"/>
        <v>4665.17</v>
      </c>
      <c r="O25" s="237">
        <f t="shared" si="17"/>
        <v>388.76</v>
      </c>
      <c r="P25" s="237">
        <f t="shared" si="17"/>
        <v>67956.04</v>
      </c>
      <c r="Q25" s="237">
        <f t="shared" si="17"/>
        <v>16639.12</v>
      </c>
      <c r="R25" s="237">
        <f t="shared" si="2"/>
        <v>23325.87</v>
      </c>
      <c r="S25" s="237">
        <f t="shared" si="3"/>
        <v>937186.8600000001</v>
      </c>
      <c r="T25" s="258">
        <f>ROUND(PRODUCT(S25*'[1]индексы'!$L$9),2)</f>
        <v>1137744.85</v>
      </c>
      <c r="U25" s="237">
        <f>ROUND(PRODUCT(S25*'[1]индексы'!$H$9),2)</f>
        <v>5248246.42</v>
      </c>
      <c r="V25" s="238">
        <f>ROUND(PRODUCT(T25*'[1]индексы'!$D$9),2)</f>
        <v>7736664.98</v>
      </c>
      <c r="W25" s="92"/>
      <c r="X25" s="91"/>
      <c r="Y25" s="91"/>
      <c r="Z25" s="111"/>
      <c r="AA25" s="91"/>
      <c r="AB25" s="91"/>
      <c r="AC25" s="91"/>
      <c r="AD25" s="91"/>
      <c r="AE25" s="91"/>
      <c r="AF25" s="91"/>
    </row>
    <row r="26" spans="1:32" s="90" customFormat="1" ht="24" customHeight="1">
      <c r="A26" s="327" t="s">
        <v>176</v>
      </c>
      <c r="B26" s="377" t="s">
        <v>175</v>
      </c>
      <c r="C26" s="201" t="s">
        <v>168</v>
      </c>
      <c r="D26" s="201" t="s">
        <v>167</v>
      </c>
      <c r="E26" s="201" t="s">
        <v>174</v>
      </c>
      <c r="F26" s="257">
        <v>356</v>
      </c>
      <c r="G26" s="201" t="s">
        <v>163</v>
      </c>
      <c r="H26" s="239">
        <v>2387.4679399727147</v>
      </c>
      <c r="I26" s="376">
        <f t="shared" si="0"/>
        <v>3487586.09</v>
      </c>
      <c r="J26" s="237">
        <v>836807.03</v>
      </c>
      <c r="K26" s="237">
        <f aca="true" t="shared" si="18" ref="K26:Q26">ROUND(PRODUCT($J$26*K8),2)</f>
        <v>20920.18</v>
      </c>
      <c r="L26" s="237">
        <f t="shared" si="18"/>
        <v>4217.51</v>
      </c>
      <c r="M26" s="237">
        <f t="shared" si="18"/>
        <v>25104.21</v>
      </c>
      <c r="N26" s="237">
        <f t="shared" si="18"/>
        <v>5020.84</v>
      </c>
      <c r="O26" s="237">
        <f t="shared" si="18"/>
        <v>418.4</v>
      </c>
      <c r="P26" s="237">
        <f t="shared" si="18"/>
        <v>73136.93</v>
      </c>
      <c r="Q26" s="237">
        <f t="shared" si="18"/>
        <v>17907.67</v>
      </c>
      <c r="R26" s="237">
        <f t="shared" si="2"/>
        <v>25104.21</v>
      </c>
      <c r="S26" s="237">
        <f t="shared" si="3"/>
        <v>1008636.9800000001</v>
      </c>
      <c r="T26" s="258">
        <f>ROUND(PRODUCT(S26*'[1]индексы'!$L$9),2)</f>
        <v>1224485.29</v>
      </c>
      <c r="U26" s="237">
        <f>ROUND(PRODUCT(S26*'[1]индексы'!$H$9),2)</f>
        <v>5648367.09</v>
      </c>
      <c r="V26" s="238">
        <f>ROUND(PRODUCT(T26*'[1]индексы'!$D$9),2)</f>
        <v>8326499.97</v>
      </c>
      <c r="W26" s="92"/>
      <c r="X26" s="91"/>
      <c r="Y26" s="91"/>
      <c r="Z26" s="111"/>
      <c r="AA26" s="91"/>
      <c r="AB26" s="91"/>
      <c r="AC26" s="91"/>
      <c r="AD26" s="91"/>
      <c r="AE26" s="91"/>
      <c r="AF26" s="91"/>
    </row>
    <row r="27" spans="1:32" s="90" customFormat="1" ht="24.75" customHeight="1">
      <c r="A27" s="327" t="s">
        <v>173</v>
      </c>
      <c r="B27" s="377" t="s">
        <v>172</v>
      </c>
      <c r="C27" s="201" t="s">
        <v>168</v>
      </c>
      <c r="D27" s="201" t="s">
        <v>167</v>
      </c>
      <c r="E27" s="201" t="s">
        <v>171</v>
      </c>
      <c r="F27" s="257">
        <v>560.7</v>
      </c>
      <c r="G27" s="201" t="s">
        <v>163</v>
      </c>
      <c r="H27" s="239">
        <v>1716.4802182810367</v>
      </c>
      <c r="I27" s="376">
        <f t="shared" si="0"/>
        <v>4940059.84</v>
      </c>
      <c r="J27" s="237">
        <v>852184.92</v>
      </c>
      <c r="K27" s="237">
        <f aca="true" t="shared" si="19" ref="K27:Q27">ROUND(PRODUCT($J$27*K8),2)</f>
        <v>21304.62</v>
      </c>
      <c r="L27" s="237">
        <f t="shared" si="19"/>
        <v>4295.01</v>
      </c>
      <c r="M27" s="237">
        <f t="shared" si="19"/>
        <v>25565.55</v>
      </c>
      <c r="N27" s="237">
        <f t="shared" si="19"/>
        <v>5113.11</v>
      </c>
      <c r="O27" s="237">
        <f t="shared" si="19"/>
        <v>426.09</v>
      </c>
      <c r="P27" s="237">
        <f t="shared" si="19"/>
        <v>74480.96</v>
      </c>
      <c r="Q27" s="237">
        <f t="shared" si="19"/>
        <v>18236.76</v>
      </c>
      <c r="R27" s="237">
        <f t="shared" si="2"/>
        <v>25565.55</v>
      </c>
      <c r="S27" s="237">
        <f t="shared" si="3"/>
        <v>1027172.5700000001</v>
      </c>
      <c r="T27" s="258">
        <f>ROUND(PRODUCT(S27*'[1]индексы'!$L$9),2)</f>
        <v>1246987.5</v>
      </c>
      <c r="U27" s="237">
        <f>ROUND(PRODUCT(S27*'[1]индексы'!$H$9),2)</f>
        <v>5752166.39</v>
      </c>
      <c r="V27" s="238">
        <f>ROUND(PRODUCT(T27*'[1]индексы'!$D$9),2)</f>
        <v>8479515</v>
      </c>
      <c r="W27" s="92"/>
      <c r="X27" s="91"/>
      <c r="Y27" s="91"/>
      <c r="Z27" s="111"/>
      <c r="AA27" s="91"/>
      <c r="AB27" s="91"/>
      <c r="AC27" s="91"/>
      <c r="AD27" s="91"/>
      <c r="AE27" s="91"/>
      <c r="AF27" s="91"/>
    </row>
    <row r="28" spans="1:32" s="90" customFormat="1" ht="31.5">
      <c r="A28" s="392" t="s">
        <v>170</v>
      </c>
      <c r="B28" s="707" t="s">
        <v>169</v>
      </c>
      <c r="C28" s="201" t="s">
        <v>168</v>
      </c>
      <c r="D28" s="201" t="s">
        <v>167</v>
      </c>
      <c r="E28" s="201" t="s">
        <v>166</v>
      </c>
      <c r="F28" s="257">
        <v>890</v>
      </c>
      <c r="G28" s="201" t="s">
        <v>163</v>
      </c>
      <c r="H28" s="708">
        <v>1295.9836289222374</v>
      </c>
      <c r="I28" s="393">
        <f t="shared" si="0"/>
        <v>7068239.78</v>
      </c>
      <c r="J28" s="371">
        <v>920605.63</v>
      </c>
      <c r="K28" s="371">
        <f aca="true" t="shared" si="20" ref="K28:Q28">ROUND(PRODUCT($J$28*K8),2)</f>
        <v>23015.14</v>
      </c>
      <c r="L28" s="371">
        <f t="shared" si="20"/>
        <v>4639.85</v>
      </c>
      <c r="M28" s="371">
        <f t="shared" si="20"/>
        <v>27618.17</v>
      </c>
      <c r="N28" s="371">
        <f t="shared" si="20"/>
        <v>5523.63</v>
      </c>
      <c r="O28" s="371">
        <f t="shared" si="20"/>
        <v>460.3</v>
      </c>
      <c r="P28" s="371">
        <f t="shared" si="20"/>
        <v>80460.93</v>
      </c>
      <c r="Q28" s="371">
        <f t="shared" si="20"/>
        <v>19700.96</v>
      </c>
      <c r="R28" s="371">
        <f t="shared" si="2"/>
        <v>27618.17</v>
      </c>
      <c r="S28" s="371">
        <f t="shared" si="3"/>
        <v>1109642.78</v>
      </c>
      <c r="T28" s="394">
        <f>ROUND(PRODUCT(S28*'[1]индексы'!$L$9),2)</f>
        <v>1347106.33</v>
      </c>
      <c r="U28" s="371">
        <f>ROUND(PRODUCT(S28*'[1]индексы'!$H$9),2)</f>
        <v>6213999.57</v>
      </c>
      <c r="V28" s="395">
        <f>ROUND(PRODUCT(T28*'[1]индексы'!$D$9),2)</f>
        <v>9160323.04</v>
      </c>
      <c r="W28" s="92"/>
      <c r="X28" s="396"/>
      <c r="Y28" s="396"/>
      <c r="Z28" s="397"/>
      <c r="AA28" s="396"/>
      <c r="AB28" s="396"/>
      <c r="AC28" s="396"/>
      <c r="AD28" s="396"/>
      <c r="AE28" s="396"/>
      <c r="AF28" s="396"/>
    </row>
    <row r="29" spans="1:32" s="90" customFormat="1" ht="24.75" customHeight="1" thickBot="1">
      <c r="A29" s="402"/>
      <c r="B29" s="704" t="s">
        <v>568</v>
      </c>
      <c r="C29" s="390" t="s">
        <v>168</v>
      </c>
      <c r="D29" s="390" t="s">
        <v>167</v>
      </c>
      <c r="E29" s="390" t="s">
        <v>569</v>
      </c>
      <c r="F29" s="705">
        <v>2225</v>
      </c>
      <c r="G29" s="390" t="s">
        <v>163</v>
      </c>
      <c r="H29" s="706">
        <v>1254.94</v>
      </c>
      <c r="I29" s="403"/>
      <c r="J29" s="404"/>
      <c r="K29" s="404"/>
      <c r="L29" s="404"/>
      <c r="M29" s="404"/>
      <c r="N29" s="404"/>
      <c r="O29" s="404"/>
      <c r="P29" s="404"/>
      <c r="Q29" s="404"/>
      <c r="R29" s="404"/>
      <c r="S29" s="404"/>
      <c r="T29" s="405"/>
      <c r="U29" s="404"/>
      <c r="V29" s="404"/>
      <c r="W29" s="92"/>
      <c r="X29" s="406"/>
      <c r="Y29" s="406"/>
      <c r="Z29" s="407"/>
      <c r="AA29" s="406"/>
      <c r="AB29" s="406"/>
      <c r="AC29" s="406"/>
      <c r="AD29" s="406"/>
      <c r="AE29" s="406"/>
      <c r="AF29" s="406"/>
    </row>
    <row r="30" spans="1:26" s="406" customFormat="1" ht="31.5">
      <c r="A30" s="402"/>
      <c r="B30" s="379" t="s">
        <v>547</v>
      </c>
      <c r="C30" s="279" t="s">
        <v>523</v>
      </c>
      <c r="D30" s="279" t="s">
        <v>164</v>
      </c>
      <c r="E30" s="279"/>
      <c r="F30" s="380">
        <v>4500</v>
      </c>
      <c r="G30" s="279" t="s">
        <v>163</v>
      </c>
      <c r="H30" s="381">
        <v>409.71</v>
      </c>
      <c r="I30" s="403"/>
      <c r="J30" s="404"/>
      <c r="K30" s="404"/>
      <c r="L30" s="404"/>
      <c r="M30" s="404"/>
      <c r="N30" s="404"/>
      <c r="O30" s="404"/>
      <c r="P30" s="404"/>
      <c r="Q30" s="404"/>
      <c r="R30" s="404"/>
      <c r="S30" s="404"/>
      <c r="T30" s="405"/>
      <c r="U30" s="404"/>
      <c r="V30" s="404"/>
      <c r="W30" s="92"/>
      <c r="Z30" s="407"/>
    </row>
    <row r="31" spans="1:32" s="90" customFormat="1" ht="32.25" thickBot="1">
      <c r="A31" s="398" t="s">
        <v>165</v>
      </c>
      <c r="B31" s="378" t="s">
        <v>547</v>
      </c>
      <c r="C31" s="284" t="s">
        <v>523</v>
      </c>
      <c r="D31" s="284" t="s">
        <v>164</v>
      </c>
      <c r="E31" s="408"/>
      <c r="F31" s="409">
        <v>9000</v>
      </c>
      <c r="G31" s="284" t="s">
        <v>163</v>
      </c>
      <c r="H31" s="357">
        <v>274.4</v>
      </c>
      <c r="I31" s="391"/>
      <c r="J31" s="364">
        <v>4902470.32</v>
      </c>
      <c r="K31" s="364" t="e">
        <f>ROUND(PRODUCT(#REF!*#REF!),2)</f>
        <v>#REF!</v>
      </c>
      <c r="L31" s="364" t="e">
        <f>ROUND(PRODUCT(#REF!*#REF!),2)</f>
        <v>#REF!</v>
      </c>
      <c r="M31" s="364" t="e">
        <f>ROUND(PRODUCT(#REF!*#REF!),2)</f>
        <v>#REF!</v>
      </c>
      <c r="N31" s="364" t="e">
        <f>ROUND(PRODUCT(#REF!*#REF!),2)</f>
        <v>#REF!</v>
      </c>
      <c r="O31" s="364" t="e">
        <f>ROUND(PRODUCT(#REF!*#REF!),2)</f>
        <v>#REF!</v>
      </c>
      <c r="P31" s="364" t="e">
        <f>ROUND(PRODUCT(#REF!*#REF!),2)</f>
        <v>#REF!</v>
      </c>
      <c r="Q31" s="364" t="e">
        <f>ROUND(PRODUCT(#REF!*#REF!),2)</f>
        <v>#REF!</v>
      </c>
      <c r="R31" s="364">
        <f>ROUND(PRODUCT(J31*$R$8),2)</f>
        <v>147074.11</v>
      </c>
      <c r="S31" s="364" t="e">
        <f>SUM(J31:R31)</f>
        <v>#REF!</v>
      </c>
      <c r="T31" s="399" t="e">
        <f>ROUND(PRODUCT(S31*'[1]индексы'!$L$9),2)</f>
        <v>#REF!</v>
      </c>
      <c r="U31" s="364" t="e">
        <f>ROUND(PRODUCT(S31*'[1]индексы'!$H$9),2)</f>
        <v>#REF!</v>
      </c>
      <c r="V31" s="400" t="e">
        <f>ROUND(PRODUCT(T31*'[1]индексы'!$D$9),2)</f>
        <v>#REF!</v>
      </c>
      <c r="W31" s="92"/>
      <c r="X31" s="401"/>
      <c r="Y31" s="401"/>
      <c r="Z31" s="401"/>
      <c r="AA31" s="401"/>
      <c r="AB31" s="401"/>
      <c r="AC31" s="401"/>
      <c r="AD31" s="401"/>
      <c r="AE31" s="401"/>
      <c r="AF31" s="401"/>
    </row>
    <row r="32" ht="15.75" hidden="1"/>
    <row r="33" spans="1:19" ht="15.75" hidden="1">
      <c r="A33" s="87" t="s">
        <v>367</v>
      </c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151"/>
      <c r="S33" s="151"/>
    </row>
    <row r="34" spans="1:6" ht="15.75" hidden="1">
      <c r="A34" s="87" t="s">
        <v>162</v>
      </c>
      <c r="F34" s="150">
        <v>0.89</v>
      </c>
    </row>
    <row r="35" ht="15.75" hidden="1"/>
    <row r="36" ht="15.75" hidden="1"/>
    <row r="37" spans="1:8" ht="15.75" hidden="1">
      <c r="A37" s="87"/>
      <c r="C37" s="87" t="s">
        <v>374</v>
      </c>
      <c r="D37" s="87"/>
      <c r="E37" s="84"/>
      <c r="H37" s="86" t="s">
        <v>375</v>
      </c>
    </row>
    <row r="38" spans="1:5" ht="15.75">
      <c r="A38" s="87"/>
      <c r="C38" s="87"/>
      <c r="D38" s="87"/>
      <c r="E38" s="84"/>
    </row>
    <row r="41" spans="6:21" ht="15.75">
      <c r="F41" s="149"/>
      <c r="U41" s="149" t="e">
        <f>SUM(U11:U31)</f>
        <v>#REF!</v>
      </c>
    </row>
  </sheetData>
  <sheetProtection/>
  <mergeCells count="36">
    <mergeCell ref="AB5:AB6"/>
    <mergeCell ref="Z5:Z6"/>
    <mergeCell ref="O8:O9"/>
    <mergeCell ref="Q8:Q9"/>
    <mergeCell ref="R8:R9"/>
    <mergeCell ref="S5:S9"/>
    <mergeCell ref="L8:L9"/>
    <mergeCell ref="T5:T9"/>
    <mergeCell ref="X5:X6"/>
    <mergeCell ref="Y5:Y6"/>
    <mergeCell ref="X10:AF10"/>
    <mergeCell ref="AF5:AF6"/>
    <mergeCell ref="V5:V9"/>
    <mergeCell ref="AC5:AC6"/>
    <mergeCell ref="AD5:AD6"/>
    <mergeCell ref="AE5:AE6"/>
    <mergeCell ref="J5:J9"/>
    <mergeCell ref="F5:F10"/>
    <mergeCell ref="E5:E10"/>
    <mergeCell ref="I5:I9"/>
    <mergeCell ref="U5:U9"/>
    <mergeCell ref="AA5:AA6"/>
    <mergeCell ref="K8:K9"/>
    <mergeCell ref="G5:G10"/>
    <mergeCell ref="M8:M9"/>
    <mergeCell ref="N8:N9"/>
    <mergeCell ref="B3:H3"/>
    <mergeCell ref="F1:H1"/>
    <mergeCell ref="H5:H9"/>
    <mergeCell ref="A2:V2"/>
    <mergeCell ref="K5:R5"/>
    <mergeCell ref="N6:O6"/>
    <mergeCell ref="B5:B10"/>
    <mergeCell ref="A5:A10"/>
    <mergeCell ref="C5:C10"/>
    <mergeCell ref="D5:D10"/>
  </mergeCells>
  <printOptions/>
  <pageMargins left="0.7086614173228347" right="0.7086614173228347" top="0.6" bottom="0.43" header="0.31496062992125984" footer="0.31496062992125984"/>
  <pageSetup fitToWidth="0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75"/>
  <sheetViews>
    <sheetView tabSelected="1" view="pageBreakPreview" zoomScaleNormal="70" zoomScaleSheetLayoutView="100" zoomScalePageLayoutView="0" workbookViewId="0" topLeftCell="C73">
      <selection activeCell="E15" sqref="E15:E18"/>
    </sheetView>
  </sheetViews>
  <sheetFormatPr defaultColWidth="9.140625" defaultRowHeight="15"/>
  <cols>
    <col min="1" max="1" width="9.140625" style="158" customWidth="1"/>
    <col min="2" max="2" width="49.57421875" style="158" customWidth="1"/>
    <col min="3" max="3" width="52.28125" style="158" customWidth="1"/>
    <col min="4" max="4" width="39.421875" style="158" customWidth="1"/>
    <col min="5" max="7" width="25.7109375" style="158" customWidth="1"/>
    <col min="8" max="8" width="26.28125" style="158" customWidth="1"/>
    <col min="9" max="9" width="14.57421875" style="158" customWidth="1"/>
    <col min="10" max="10" width="11.8515625" style="158" bestFit="1" customWidth="1"/>
    <col min="11" max="16384" width="9.140625" style="158" customWidth="1"/>
  </cols>
  <sheetData>
    <row r="1" spans="1:33" ht="99.75" customHeight="1">
      <c r="A1" s="252"/>
      <c r="B1" s="252"/>
      <c r="C1" s="252"/>
      <c r="D1" s="252"/>
      <c r="E1" s="252"/>
      <c r="F1" s="410" t="s">
        <v>572</v>
      </c>
      <c r="G1" s="410"/>
      <c r="H1" s="410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</row>
    <row r="2" spans="1:33" ht="39.75" customHeight="1">
      <c r="A2" s="449" t="s">
        <v>357</v>
      </c>
      <c r="B2" s="556"/>
      <c r="C2" s="556"/>
      <c r="D2" s="556"/>
      <c r="E2" s="556"/>
      <c r="F2" s="556"/>
      <c r="G2" s="556"/>
      <c r="H2" s="556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</row>
    <row r="3" spans="1:8" ht="69.75" customHeight="1">
      <c r="A3" s="411" t="s">
        <v>571</v>
      </c>
      <c r="B3" s="411"/>
      <c r="C3" s="411"/>
      <c r="D3" s="411"/>
      <c r="E3" s="411"/>
      <c r="F3" s="411"/>
      <c r="G3" s="411"/>
      <c r="H3" s="411"/>
    </row>
    <row r="4" spans="1:8" ht="17.25" thickBot="1">
      <c r="A4" s="242"/>
      <c r="B4" s="242"/>
      <c r="C4" s="242"/>
      <c r="D4" s="242"/>
      <c r="E4" s="242"/>
      <c r="F4" s="242"/>
      <c r="G4" s="242"/>
      <c r="H4" s="259" t="s">
        <v>540</v>
      </c>
    </row>
    <row r="5" spans="1:8" s="183" customFormat="1" ht="13.5" customHeight="1">
      <c r="A5" s="566" t="s">
        <v>254</v>
      </c>
      <c r="B5" s="426" t="s">
        <v>231</v>
      </c>
      <c r="C5" s="427"/>
      <c r="D5" s="560"/>
      <c r="E5" s="426" t="s">
        <v>66</v>
      </c>
      <c r="F5" s="560"/>
      <c r="G5" s="426" t="s">
        <v>67</v>
      </c>
      <c r="H5" s="557"/>
    </row>
    <row r="6" spans="1:8" s="166" customFormat="1" ht="27" customHeight="1">
      <c r="A6" s="567"/>
      <c r="B6" s="428"/>
      <c r="C6" s="429"/>
      <c r="D6" s="561"/>
      <c r="E6" s="428"/>
      <c r="F6" s="561"/>
      <c r="G6" s="428"/>
      <c r="H6" s="558"/>
    </row>
    <row r="7" spans="1:8" s="166" customFormat="1" ht="21" customHeight="1">
      <c r="A7" s="567"/>
      <c r="B7" s="428"/>
      <c r="C7" s="429"/>
      <c r="D7" s="561"/>
      <c r="E7" s="430"/>
      <c r="F7" s="569"/>
      <c r="G7" s="430"/>
      <c r="H7" s="559"/>
    </row>
    <row r="8" spans="1:8" s="163" customFormat="1" ht="39" customHeight="1" thickBot="1">
      <c r="A8" s="568"/>
      <c r="B8" s="562"/>
      <c r="C8" s="563"/>
      <c r="D8" s="564"/>
      <c r="E8" s="285" t="s">
        <v>239</v>
      </c>
      <c r="F8" s="286" t="s">
        <v>250</v>
      </c>
      <c r="G8" s="284" t="s">
        <v>239</v>
      </c>
      <c r="H8" s="287" t="s">
        <v>250</v>
      </c>
    </row>
    <row r="9" spans="1:8" s="163" customFormat="1" ht="19.5" customHeight="1">
      <c r="A9" s="493" t="s">
        <v>27</v>
      </c>
      <c r="B9" s="552" t="s">
        <v>242</v>
      </c>
      <c r="C9" s="553"/>
      <c r="D9" s="289" t="s">
        <v>525</v>
      </c>
      <c r="E9" s="279">
        <f>'Прилож. 1'!E14</f>
        <v>262.33</v>
      </c>
      <c r="F9" s="279">
        <f>'Прилож. 1'!F14</f>
        <v>329.06</v>
      </c>
      <c r="G9" s="279">
        <f>'Прилож. 1'!G14</f>
        <v>160.74</v>
      </c>
      <c r="H9" s="280">
        <f>'Прилож. 1'!H14</f>
        <v>201.63</v>
      </c>
    </row>
    <row r="10" spans="1:8" s="163" customFormat="1" ht="19.5" customHeight="1">
      <c r="A10" s="494"/>
      <c r="B10" s="570"/>
      <c r="C10" s="571"/>
      <c r="D10" s="261" t="s">
        <v>527</v>
      </c>
      <c r="E10" s="201">
        <f>'Прилож. 1'!E15</f>
        <v>63.28</v>
      </c>
      <c r="F10" s="201">
        <f>'Прилож. 1'!F15</f>
        <v>56.37</v>
      </c>
      <c r="G10" s="201">
        <f>'Прилож. 1'!G15</f>
        <v>40.67</v>
      </c>
      <c r="H10" s="260">
        <f>'Прилож. 1'!H15</f>
        <v>33.65</v>
      </c>
    </row>
    <row r="11" spans="1:8" s="163" customFormat="1" ht="19.5" customHeight="1">
      <c r="A11" s="494"/>
      <c r="B11" s="570"/>
      <c r="C11" s="571"/>
      <c r="D11" s="261" t="s">
        <v>528</v>
      </c>
      <c r="E11" s="201">
        <f>'Прилож. 1'!E16</f>
        <v>15.91</v>
      </c>
      <c r="F11" s="201">
        <f>'Прилож. 1'!F16</f>
        <v>19.54</v>
      </c>
      <c r="G11" s="201">
        <f>'Прилож. 1'!G16</f>
        <v>10.82</v>
      </c>
      <c r="H11" s="260">
        <f>'Прилож. 1'!H16</f>
        <v>13.81</v>
      </c>
    </row>
    <row r="12" spans="1:8" s="90" customFormat="1" ht="19.5" customHeight="1" thickBot="1">
      <c r="A12" s="495"/>
      <c r="B12" s="554"/>
      <c r="C12" s="555"/>
      <c r="D12" s="271" t="s">
        <v>526</v>
      </c>
      <c r="E12" s="284">
        <f>'Прилож. 1'!E17</f>
        <v>9.8</v>
      </c>
      <c r="F12" s="284">
        <f>'Прилож. 1'!F17</f>
        <v>3.49</v>
      </c>
      <c r="G12" s="284">
        <f>'Прилож. 1'!G17</f>
        <v>7.08</v>
      </c>
      <c r="H12" s="287">
        <f>'Прилож. 1'!H17</f>
        <v>2.61</v>
      </c>
    </row>
    <row r="13" spans="1:8" s="292" customFormat="1" ht="19.5" customHeight="1" thickBot="1">
      <c r="A13" s="278" t="s">
        <v>26</v>
      </c>
      <c r="B13" s="572" t="s">
        <v>25</v>
      </c>
      <c r="C13" s="573"/>
      <c r="D13" s="574"/>
      <c r="E13" s="272" t="s">
        <v>2</v>
      </c>
      <c r="F13" s="272" t="s">
        <v>2</v>
      </c>
      <c r="G13" s="272" t="s">
        <v>2</v>
      </c>
      <c r="H13" s="291" t="s">
        <v>2</v>
      </c>
    </row>
    <row r="14" spans="1:8" s="296" customFormat="1" ht="19.5" customHeight="1" thickBot="1">
      <c r="A14" s="293" t="s">
        <v>24</v>
      </c>
      <c r="B14" s="572" t="s">
        <v>23</v>
      </c>
      <c r="C14" s="573"/>
      <c r="D14" s="574"/>
      <c r="E14" s="294" t="s">
        <v>2</v>
      </c>
      <c r="F14" s="294" t="s">
        <v>2</v>
      </c>
      <c r="G14" s="294" t="s">
        <v>2</v>
      </c>
      <c r="H14" s="295" t="s">
        <v>2</v>
      </c>
    </row>
    <row r="15" spans="1:8" s="162" customFormat="1" ht="19.5" customHeight="1">
      <c r="A15" s="493" t="s">
        <v>147</v>
      </c>
      <c r="B15" s="552" t="s">
        <v>22</v>
      </c>
      <c r="C15" s="553"/>
      <c r="D15" s="276" t="s">
        <v>552</v>
      </c>
      <c r="E15" s="300">
        <f>E16/2</f>
        <v>5420.785</v>
      </c>
      <c r="F15" s="300">
        <f>F16/2</f>
        <v>5082.61</v>
      </c>
      <c r="G15" s="273" t="s">
        <v>2</v>
      </c>
      <c r="H15" s="288" t="s">
        <v>2</v>
      </c>
    </row>
    <row r="16" spans="1:8" s="292" customFormat="1" ht="19.5" customHeight="1" thickBot="1">
      <c r="A16" s="495"/>
      <c r="B16" s="554"/>
      <c r="C16" s="555"/>
      <c r="D16" s="298" t="s">
        <v>553</v>
      </c>
      <c r="E16" s="247">
        <v>10841.57</v>
      </c>
      <c r="F16" s="247">
        <v>10165.22</v>
      </c>
      <c r="G16" s="246" t="s">
        <v>529</v>
      </c>
      <c r="H16" s="299" t="s">
        <v>529</v>
      </c>
    </row>
    <row r="17" spans="1:8" s="162" customFormat="1" ht="19.5" customHeight="1">
      <c r="A17" s="493" t="s">
        <v>469</v>
      </c>
      <c r="B17" s="552" t="s">
        <v>19</v>
      </c>
      <c r="C17" s="553"/>
      <c r="D17" s="297" t="s">
        <v>552</v>
      </c>
      <c r="E17" s="248">
        <f>E18/2</f>
        <v>2558.45</v>
      </c>
      <c r="F17" s="248">
        <f>F18/2</f>
        <v>6781.175</v>
      </c>
      <c r="G17" s="273" t="s">
        <v>529</v>
      </c>
      <c r="H17" s="288" t="s">
        <v>529</v>
      </c>
    </row>
    <row r="18" spans="1:8" s="292" customFormat="1" ht="19.5" customHeight="1" thickBot="1">
      <c r="A18" s="495"/>
      <c r="B18" s="554"/>
      <c r="C18" s="555"/>
      <c r="D18" s="298" t="s">
        <v>553</v>
      </c>
      <c r="E18" s="247">
        <v>5116.9</v>
      </c>
      <c r="F18" s="247">
        <v>13562.35</v>
      </c>
      <c r="G18" s="246" t="s">
        <v>529</v>
      </c>
      <c r="H18" s="299" t="s">
        <v>529</v>
      </c>
    </row>
    <row r="19" spans="1:8" s="296" customFormat="1" ht="19.5" customHeight="1" thickBot="1">
      <c r="A19" s="293" t="s">
        <v>11</v>
      </c>
      <c r="B19" s="572" t="s">
        <v>10</v>
      </c>
      <c r="C19" s="573"/>
      <c r="D19" s="574"/>
      <c r="E19" s="294" t="s">
        <v>2</v>
      </c>
      <c r="F19" s="294" t="s">
        <v>2</v>
      </c>
      <c r="G19" s="294" t="s">
        <v>2</v>
      </c>
      <c r="H19" s="295" t="s">
        <v>2</v>
      </c>
    </row>
    <row r="20" spans="1:9" s="90" customFormat="1" ht="19.5" customHeight="1">
      <c r="A20" s="493" t="s">
        <v>9</v>
      </c>
      <c r="B20" s="575" t="s">
        <v>8</v>
      </c>
      <c r="C20" s="575" t="s">
        <v>49</v>
      </c>
      <c r="D20" s="261" t="s">
        <v>552</v>
      </c>
      <c r="E20" s="300">
        <f>E21/2</f>
        <v>8693.69306957708</v>
      </c>
      <c r="F20" s="249" t="s">
        <v>529</v>
      </c>
      <c r="G20" s="250" t="s">
        <v>529</v>
      </c>
      <c r="H20" s="263" t="s">
        <v>529</v>
      </c>
      <c r="I20" s="216"/>
    </row>
    <row r="21" spans="1:9" s="90" customFormat="1" ht="19.5" customHeight="1">
      <c r="A21" s="494"/>
      <c r="B21" s="576"/>
      <c r="C21" s="551"/>
      <c r="D21" s="266" t="s">
        <v>553</v>
      </c>
      <c r="E21" s="195">
        <f>7.61*'Прилож. 4 ТП '!H11</f>
        <v>17387.38613915416</v>
      </c>
      <c r="F21" s="265" t="s">
        <v>529</v>
      </c>
      <c r="G21" s="250" t="s">
        <v>529</v>
      </c>
      <c r="H21" s="263" t="s">
        <v>529</v>
      </c>
      <c r="I21" s="216"/>
    </row>
    <row r="22" spans="1:9" s="90" customFormat="1" ht="19.5" customHeight="1">
      <c r="A22" s="494"/>
      <c r="B22" s="576"/>
      <c r="C22" s="550" t="s">
        <v>50</v>
      </c>
      <c r="D22" s="262" t="s">
        <v>552</v>
      </c>
      <c r="E22" s="195">
        <f>E23/2</f>
        <v>5928.086180081855</v>
      </c>
      <c r="F22" s="265" t="s">
        <v>529</v>
      </c>
      <c r="G22" s="250" t="s">
        <v>529</v>
      </c>
      <c r="H22" s="263" t="s">
        <v>529</v>
      </c>
      <c r="I22" s="216"/>
    </row>
    <row r="23" spans="1:9" s="90" customFormat="1" ht="19.5" customHeight="1">
      <c r="A23" s="494"/>
      <c r="B23" s="576"/>
      <c r="C23" s="551"/>
      <c r="D23" s="266" t="s">
        <v>553</v>
      </c>
      <c r="E23" s="195">
        <f>7.61*'Прилож. 4 ТП '!H12</f>
        <v>11856.17236016371</v>
      </c>
      <c r="F23" s="265" t="s">
        <v>529</v>
      </c>
      <c r="G23" s="250" t="s">
        <v>529</v>
      </c>
      <c r="H23" s="263" t="s">
        <v>529</v>
      </c>
      <c r="I23" s="216"/>
    </row>
    <row r="24" spans="1:9" s="90" customFormat="1" ht="19.5" customHeight="1">
      <c r="A24" s="494"/>
      <c r="B24" s="576"/>
      <c r="C24" s="550" t="s">
        <v>51</v>
      </c>
      <c r="D24" s="262" t="s">
        <v>552</v>
      </c>
      <c r="E24" s="264">
        <f>E25/2</f>
        <v>3699.975770804911</v>
      </c>
      <c r="F24" s="265" t="s">
        <v>529</v>
      </c>
      <c r="G24" s="250" t="s">
        <v>529</v>
      </c>
      <c r="H24" s="263" t="s">
        <v>529</v>
      </c>
      <c r="I24" s="216"/>
    </row>
    <row r="25" spans="1:9" s="90" customFormat="1" ht="19.5" customHeight="1">
      <c r="A25" s="494"/>
      <c r="B25" s="576"/>
      <c r="C25" s="551"/>
      <c r="D25" s="266" t="s">
        <v>553</v>
      </c>
      <c r="E25" s="195">
        <f>7.61*'Прилож. 4 ТП '!H13</f>
        <v>7399.951541609822</v>
      </c>
      <c r="F25" s="265" t="s">
        <v>529</v>
      </c>
      <c r="G25" s="250" t="s">
        <v>529</v>
      </c>
      <c r="H25" s="263" t="s">
        <v>529</v>
      </c>
      <c r="I25" s="216"/>
    </row>
    <row r="26" spans="1:9" s="90" customFormat="1" ht="19.5" customHeight="1">
      <c r="A26" s="494"/>
      <c r="B26" s="576"/>
      <c r="C26" s="550" t="s">
        <v>548</v>
      </c>
      <c r="D26" s="262" t="s">
        <v>552</v>
      </c>
      <c r="E26" s="195">
        <f>E27/2</f>
        <v>2931.230804911323</v>
      </c>
      <c r="F26" s="265" t="s">
        <v>529</v>
      </c>
      <c r="G26" s="250" t="s">
        <v>529</v>
      </c>
      <c r="H26" s="263" t="s">
        <v>529</v>
      </c>
      <c r="I26" s="216"/>
    </row>
    <row r="27" spans="1:9" s="90" customFormat="1" ht="19.5" customHeight="1">
      <c r="A27" s="494"/>
      <c r="B27" s="576"/>
      <c r="C27" s="551"/>
      <c r="D27" s="266" t="s">
        <v>553</v>
      </c>
      <c r="E27" s="195">
        <f>7.61*'Прилож. 4 ТП '!H14</f>
        <v>5862.461609822646</v>
      </c>
      <c r="F27" s="265" t="s">
        <v>529</v>
      </c>
      <c r="G27" s="250" t="s">
        <v>529</v>
      </c>
      <c r="H27" s="263" t="s">
        <v>529</v>
      </c>
      <c r="I27" s="216"/>
    </row>
    <row r="28" spans="1:9" s="90" customFormat="1" ht="19.5" customHeight="1">
      <c r="A28" s="494"/>
      <c r="B28" s="576"/>
      <c r="C28" s="550" t="s">
        <v>52</v>
      </c>
      <c r="D28" s="262" t="s">
        <v>552</v>
      </c>
      <c r="E28" s="195">
        <f>E29/2</f>
        <v>2056.23653478854</v>
      </c>
      <c r="F28" s="265" t="s">
        <v>529</v>
      </c>
      <c r="G28" s="250" t="s">
        <v>529</v>
      </c>
      <c r="H28" s="263" t="s">
        <v>529</v>
      </c>
      <c r="I28" s="216"/>
    </row>
    <row r="29" spans="1:9" s="90" customFormat="1" ht="19.5" customHeight="1">
      <c r="A29" s="494"/>
      <c r="B29" s="576"/>
      <c r="C29" s="551"/>
      <c r="D29" s="266" t="s">
        <v>553</v>
      </c>
      <c r="E29" s="195">
        <f>7.61*'Прилож. 4 ТП '!H15</f>
        <v>4112.47306957708</v>
      </c>
      <c r="F29" s="265" t="s">
        <v>529</v>
      </c>
      <c r="G29" s="250" t="s">
        <v>529</v>
      </c>
      <c r="H29" s="263" t="s">
        <v>529</v>
      </c>
      <c r="I29" s="216"/>
    </row>
    <row r="30" spans="1:9" s="90" customFormat="1" ht="19.5" customHeight="1">
      <c r="A30" s="494"/>
      <c r="B30" s="576"/>
      <c r="C30" s="550" t="s">
        <v>53</v>
      </c>
      <c r="D30" s="262" t="s">
        <v>552</v>
      </c>
      <c r="E30" s="195">
        <f>E31/2</f>
        <v>1449.9905047748975</v>
      </c>
      <c r="F30" s="265" t="s">
        <v>529</v>
      </c>
      <c r="G30" s="250" t="s">
        <v>529</v>
      </c>
      <c r="H30" s="263" t="s">
        <v>529</v>
      </c>
      <c r="I30" s="216"/>
    </row>
    <row r="31" spans="1:9" s="90" customFormat="1" ht="19.5" customHeight="1">
      <c r="A31" s="494"/>
      <c r="B31" s="576"/>
      <c r="C31" s="551"/>
      <c r="D31" s="266" t="s">
        <v>553</v>
      </c>
      <c r="E31" s="195">
        <f>7.61*'Прилож. 4 ТП '!H16</f>
        <v>2899.981009549795</v>
      </c>
      <c r="F31" s="265" t="s">
        <v>529</v>
      </c>
      <c r="G31" s="250" t="s">
        <v>529</v>
      </c>
      <c r="H31" s="263" t="s">
        <v>529</v>
      </c>
      <c r="I31" s="216"/>
    </row>
    <row r="32" spans="1:9" s="90" customFormat="1" ht="19.5" customHeight="1">
      <c r="A32" s="494"/>
      <c r="B32" s="576"/>
      <c r="C32" s="550" t="s">
        <v>54</v>
      </c>
      <c r="D32" s="262" t="s">
        <v>552</v>
      </c>
      <c r="E32" s="195">
        <f>E33/2</f>
        <v>19731.120791268757</v>
      </c>
      <c r="F32" s="265" t="s">
        <v>529</v>
      </c>
      <c r="G32" s="250" t="s">
        <v>529</v>
      </c>
      <c r="H32" s="263" t="s">
        <v>529</v>
      </c>
      <c r="I32" s="216"/>
    </row>
    <row r="33" spans="1:9" s="90" customFormat="1" ht="19.5" customHeight="1">
      <c r="A33" s="494"/>
      <c r="B33" s="576"/>
      <c r="C33" s="551"/>
      <c r="D33" s="266" t="s">
        <v>553</v>
      </c>
      <c r="E33" s="195">
        <f>7.61*'Прилож. 4 ТП '!H17</f>
        <v>39462.241582537514</v>
      </c>
      <c r="F33" s="265" t="s">
        <v>529</v>
      </c>
      <c r="G33" s="250" t="s">
        <v>529</v>
      </c>
      <c r="H33" s="263" t="s">
        <v>529</v>
      </c>
      <c r="I33" s="216"/>
    </row>
    <row r="34" spans="1:9" s="90" customFormat="1" ht="19.5" customHeight="1">
      <c r="A34" s="494"/>
      <c r="B34" s="576"/>
      <c r="C34" s="550" t="s">
        <v>55</v>
      </c>
      <c r="D34" s="262" t="s">
        <v>552</v>
      </c>
      <c r="E34" s="195">
        <f>E35/2</f>
        <v>12509.293083219645</v>
      </c>
      <c r="F34" s="265" t="s">
        <v>529</v>
      </c>
      <c r="G34" s="250" t="s">
        <v>529</v>
      </c>
      <c r="H34" s="263" t="s">
        <v>529</v>
      </c>
      <c r="I34" s="216"/>
    </row>
    <row r="35" spans="1:9" s="90" customFormat="1" ht="19.5" customHeight="1">
      <c r="A35" s="494"/>
      <c r="B35" s="576"/>
      <c r="C35" s="551"/>
      <c r="D35" s="266" t="s">
        <v>553</v>
      </c>
      <c r="E35" s="195">
        <f>7.61*'Прилож. 4 ТП '!H18</f>
        <v>25018.58616643929</v>
      </c>
      <c r="F35" s="265" t="s">
        <v>529</v>
      </c>
      <c r="G35" s="250" t="s">
        <v>529</v>
      </c>
      <c r="H35" s="263" t="s">
        <v>529</v>
      </c>
      <c r="I35" s="216"/>
    </row>
    <row r="36" spans="1:9" s="90" customFormat="1" ht="19.5" customHeight="1">
      <c r="A36" s="494"/>
      <c r="B36" s="576"/>
      <c r="C36" s="550" t="s">
        <v>56</v>
      </c>
      <c r="D36" s="262" t="s">
        <v>552</v>
      </c>
      <c r="E36" s="195">
        <f>E37/2</f>
        <v>8106.1969167803545</v>
      </c>
      <c r="F36" s="265" t="s">
        <v>529</v>
      </c>
      <c r="G36" s="250" t="s">
        <v>529</v>
      </c>
      <c r="H36" s="263" t="s">
        <v>529</v>
      </c>
      <c r="I36" s="216"/>
    </row>
    <row r="37" spans="1:9" s="90" customFormat="1" ht="19.5" customHeight="1">
      <c r="A37" s="494"/>
      <c r="B37" s="576"/>
      <c r="C37" s="551"/>
      <c r="D37" s="266" t="s">
        <v>553</v>
      </c>
      <c r="E37" s="195">
        <f>7.61*'Прилож. 4 ТП '!H19</f>
        <v>16212.393833560709</v>
      </c>
      <c r="F37" s="265" t="s">
        <v>529</v>
      </c>
      <c r="G37" s="250" t="s">
        <v>529</v>
      </c>
      <c r="H37" s="263" t="s">
        <v>529</v>
      </c>
      <c r="I37" s="216"/>
    </row>
    <row r="38" spans="1:9" s="90" customFormat="1" ht="19.5" customHeight="1">
      <c r="A38" s="494"/>
      <c r="B38" s="576"/>
      <c r="C38" s="550" t="s">
        <v>57</v>
      </c>
      <c r="D38" s="262" t="s">
        <v>552</v>
      </c>
      <c r="E38" s="195">
        <f>E39/2</f>
        <v>5090.591664392906</v>
      </c>
      <c r="F38" s="265" t="s">
        <v>529</v>
      </c>
      <c r="G38" s="250" t="s">
        <v>529</v>
      </c>
      <c r="H38" s="263" t="s">
        <v>529</v>
      </c>
      <c r="I38" s="216"/>
    </row>
    <row r="39" spans="1:9" s="90" customFormat="1" ht="19.5" customHeight="1">
      <c r="A39" s="494"/>
      <c r="B39" s="576"/>
      <c r="C39" s="551"/>
      <c r="D39" s="266" t="s">
        <v>553</v>
      </c>
      <c r="E39" s="195">
        <f>7.61*'Прилож. 4 ТП '!H20</f>
        <v>10181.183328785812</v>
      </c>
      <c r="F39" s="265" t="s">
        <v>529</v>
      </c>
      <c r="G39" s="250" t="s">
        <v>529</v>
      </c>
      <c r="H39" s="263" t="s">
        <v>529</v>
      </c>
      <c r="I39" s="216"/>
    </row>
    <row r="40" spans="1:9" s="90" customFormat="1" ht="19.5" customHeight="1">
      <c r="A40" s="494"/>
      <c r="B40" s="576"/>
      <c r="C40" s="550" t="s">
        <v>58</v>
      </c>
      <c r="D40" s="262" t="s">
        <v>552</v>
      </c>
      <c r="E40" s="195">
        <f>E41/2</f>
        <v>3371.8529195088677</v>
      </c>
      <c r="F40" s="265" t="s">
        <v>529</v>
      </c>
      <c r="G40" s="250" t="s">
        <v>529</v>
      </c>
      <c r="H40" s="263" t="s">
        <v>529</v>
      </c>
      <c r="I40" s="216"/>
    </row>
    <row r="41" spans="1:9" s="90" customFormat="1" ht="19.5" customHeight="1">
      <c r="A41" s="494"/>
      <c r="B41" s="576"/>
      <c r="C41" s="551"/>
      <c r="D41" s="266" t="s">
        <v>553</v>
      </c>
      <c r="E41" s="195">
        <f>7.61*'Прилож. 4 ТП '!H21</f>
        <v>6743.705839017735</v>
      </c>
      <c r="F41" s="265" t="s">
        <v>529</v>
      </c>
      <c r="G41" s="250" t="s">
        <v>529</v>
      </c>
      <c r="H41" s="263" t="s">
        <v>529</v>
      </c>
      <c r="I41" s="216"/>
    </row>
    <row r="42" spans="1:9" s="90" customFormat="1" ht="19.5" customHeight="1">
      <c r="A42" s="494"/>
      <c r="B42" s="576"/>
      <c r="C42" s="550" t="s">
        <v>59</v>
      </c>
      <c r="D42" s="262" t="s">
        <v>552</v>
      </c>
      <c r="E42" s="195">
        <f>E43/2</f>
        <v>2453.1089358799454</v>
      </c>
      <c r="F42" s="265" t="s">
        <v>529</v>
      </c>
      <c r="G42" s="250" t="s">
        <v>529</v>
      </c>
      <c r="H42" s="263" t="s">
        <v>529</v>
      </c>
      <c r="I42" s="216"/>
    </row>
    <row r="43" spans="1:9" s="90" customFormat="1" ht="19.5" customHeight="1">
      <c r="A43" s="494"/>
      <c r="B43" s="576"/>
      <c r="C43" s="551"/>
      <c r="D43" s="266" t="s">
        <v>553</v>
      </c>
      <c r="E43" s="195">
        <f>7.61*'Прилож. 4 ТП '!H22</f>
        <v>4906.217871759891</v>
      </c>
      <c r="F43" s="265" t="s">
        <v>529</v>
      </c>
      <c r="G43" s="250" t="s">
        <v>529</v>
      </c>
      <c r="H43" s="263" t="s">
        <v>529</v>
      </c>
      <c r="I43" s="216"/>
    </row>
    <row r="44" spans="1:9" s="90" customFormat="1" ht="19.5" customHeight="1">
      <c r="A44" s="494"/>
      <c r="B44" s="576"/>
      <c r="C44" s="550" t="s">
        <v>60</v>
      </c>
      <c r="D44" s="262" t="s">
        <v>552</v>
      </c>
      <c r="E44" s="195">
        <f>E45/2</f>
        <v>35065.39537517053</v>
      </c>
      <c r="F44" s="265" t="s">
        <v>529</v>
      </c>
      <c r="G44" s="250" t="s">
        <v>529</v>
      </c>
      <c r="H44" s="263" t="s">
        <v>529</v>
      </c>
      <c r="I44" s="216"/>
    </row>
    <row r="45" spans="1:9" s="90" customFormat="1" ht="19.5" customHeight="1">
      <c r="A45" s="494"/>
      <c r="B45" s="576"/>
      <c r="C45" s="551"/>
      <c r="D45" s="266" t="s">
        <v>553</v>
      </c>
      <c r="E45" s="195">
        <f>7.61*'Прилож. 4 ТП '!H23</f>
        <v>70130.79075034105</v>
      </c>
      <c r="F45" s="265" t="s">
        <v>529</v>
      </c>
      <c r="G45" s="250" t="s">
        <v>529</v>
      </c>
      <c r="H45" s="263" t="s">
        <v>529</v>
      </c>
      <c r="I45" s="216"/>
    </row>
    <row r="46" spans="1:9" s="90" customFormat="1" ht="19.5" customHeight="1">
      <c r="A46" s="494"/>
      <c r="B46" s="576"/>
      <c r="C46" s="550" t="s">
        <v>61</v>
      </c>
      <c r="D46" s="262" t="s">
        <v>552</v>
      </c>
      <c r="E46" s="195">
        <f>E47/2</f>
        <v>22274.854133697132</v>
      </c>
      <c r="F46" s="265" t="s">
        <v>529</v>
      </c>
      <c r="G46" s="250" t="s">
        <v>529</v>
      </c>
      <c r="H46" s="263" t="s">
        <v>529</v>
      </c>
      <c r="I46" s="216"/>
    </row>
    <row r="47" spans="1:9" s="90" customFormat="1" ht="19.5" customHeight="1">
      <c r="A47" s="494"/>
      <c r="B47" s="576"/>
      <c r="C47" s="551"/>
      <c r="D47" s="266" t="s">
        <v>553</v>
      </c>
      <c r="E47" s="195">
        <f>7.61*'Прилож. 4 ТП '!H24</f>
        <v>44549.708267394264</v>
      </c>
      <c r="F47" s="265" t="s">
        <v>529</v>
      </c>
      <c r="G47" s="250" t="s">
        <v>529</v>
      </c>
      <c r="H47" s="263" t="s">
        <v>529</v>
      </c>
      <c r="I47" s="216"/>
    </row>
    <row r="48" spans="1:9" s="90" customFormat="1" ht="19.5" customHeight="1">
      <c r="A48" s="494"/>
      <c r="B48" s="576"/>
      <c r="C48" s="550" t="s">
        <v>62</v>
      </c>
      <c r="D48" s="262" t="s">
        <v>552</v>
      </c>
      <c r="E48" s="195">
        <f>E49/2</f>
        <v>14453.030354706683</v>
      </c>
      <c r="F48" s="265" t="s">
        <v>529</v>
      </c>
      <c r="G48" s="250" t="s">
        <v>529</v>
      </c>
      <c r="H48" s="263" t="s">
        <v>529</v>
      </c>
      <c r="I48" s="216"/>
    </row>
    <row r="49" spans="1:9" s="90" customFormat="1" ht="19.5" customHeight="1">
      <c r="A49" s="494"/>
      <c r="B49" s="576"/>
      <c r="C49" s="551"/>
      <c r="D49" s="266" t="s">
        <v>553</v>
      </c>
      <c r="E49" s="195">
        <f>7.61*'Прилож. 4 ТП '!H25</f>
        <v>28906.060709413367</v>
      </c>
      <c r="F49" s="265" t="s">
        <v>529</v>
      </c>
      <c r="G49" s="250" t="s">
        <v>529</v>
      </c>
      <c r="H49" s="263" t="s">
        <v>529</v>
      </c>
      <c r="I49" s="216"/>
    </row>
    <row r="50" spans="1:9" s="90" customFormat="1" ht="19.5" customHeight="1">
      <c r="A50" s="494"/>
      <c r="B50" s="576"/>
      <c r="C50" s="550" t="s">
        <v>63</v>
      </c>
      <c r="D50" s="262" t="s">
        <v>552</v>
      </c>
      <c r="E50" s="195">
        <f>E51/2</f>
        <v>9084.31551159618</v>
      </c>
      <c r="F50" s="265" t="s">
        <v>529</v>
      </c>
      <c r="G50" s="250" t="s">
        <v>529</v>
      </c>
      <c r="H50" s="263" t="s">
        <v>529</v>
      </c>
      <c r="I50" s="216"/>
    </row>
    <row r="51" spans="1:9" s="90" customFormat="1" ht="19.5" customHeight="1">
      <c r="A51" s="494"/>
      <c r="B51" s="576"/>
      <c r="C51" s="551"/>
      <c r="D51" s="266" t="s">
        <v>553</v>
      </c>
      <c r="E51" s="195">
        <f>7.61*'Прилож. 4 ТП '!H26</f>
        <v>18168.63102319236</v>
      </c>
      <c r="F51" s="265" t="s">
        <v>529</v>
      </c>
      <c r="G51" s="250" t="s">
        <v>529</v>
      </c>
      <c r="H51" s="263" t="s">
        <v>529</v>
      </c>
      <c r="I51" s="216"/>
    </row>
    <row r="52" spans="1:9" s="90" customFormat="1" ht="19.5" customHeight="1">
      <c r="A52" s="494"/>
      <c r="B52" s="576"/>
      <c r="C52" s="550" t="s">
        <v>64</v>
      </c>
      <c r="D52" s="262" t="s">
        <v>552</v>
      </c>
      <c r="E52" s="195">
        <f>E53/2</f>
        <v>6531.207230559345</v>
      </c>
      <c r="F52" s="265" t="s">
        <v>529</v>
      </c>
      <c r="G52" s="250" t="s">
        <v>529</v>
      </c>
      <c r="H52" s="263" t="s">
        <v>529</v>
      </c>
      <c r="I52" s="216"/>
    </row>
    <row r="53" spans="1:9" s="90" customFormat="1" ht="19.5" customHeight="1">
      <c r="A53" s="494"/>
      <c r="B53" s="576"/>
      <c r="C53" s="551"/>
      <c r="D53" s="266" t="s">
        <v>553</v>
      </c>
      <c r="E53" s="195">
        <f>7.61*'Прилож. 4 ТП '!H27</f>
        <v>13062.41446111869</v>
      </c>
      <c r="F53" s="265" t="s">
        <v>529</v>
      </c>
      <c r="G53" s="250" t="s">
        <v>529</v>
      </c>
      <c r="H53" s="263" t="s">
        <v>529</v>
      </c>
      <c r="I53" s="216"/>
    </row>
    <row r="54" spans="1:9" s="90" customFormat="1" ht="19.5" customHeight="1">
      <c r="A54" s="494"/>
      <c r="B54" s="576"/>
      <c r="C54" s="550" t="s">
        <v>65</v>
      </c>
      <c r="D54" s="262" t="s">
        <v>552</v>
      </c>
      <c r="E54" s="195">
        <f>E55/2</f>
        <v>4931.217708049114</v>
      </c>
      <c r="F54" s="265" t="s">
        <v>529</v>
      </c>
      <c r="G54" s="250" t="s">
        <v>529</v>
      </c>
      <c r="H54" s="263" t="s">
        <v>529</v>
      </c>
      <c r="I54" s="216"/>
    </row>
    <row r="55" spans="1:9" s="90" customFormat="1" ht="19.5" customHeight="1">
      <c r="A55" s="494"/>
      <c r="B55" s="576"/>
      <c r="C55" s="551"/>
      <c r="D55" s="266" t="s">
        <v>553</v>
      </c>
      <c r="E55" s="195">
        <f>7.61*'Прилож. 4 ТП '!H28</f>
        <v>9862.435416098228</v>
      </c>
      <c r="F55" s="265" t="s">
        <v>529</v>
      </c>
      <c r="G55" s="250" t="s">
        <v>529</v>
      </c>
      <c r="H55" s="263" t="s">
        <v>529</v>
      </c>
      <c r="I55" s="216"/>
    </row>
    <row r="56" spans="1:9" s="90" customFormat="1" ht="19.5" customHeight="1">
      <c r="A56" s="494"/>
      <c r="B56" s="576"/>
      <c r="C56" s="550" t="s">
        <v>570</v>
      </c>
      <c r="D56" s="266" t="s">
        <v>552</v>
      </c>
      <c r="E56" s="195">
        <f>E57/2</f>
        <v>4775.046700000001</v>
      </c>
      <c r="F56" s="265" t="s">
        <v>529</v>
      </c>
      <c r="G56" s="250" t="s">
        <v>529</v>
      </c>
      <c r="H56" s="263" t="s">
        <v>529</v>
      </c>
      <c r="I56" s="216"/>
    </row>
    <row r="57" spans="1:9" s="90" customFormat="1" ht="19.5" customHeight="1">
      <c r="A57" s="494"/>
      <c r="B57" s="576"/>
      <c r="C57" s="551"/>
      <c r="D57" s="266" t="s">
        <v>553</v>
      </c>
      <c r="E57" s="195">
        <f>7.61*'Прилож. 4 ТП '!H29</f>
        <v>9550.093400000002</v>
      </c>
      <c r="F57" s="265" t="s">
        <v>529</v>
      </c>
      <c r="G57" s="250" t="s">
        <v>529</v>
      </c>
      <c r="H57" s="263" t="s">
        <v>529</v>
      </c>
      <c r="I57" s="216"/>
    </row>
    <row r="58" spans="1:9" s="90" customFormat="1" ht="19.5" customHeight="1">
      <c r="A58" s="494"/>
      <c r="B58" s="576"/>
      <c r="C58" s="550" t="s">
        <v>557</v>
      </c>
      <c r="D58" s="266" t="s">
        <v>552</v>
      </c>
      <c r="E58" s="195" t="s">
        <v>2</v>
      </c>
      <c r="F58" s="265">
        <f>F59/2</f>
        <v>1558.94655</v>
      </c>
      <c r="G58" s="250" t="s">
        <v>529</v>
      </c>
      <c r="H58" s="263" t="s">
        <v>529</v>
      </c>
      <c r="I58" s="216"/>
    </row>
    <row r="59" spans="1:9" s="90" customFormat="1" ht="19.5" customHeight="1">
      <c r="A59" s="494"/>
      <c r="B59" s="576"/>
      <c r="C59" s="551"/>
      <c r="D59" s="266" t="s">
        <v>553</v>
      </c>
      <c r="E59" s="195" t="s">
        <v>2</v>
      </c>
      <c r="F59" s="265">
        <f>7.61*'Прилож. 4 ТП '!H30</f>
        <v>3117.8931</v>
      </c>
      <c r="G59" s="250" t="s">
        <v>529</v>
      </c>
      <c r="H59" s="263" t="s">
        <v>529</v>
      </c>
      <c r="I59" s="216"/>
    </row>
    <row r="60" spans="1:9" s="90" customFormat="1" ht="19.5" customHeight="1">
      <c r="A60" s="494"/>
      <c r="B60" s="576"/>
      <c r="C60" s="576" t="s">
        <v>558</v>
      </c>
      <c r="D60" s="262" t="s">
        <v>552</v>
      </c>
      <c r="E60" s="195" t="s">
        <v>2</v>
      </c>
      <c r="F60" s="265">
        <f>F61/2</f>
        <v>1044.0919999999999</v>
      </c>
      <c r="G60" s="250" t="s">
        <v>529</v>
      </c>
      <c r="H60" s="263" t="s">
        <v>529</v>
      </c>
      <c r="I60" s="216"/>
    </row>
    <row r="61" spans="1:10" s="90" customFormat="1" ht="19.5" customHeight="1" thickBot="1">
      <c r="A61" s="495"/>
      <c r="B61" s="577"/>
      <c r="C61" s="577"/>
      <c r="D61" s="298" t="s">
        <v>553</v>
      </c>
      <c r="E61" s="247" t="s">
        <v>2</v>
      </c>
      <c r="F61" s="301">
        <f>7.61*'Прилож. 4 ТП '!H31</f>
        <v>2088.1839999999997</v>
      </c>
      <c r="G61" s="246" t="s">
        <v>529</v>
      </c>
      <c r="H61" s="299" t="s">
        <v>529</v>
      </c>
      <c r="J61" s="216"/>
    </row>
    <row r="62" spans="1:8" s="90" customFormat="1" ht="24.75" customHeight="1" thickBot="1">
      <c r="A62" s="293" t="s">
        <v>7</v>
      </c>
      <c r="B62" s="572" t="s">
        <v>6</v>
      </c>
      <c r="C62" s="573"/>
      <c r="D62" s="574"/>
      <c r="E62" s="294" t="s">
        <v>2</v>
      </c>
      <c r="F62" s="294" t="s">
        <v>2</v>
      </c>
      <c r="G62" s="294" t="s">
        <v>2</v>
      </c>
      <c r="H62" s="295" t="s">
        <v>2</v>
      </c>
    </row>
    <row r="63" spans="1:8" s="90" customFormat="1" ht="19.5" customHeight="1">
      <c r="A63" s="493" t="s">
        <v>5</v>
      </c>
      <c r="B63" s="552" t="s">
        <v>244</v>
      </c>
      <c r="C63" s="553"/>
      <c r="D63" s="261" t="s">
        <v>525</v>
      </c>
      <c r="E63" s="302">
        <f>'Прилож. 1'!E18</f>
        <v>493.11</v>
      </c>
      <c r="F63" s="302">
        <f>'Прилож. 1'!F18</f>
        <v>620.99</v>
      </c>
      <c r="G63" s="302">
        <f>'Прилож. 1'!G18</f>
        <v>342.46</v>
      </c>
      <c r="H63" s="303">
        <f>'Прилож. 1'!H18</f>
        <v>431.27</v>
      </c>
    </row>
    <row r="64" spans="1:8" s="90" customFormat="1" ht="19.5" customHeight="1">
      <c r="A64" s="494"/>
      <c r="B64" s="570"/>
      <c r="C64" s="571"/>
      <c r="D64" s="262" t="s">
        <v>527</v>
      </c>
      <c r="E64" s="268">
        <f>'Прилож. 1'!E19</f>
        <v>127.52</v>
      </c>
      <c r="F64" s="268">
        <f>'Прилож. 1'!F19</f>
        <v>110.73</v>
      </c>
      <c r="G64" s="268">
        <f>'Прилож. 1'!G19</f>
        <v>82.64</v>
      </c>
      <c r="H64" s="269">
        <f>'Прилож. 1'!H19</f>
        <v>71.36</v>
      </c>
    </row>
    <row r="65" spans="1:8" s="90" customFormat="1" ht="19.5" customHeight="1">
      <c r="A65" s="494"/>
      <c r="B65" s="570"/>
      <c r="C65" s="571"/>
      <c r="D65" s="262" t="s">
        <v>528</v>
      </c>
      <c r="E65" s="268">
        <f>'Прилож. 1'!E20</f>
        <v>29.19</v>
      </c>
      <c r="F65" s="268">
        <f>'Прилож. 1'!F20</f>
        <v>30.76</v>
      </c>
      <c r="G65" s="268">
        <f>'Прилож. 1'!G20</f>
        <v>18.29</v>
      </c>
      <c r="H65" s="269">
        <f>'Прилож. 1'!H20</f>
        <v>19.34</v>
      </c>
    </row>
    <row r="66" spans="1:8" s="90" customFormat="1" ht="19.5" customHeight="1" thickBot="1">
      <c r="A66" s="495"/>
      <c r="B66" s="554"/>
      <c r="C66" s="555"/>
      <c r="D66" s="290" t="s">
        <v>526</v>
      </c>
      <c r="E66" s="304">
        <f>'Прилож. 1'!E21</f>
        <v>14.81</v>
      </c>
      <c r="F66" s="304">
        <f>'Прилож. 1'!F21</f>
        <v>4.45</v>
      </c>
      <c r="G66" s="304">
        <f>'Прилож. 1'!G21</f>
        <v>8.6</v>
      </c>
      <c r="H66" s="305">
        <f>'Прилож. 1'!H21</f>
        <v>2.69</v>
      </c>
    </row>
    <row r="67" spans="1:8" s="90" customFormat="1" ht="34.5" customHeight="1" thickBot="1">
      <c r="A67" s="293" t="s">
        <v>4</v>
      </c>
      <c r="B67" s="572" t="s">
        <v>3</v>
      </c>
      <c r="C67" s="573"/>
      <c r="D67" s="574"/>
      <c r="E67" s="308">
        <f>'Прилож. 1'!E25</f>
        <v>2.44</v>
      </c>
      <c r="F67" s="308">
        <f>'Прилож. 1'!F25</f>
        <v>0.66</v>
      </c>
      <c r="G67" s="294" t="s">
        <v>2</v>
      </c>
      <c r="H67" s="309" t="s">
        <v>2</v>
      </c>
    </row>
    <row r="68" spans="1:8" s="90" customFormat="1" ht="19.5" customHeight="1">
      <c r="A68" s="493" t="s">
        <v>1</v>
      </c>
      <c r="B68" s="552" t="s">
        <v>247</v>
      </c>
      <c r="C68" s="553"/>
      <c r="D68" s="277" t="s">
        <v>525</v>
      </c>
      <c r="E68" s="306">
        <f>'Прилож. 1'!E26</f>
        <v>688.77</v>
      </c>
      <c r="F68" s="306">
        <f>'Прилож. 1'!F26</f>
        <v>857.01</v>
      </c>
      <c r="G68" s="306">
        <f>'Прилож. 1'!G26</f>
        <v>493.06</v>
      </c>
      <c r="H68" s="307">
        <f>'Прилож. 1'!H26</f>
        <v>613.5</v>
      </c>
    </row>
    <row r="69" spans="1:8" s="90" customFormat="1" ht="19.5" customHeight="1">
      <c r="A69" s="494"/>
      <c r="B69" s="570"/>
      <c r="C69" s="571"/>
      <c r="D69" s="267" t="s">
        <v>527</v>
      </c>
      <c r="E69" s="270">
        <f>'Прилож. 1'!E27</f>
        <v>164.69</v>
      </c>
      <c r="F69" s="270">
        <f>'Прилож. 1'!F27</f>
        <v>149.46</v>
      </c>
      <c r="G69" s="270">
        <f>'Прилож. 1'!G27</f>
        <v>118.46</v>
      </c>
      <c r="H69" s="281">
        <f>'Прилож. 1'!H27</f>
        <v>104.39</v>
      </c>
    </row>
    <row r="70" spans="1:8" s="90" customFormat="1" ht="19.5" customHeight="1">
      <c r="A70" s="494"/>
      <c r="B70" s="570"/>
      <c r="C70" s="571"/>
      <c r="D70" s="267" t="s">
        <v>528</v>
      </c>
      <c r="E70" s="270">
        <f>'Прилож. 1'!E28</f>
        <v>39.58</v>
      </c>
      <c r="F70" s="270">
        <f>'Прилож. 1'!F28</f>
        <v>39.96</v>
      </c>
      <c r="G70" s="270">
        <f>'Прилож. 1'!G28</f>
        <v>27.83</v>
      </c>
      <c r="H70" s="281">
        <f>'Прилож. 1'!H28</f>
        <v>28.19</v>
      </c>
    </row>
    <row r="71" spans="1:8" s="90" customFormat="1" ht="19.5" customHeight="1" thickBot="1">
      <c r="A71" s="495"/>
      <c r="B71" s="554"/>
      <c r="C71" s="555"/>
      <c r="D71" s="271" t="s">
        <v>526</v>
      </c>
      <c r="E71" s="282">
        <f>'Прилож. 1'!E29</f>
        <v>19.25</v>
      </c>
      <c r="F71" s="282">
        <f>'Прилож. 1'!F29</f>
        <v>5.55</v>
      </c>
      <c r="G71" s="282">
        <f>'Прилож. 1'!G29</f>
        <v>13.5</v>
      </c>
      <c r="H71" s="283">
        <f>'Прилож. 1'!H29</f>
        <v>3.98</v>
      </c>
    </row>
    <row r="72" ht="20.25" customHeight="1"/>
    <row r="73" ht="15.75" customHeight="1">
      <c r="A73" s="84" t="s">
        <v>367</v>
      </c>
    </row>
    <row r="74" spans="1:8" s="13" customFormat="1" ht="69.75" customHeight="1">
      <c r="A74" s="496" t="s">
        <v>530</v>
      </c>
      <c r="B74" s="496"/>
      <c r="C74" s="496"/>
      <c r="D74" s="496"/>
      <c r="E74" s="496"/>
      <c r="F74" s="496"/>
      <c r="G74" s="496"/>
      <c r="H74" s="496"/>
    </row>
    <row r="75" spans="1:8" s="13" customFormat="1" ht="197.25" customHeight="1">
      <c r="A75" s="565" t="s">
        <v>99</v>
      </c>
      <c r="B75" s="565"/>
      <c r="C75" s="565"/>
      <c r="D75" s="565"/>
      <c r="E75" s="565"/>
      <c r="F75" s="565"/>
      <c r="G75" s="565"/>
      <c r="H75" s="565"/>
    </row>
  </sheetData>
  <sheetProtection/>
  <mergeCells count="47">
    <mergeCell ref="C56:C57"/>
    <mergeCell ref="A20:A61"/>
    <mergeCell ref="B20:B61"/>
    <mergeCell ref="C20:C21"/>
    <mergeCell ref="C22:C23"/>
    <mergeCell ref="C24:C25"/>
    <mergeCell ref="C54:C55"/>
    <mergeCell ref="C60:C61"/>
    <mergeCell ref="C42:C43"/>
    <mergeCell ref="C44:C45"/>
    <mergeCell ref="C46:C47"/>
    <mergeCell ref="C30:C31"/>
    <mergeCell ref="C32:C33"/>
    <mergeCell ref="C34:C35"/>
    <mergeCell ref="C36:C37"/>
    <mergeCell ref="C38:C39"/>
    <mergeCell ref="C40:C41"/>
    <mergeCell ref="B63:C66"/>
    <mergeCell ref="B68:C71"/>
    <mergeCell ref="B67:D67"/>
    <mergeCell ref="B62:D62"/>
    <mergeCell ref="B13:D13"/>
    <mergeCell ref="B14:D14"/>
    <mergeCell ref="B19:D19"/>
    <mergeCell ref="C26:C27"/>
    <mergeCell ref="C48:C49"/>
    <mergeCell ref="C50:C51"/>
    <mergeCell ref="A75:H75"/>
    <mergeCell ref="A74:H74"/>
    <mergeCell ref="A5:A8"/>
    <mergeCell ref="E5:F7"/>
    <mergeCell ref="B9:C12"/>
    <mergeCell ref="C28:C29"/>
    <mergeCell ref="A68:A71"/>
    <mergeCell ref="A63:A66"/>
    <mergeCell ref="A15:A16"/>
    <mergeCell ref="B15:C16"/>
    <mergeCell ref="C58:C59"/>
    <mergeCell ref="B17:C18"/>
    <mergeCell ref="A17:A18"/>
    <mergeCell ref="F1:H1"/>
    <mergeCell ref="A3:H3"/>
    <mergeCell ref="A2:H2"/>
    <mergeCell ref="G5:H7"/>
    <mergeCell ref="B5:D8"/>
    <mergeCell ref="A9:A12"/>
    <mergeCell ref="C52:C53"/>
  </mergeCells>
  <printOptions/>
  <pageMargins left="0.7" right="0.7" top="0.75" bottom="0.75" header="0.3" footer="0.3"/>
  <pageSetup fitToHeight="6" horizontalDpi="600" verticalDpi="600" orientation="landscape" paperSize="9" scale="51" r:id="rId1"/>
  <rowBreaks count="1" manualBreakCount="1">
    <brk id="39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82" zoomScaleSheetLayoutView="82" zoomScalePageLayoutView="0" workbookViewId="0" topLeftCell="A1">
      <selection activeCell="G5" sqref="G5"/>
    </sheetView>
  </sheetViews>
  <sheetFormatPr defaultColWidth="10.421875" defaultRowHeight="15"/>
  <cols>
    <col min="1" max="1" width="5.140625" style="174" customWidth="1"/>
    <col min="2" max="2" width="29.7109375" style="174" customWidth="1"/>
    <col min="3" max="3" width="71.57421875" style="174" bestFit="1" customWidth="1"/>
    <col min="4" max="4" width="71.28125" style="174" customWidth="1"/>
    <col min="5" max="16384" width="10.421875" style="174" customWidth="1"/>
  </cols>
  <sheetData>
    <row r="1" spans="1:4" ht="99.75" customHeight="1">
      <c r="A1" s="211"/>
      <c r="B1" s="578" t="s">
        <v>574</v>
      </c>
      <c r="C1" s="578"/>
      <c r="D1" s="578"/>
    </row>
    <row r="2" spans="1:4" ht="39.75" customHeight="1">
      <c r="A2" s="579" t="s">
        <v>97</v>
      </c>
      <c r="B2" s="580"/>
      <c r="C2" s="580"/>
      <c r="D2" s="580"/>
    </row>
    <row r="3" spans="1:4" ht="69.75" customHeight="1">
      <c r="A3" s="579" t="s">
        <v>573</v>
      </c>
      <c r="B3" s="579"/>
      <c r="C3" s="579"/>
      <c r="D3" s="579"/>
    </row>
    <row r="4" spans="1:4" ht="17.25" thickBot="1">
      <c r="A4" s="202"/>
      <c r="B4" s="202"/>
      <c r="C4" s="202"/>
      <c r="D4" s="212" t="s">
        <v>540</v>
      </c>
    </row>
    <row r="5" spans="1:4" ht="32.25" thickBot="1">
      <c r="A5" s="385" t="s">
        <v>48</v>
      </c>
      <c r="B5" s="386" t="s">
        <v>47</v>
      </c>
      <c r="C5" s="386" t="s">
        <v>46</v>
      </c>
      <c r="D5" s="387" t="s">
        <v>45</v>
      </c>
    </row>
    <row r="6" spans="1:4" ht="18" customHeight="1">
      <c r="A6" s="581">
        <v>1</v>
      </c>
      <c r="B6" s="584" t="s">
        <v>44</v>
      </c>
      <c r="C6" s="587" t="s">
        <v>43</v>
      </c>
      <c r="D6" s="388" t="s">
        <v>42</v>
      </c>
    </row>
    <row r="7" spans="1:4" ht="68.25" customHeight="1">
      <c r="A7" s="582"/>
      <c r="B7" s="585"/>
      <c r="C7" s="588"/>
      <c r="D7" s="388" t="s">
        <v>41</v>
      </c>
    </row>
    <row r="8" spans="1:4" ht="30.75" customHeight="1" thickBot="1">
      <c r="A8" s="583"/>
      <c r="B8" s="586"/>
      <c r="C8" s="589"/>
      <c r="D8" s="388" t="s">
        <v>40</v>
      </c>
    </row>
    <row r="9" spans="1:4" ht="40.5" customHeight="1">
      <c r="A9" s="590">
        <v>2</v>
      </c>
      <c r="B9" s="593" t="s">
        <v>39</v>
      </c>
      <c r="C9" s="600" t="s">
        <v>549</v>
      </c>
      <c r="D9" s="388" t="s">
        <v>38</v>
      </c>
    </row>
    <row r="10" spans="1:4" ht="40.5" customHeight="1">
      <c r="A10" s="591"/>
      <c r="B10" s="594"/>
      <c r="C10" s="601"/>
      <c r="D10" s="388" t="s">
        <v>37</v>
      </c>
    </row>
    <row r="11" spans="1:4" ht="43.5" customHeight="1" thickBot="1">
      <c r="A11" s="592"/>
      <c r="B11" s="595" t="s">
        <v>36</v>
      </c>
      <c r="C11" s="602"/>
      <c r="D11" s="388" t="s">
        <v>35</v>
      </c>
    </row>
    <row r="12" spans="1:4" ht="43.5" customHeight="1">
      <c r="A12" s="590">
        <v>3</v>
      </c>
      <c r="B12" s="593" t="s">
        <v>34</v>
      </c>
      <c r="C12" s="600" t="s">
        <v>550</v>
      </c>
      <c r="D12" s="388" t="s">
        <v>33</v>
      </c>
    </row>
    <row r="13" spans="1:4" ht="28.5" customHeight="1">
      <c r="A13" s="591"/>
      <c r="B13" s="594"/>
      <c r="C13" s="601"/>
      <c r="D13" s="388" t="s">
        <v>32</v>
      </c>
    </row>
    <row r="14" spans="1:4" ht="98.25" customHeight="1" thickBot="1">
      <c r="A14" s="591"/>
      <c r="B14" s="594"/>
      <c r="C14" s="601"/>
      <c r="D14" s="388" t="s">
        <v>92</v>
      </c>
    </row>
    <row r="15" spans="1:4" ht="69" customHeight="1">
      <c r="A15" s="590">
        <v>4</v>
      </c>
      <c r="B15" s="593" t="s">
        <v>531</v>
      </c>
      <c r="C15" s="596" t="s">
        <v>551</v>
      </c>
      <c r="D15" s="389" t="s">
        <v>532</v>
      </c>
    </row>
    <row r="16" spans="1:4" ht="123" customHeight="1">
      <c r="A16" s="591"/>
      <c r="B16" s="594"/>
      <c r="C16" s="597"/>
      <c r="D16" s="383" t="s">
        <v>533</v>
      </c>
    </row>
    <row r="17" spans="1:4" ht="126.75" customHeight="1" thickBot="1">
      <c r="A17" s="592"/>
      <c r="B17" s="595"/>
      <c r="C17" s="598"/>
      <c r="D17" s="384" t="s">
        <v>534</v>
      </c>
    </row>
    <row r="18" spans="1:4" ht="9" customHeight="1">
      <c r="A18" s="176"/>
      <c r="B18" s="177"/>
      <c r="C18" s="176"/>
      <c r="D18" s="175"/>
    </row>
    <row r="19" spans="1:4" ht="25.5" customHeight="1">
      <c r="A19" s="599" t="s">
        <v>31</v>
      </c>
      <c r="B19" s="599"/>
      <c r="C19" s="599"/>
      <c r="D19" s="599"/>
    </row>
  </sheetData>
  <sheetProtection/>
  <mergeCells count="16">
    <mergeCell ref="A15:A17"/>
    <mergeCell ref="B15:B17"/>
    <mergeCell ref="C15:C17"/>
    <mergeCell ref="A19:D19"/>
    <mergeCell ref="A9:A11"/>
    <mergeCell ref="B9:B11"/>
    <mergeCell ref="C9:C11"/>
    <mergeCell ref="A12:A14"/>
    <mergeCell ref="B12:B14"/>
    <mergeCell ref="C12:C14"/>
    <mergeCell ref="B1:D1"/>
    <mergeCell ref="A2:D2"/>
    <mergeCell ref="A3:D3"/>
    <mergeCell ref="A6:A8"/>
    <mergeCell ref="B6:B8"/>
    <mergeCell ref="C6:C8"/>
  </mergeCells>
  <printOptions/>
  <pageMargins left="0.7086614173228347" right="0.7086614173228347" top="0.58" bottom="0.39" header="0.31496062992125984" footer="0.31496062992125984"/>
  <pageSetup horizontalDpi="600" verticalDpi="600" orientation="landscape" paperSize="9" scale="73" r:id="rId1"/>
  <rowBreaks count="1" manualBreakCount="1">
    <brk id="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view="pageBreakPreview" zoomScale="82" zoomScaleSheetLayoutView="82" zoomScalePageLayoutView="0" workbookViewId="0" topLeftCell="B10">
      <selection activeCell="A17" sqref="A17:D17"/>
    </sheetView>
  </sheetViews>
  <sheetFormatPr defaultColWidth="10.421875" defaultRowHeight="15"/>
  <cols>
    <col min="1" max="1" width="5.140625" style="174" customWidth="1"/>
    <col min="2" max="2" width="29.7109375" style="174" customWidth="1"/>
    <col min="3" max="3" width="71.57421875" style="174" bestFit="1" customWidth="1"/>
    <col min="4" max="4" width="71.28125" style="174" customWidth="1"/>
    <col min="5" max="16384" width="10.421875" style="174" customWidth="1"/>
  </cols>
  <sheetData>
    <row r="1" spans="2:4" ht="91.5" customHeight="1">
      <c r="B1" s="609" t="s">
        <v>93</v>
      </c>
      <c r="C1" s="609"/>
      <c r="D1" s="609"/>
    </row>
    <row r="2" spans="2:4" ht="10.5" customHeight="1">
      <c r="B2" s="185"/>
      <c r="C2" s="185"/>
      <c r="D2" s="185"/>
    </row>
    <row r="3" spans="1:4" ht="23.25" customHeight="1">
      <c r="A3" s="579" t="s">
        <v>97</v>
      </c>
      <c r="B3" s="615"/>
      <c r="C3" s="615"/>
      <c r="D3" s="615"/>
    </row>
    <row r="4" spans="1:4" ht="24.75" customHeight="1">
      <c r="A4" s="614" t="s">
        <v>96</v>
      </c>
      <c r="B4" s="614"/>
      <c r="C4" s="614"/>
      <c r="D4" s="614"/>
    </row>
    <row r="5" ht="24" customHeight="1"/>
    <row r="6" spans="1:4" ht="31.5">
      <c r="A6" s="180" t="s">
        <v>48</v>
      </c>
      <c r="B6" s="191" t="s">
        <v>47</v>
      </c>
      <c r="C6" s="191" t="s">
        <v>46</v>
      </c>
      <c r="D6" s="192" t="s">
        <v>45</v>
      </c>
    </row>
    <row r="7" spans="1:4" ht="25.5" customHeight="1">
      <c r="A7" s="604">
        <v>1</v>
      </c>
      <c r="B7" s="585" t="s">
        <v>44</v>
      </c>
      <c r="C7" s="603" t="s">
        <v>43</v>
      </c>
      <c r="D7" s="193" t="s">
        <v>42</v>
      </c>
    </row>
    <row r="8" spans="1:4" ht="73.5" customHeight="1">
      <c r="A8" s="604"/>
      <c r="B8" s="585"/>
      <c r="C8" s="603"/>
      <c r="D8" s="179" t="s">
        <v>41</v>
      </c>
    </row>
    <row r="9" spans="1:4" ht="40.5" customHeight="1">
      <c r="A9" s="604"/>
      <c r="B9" s="585"/>
      <c r="C9" s="603"/>
      <c r="D9" s="179" t="s">
        <v>40</v>
      </c>
    </row>
    <row r="10" spans="1:4" ht="62.25" customHeight="1">
      <c r="A10" s="611">
        <v>2</v>
      </c>
      <c r="B10" s="594" t="s">
        <v>39</v>
      </c>
      <c r="C10" s="606" t="s">
        <v>98</v>
      </c>
      <c r="D10" s="179" t="s">
        <v>38</v>
      </c>
    </row>
    <row r="11" spans="1:4" ht="59.25" customHeight="1">
      <c r="A11" s="611"/>
      <c r="B11" s="594"/>
      <c r="C11" s="606"/>
      <c r="D11" s="179" t="s">
        <v>37</v>
      </c>
    </row>
    <row r="12" spans="1:4" ht="49.5" customHeight="1">
      <c r="A12" s="612"/>
      <c r="B12" s="605" t="s">
        <v>36</v>
      </c>
      <c r="C12" s="607"/>
      <c r="D12" s="179" t="s">
        <v>35</v>
      </c>
    </row>
    <row r="13" spans="1:4" ht="48.75" customHeight="1">
      <c r="A13" s="613">
        <v>3</v>
      </c>
      <c r="B13" s="608" t="s">
        <v>34</v>
      </c>
      <c r="C13" s="610" t="s">
        <v>91</v>
      </c>
      <c r="D13" s="179" t="s">
        <v>33</v>
      </c>
    </row>
    <row r="14" spans="1:4" ht="35.25" customHeight="1">
      <c r="A14" s="611"/>
      <c r="B14" s="594"/>
      <c r="C14" s="606"/>
      <c r="D14" s="179" t="s">
        <v>32</v>
      </c>
    </row>
    <row r="15" spans="1:4" ht="107.25" customHeight="1">
      <c r="A15" s="612"/>
      <c r="B15" s="605"/>
      <c r="C15" s="607"/>
      <c r="D15" s="178" t="s">
        <v>92</v>
      </c>
    </row>
    <row r="16" spans="1:4" ht="9" customHeight="1">
      <c r="A16" s="176"/>
      <c r="B16" s="177"/>
      <c r="C16" s="176"/>
      <c r="D16" s="175"/>
    </row>
    <row r="17" spans="1:4" ht="25.5" customHeight="1">
      <c r="A17" s="599" t="s">
        <v>31</v>
      </c>
      <c r="B17" s="599"/>
      <c r="C17" s="599"/>
      <c r="D17" s="599"/>
    </row>
  </sheetData>
  <sheetProtection/>
  <mergeCells count="13">
    <mergeCell ref="B1:D1"/>
    <mergeCell ref="C13:C15"/>
    <mergeCell ref="A10:A12"/>
    <mergeCell ref="A13:A15"/>
    <mergeCell ref="A4:D4"/>
    <mergeCell ref="A3:D3"/>
    <mergeCell ref="A17:D17"/>
    <mergeCell ref="B7:B9"/>
    <mergeCell ref="C7:C9"/>
    <mergeCell ref="A7:A9"/>
    <mergeCell ref="B10:B12"/>
    <mergeCell ref="C10:C12"/>
    <mergeCell ref="B13:B15"/>
  </mergeCells>
  <printOptions/>
  <pageMargins left="0.7086614173228347" right="0.7086614173228347" top="0.58" bottom="0.39" header="0.31496062992125984" footer="0.31496062992125984"/>
  <pageSetup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66"/>
  <sheetViews>
    <sheetView view="pageBreakPreview" zoomScale="60" zoomScaleNormal="70" zoomScalePageLayoutView="0" workbookViewId="0" topLeftCell="B4">
      <selection activeCell="E1" sqref="E1:R1"/>
    </sheetView>
  </sheetViews>
  <sheetFormatPr defaultColWidth="9.140625" defaultRowHeight="15"/>
  <cols>
    <col min="1" max="1" width="8.28125" style="14" hidden="1" customWidth="1"/>
    <col min="2" max="2" width="133.28125" style="13" customWidth="1"/>
    <col min="3" max="3" width="11.7109375" style="14" customWidth="1"/>
    <col min="4" max="4" width="10.7109375" style="14" customWidth="1"/>
    <col min="5" max="5" width="13.28125" style="14" customWidth="1"/>
    <col min="6" max="6" width="8.8515625" style="14" customWidth="1"/>
    <col min="7" max="7" width="14.8515625" style="14" customWidth="1"/>
    <col min="8" max="8" width="21.140625" style="14" hidden="1" customWidth="1"/>
    <col min="9" max="9" width="21.8515625" style="14" hidden="1" customWidth="1"/>
    <col min="10" max="10" width="25.421875" style="14" hidden="1" customWidth="1"/>
    <col min="11" max="11" width="26.7109375" style="14" hidden="1" customWidth="1"/>
    <col min="12" max="13" width="25.421875" style="14" hidden="1" customWidth="1"/>
    <col min="14" max="14" width="32.7109375" style="14" hidden="1" customWidth="1"/>
    <col min="15" max="15" width="31.28125" style="14" hidden="1" customWidth="1"/>
    <col min="16" max="16" width="25.421875" style="14" hidden="1" customWidth="1"/>
    <col min="17" max="17" width="22.57421875" style="13" hidden="1" customWidth="1"/>
    <col min="18" max="18" width="26.57421875" style="67" customWidth="1"/>
    <col min="19" max="20" width="23.7109375" style="13" hidden="1" customWidth="1"/>
    <col min="21" max="21" width="1.421875" style="13" customWidth="1"/>
    <col min="22" max="23" width="14.7109375" style="13" hidden="1" customWidth="1"/>
    <col min="24" max="28" width="20.7109375" style="13" hidden="1" customWidth="1"/>
    <col min="29" max="29" width="20.7109375" style="14" hidden="1" customWidth="1"/>
    <col min="30" max="31" width="20.7109375" style="13" hidden="1" customWidth="1"/>
    <col min="32" max="35" width="0" style="13" hidden="1" customWidth="1"/>
    <col min="36" max="16384" width="9.140625" style="13" customWidth="1"/>
  </cols>
  <sheetData>
    <row r="1" spans="5:19" ht="105.75" customHeight="1">
      <c r="E1" s="616" t="s">
        <v>380</v>
      </c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83"/>
    </row>
    <row r="2" spans="1:21" ht="25.5" customHeight="1">
      <c r="A2" s="624" t="s">
        <v>252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12"/>
    </row>
    <row r="3" spans="1:17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31" ht="36.75" customHeight="1">
      <c r="A4" s="625" t="s">
        <v>253</v>
      </c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6"/>
      <c r="S4" s="466"/>
      <c r="T4" s="626"/>
      <c r="U4" s="5"/>
      <c r="V4" s="454"/>
      <c r="W4" s="454"/>
      <c r="X4" s="4"/>
      <c r="Y4" s="16"/>
      <c r="Z4" s="4"/>
      <c r="AA4" s="16"/>
      <c r="AB4" s="4"/>
      <c r="AC4" s="4"/>
      <c r="AD4" s="4"/>
      <c r="AE4" s="3"/>
    </row>
    <row r="5" spans="1:31" ht="9.75" customHeight="1" thickBot="1">
      <c r="A5" s="17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76"/>
      <c r="S5" s="18"/>
      <c r="T5" s="5"/>
      <c r="U5" s="5"/>
      <c r="V5" s="454"/>
      <c r="W5" s="454"/>
      <c r="X5" s="4"/>
      <c r="Y5" s="16"/>
      <c r="Z5" s="4"/>
      <c r="AA5" s="16"/>
      <c r="AB5" s="4"/>
      <c r="AC5" s="4"/>
      <c r="AD5" s="4"/>
      <c r="AE5" s="4"/>
    </row>
    <row r="6" spans="1:31" ht="18.75" customHeight="1">
      <c r="A6" s="633" t="s">
        <v>254</v>
      </c>
      <c r="B6" s="636" t="s">
        <v>255</v>
      </c>
      <c r="C6" s="617" t="s">
        <v>256</v>
      </c>
      <c r="D6" s="617" t="s">
        <v>257</v>
      </c>
      <c r="E6" s="617" t="s">
        <v>258</v>
      </c>
      <c r="F6" s="617" t="s">
        <v>259</v>
      </c>
      <c r="G6" s="617" t="s">
        <v>260</v>
      </c>
      <c r="H6" s="617" t="s">
        <v>261</v>
      </c>
      <c r="I6" s="621" t="s">
        <v>262</v>
      </c>
      <c r="J6" s="622"/>
      <c r="K6" s="622"/>
      <c r="L6" s="622"/>
      <c r="M6" s="622"/>
      <c r="N6" s="622"/>
      <c r="O6" s="622"/>
      <c r="P6" s="623"/>
      <c r="Q6" s="617" t="s">
        <v>263</v>
      </c>
      <c r="R6" s="627" t="s">
        <v>264</v>
      </c>
      <c r="S6" s="617" t="s">
        <v>265</v>
      </c>
      <c r="T6" s="630" t="s">
        <v>266</v>
      </c>
      <c r="U6" s="4"/>
      <c r="V6" s="460" t="s">
        <v>267</v>
      </c>
      <c r="W6" s="460"/>
      <c r="X6" s="461" t="s">
        <v>268</v>
      </c>
      <c r="Y6" s="460" t="s">
        <v>269</v>
      </c>
      <c r="Z6" s="461" t="s">
        <v>270</v>
      </c>
      <c r="AA6" s="460" t="s">
        <v>271</v>
      </c>
      <c r="AB6" s="461" t="s">
        <v>272</v>
      </c>
      <c r="AC6" s="461" t="s">
        <v>273</v>
      </c>
      <c r="AD6" s="461" t="s">
        <v>274</v>
      </c>
      <c r="AE6" s="462" t="s">
        <v>275</v>
      </c>
    </row>
    <row r="7" spans="1:31" ht="51" customHeight="1">
      <c r="A7" s="634"/>
      <c r="B7" s="637"/>
      <c r="C7" s="618"/>
      <c r="D7" s="618"/>
      <c r="E7" s="618"/>
      <c r="F7" s="618"/>
      <c r="G7" s="618"/>
      <c r="H7" s="619"/>
      <c r="I7" s="19" t="s">
        <v>276</v>
      </c>
      <c r="J7" s="19" t="s">
        <v>277</v>
      </c>
      <c r="K7" s="19" t="s">
        <v>278</v>
      </c>
      <c r="L7" s="461" t="s">
        <v>279</v>
      </c>
      <c r="M7" s="461"/>
      <c r="N7" s="19" t="s">
        <v>280</v>
      </c>
      <c r="O7" s="19" t="s">
        <v>281</v>
      </c>
      <c r="P7" s="19" t="s">
        <v>282</v>
      </c>
      <c r="Q7" s="619"/>
      <c r="R7" s="628"/>
      <c r="S7" s="619"/>
      <c r="T7" s="631"/>
      <c r="U7" s="20"/>
      <c r="V7" s="463"/>
      <c r="W7" s="463"/>
      <c r="X7" s="461"/>
      <c r="Y7" s="460"/>
      <c r="Z7" s="461"/>
      <c r="AA7" s="460"/>
      <c r="AB7" s="461"/>
      <c r="AC7" s="461"/>
      <c r="AD7" s="461"/>
      <c r="AE7" s="463"/>
    </row>
    <row r="8" spans="1:31" ht="18" customHeight="1" hidden="1">
      <c r="A8" s="634"/>
      <c r="B8" s="637"/>
      <c r="C8" s="618"/>
      <c r="D8" s="618"/>
      <c r="E8" s="618"/>
      <c r="F8" s="618"/>
      <c r="G8" s="618"/>
      <c r="H8" s="619"/>
      <c r="I8" s="19" t="s">
        <v>283</v>
      </c>
      <c r="J8" s="19" t="s">
        <v>284</v>
      </c>
      <c r="K8" s="19" t="s">
        <v>285</v>
      </c>
      <c r="L8" s="19" t="s">
        <v>286</v>
      </c>
      <c r="M8" s="19" t="s">
        <v>287</v>
      </c>
      <c r="N8" s="19" t="s">
        <v>288</v>
      </c>
      <c r="O8" s="19" t="s">
        <v>289</v>
      </c>
      <c r="P8" s="19" t="s">
        <v>290</v>
      </c>
      <c r="Q8" s="619"/>
      <c r="R8" s="628"/>
      <c r="S8" s="619"/>
      <c r="T8" s="631"/>
      <c r="U8" s="20"/>
      <c r="V8" s="481" t="s">
        <v>291</v>
      </c>
      <c r="W8" s="482"/>
      <c r="X8" s="455" t="s">
        <v>292</v>
      </c>
      <c r="Y8" s="473" t="s">
        <v>293</v>
      </c>
      <c r="Z8" s="455" t="s">
        <v>294</v>
      </c>
      <c r="AA8" s="473" t="s">
        <v>295</v>
      </c>
      <c r="AB8" s="455" t="s">
        <v>296</v>
      </c>
      <c r="AC8" s="455" t="s">
        <v>297</v>
      </c>
      <c r="AD8" s="455" t="s">
        <v>297</v>
      </c>
      <c r="AE8" s="455" t="s">
        <v>297</v>
      </c>
    </row>
    <row r="9" spans="1:31" ht="32.25" customHeight="1" hidden="1">
      <c r="A9" s="634"/>
      <c r="B9" s="637"/>
      <c r="C9" s="618"/>
      <c r="D9" s="618"/>
      <c r="E9" s="618"/>
      <c r="F9" s="618"/>
      <c r="G9" s="618"/>
      <c r="H9" s="620"/>
      <c r="I9" s="21">
        <v>0.025</v>
      </c>
      <c r="J9" s="21">
        <v>0.00504</v>
      </c>
      <c r="K9" s="21">
        <v>0.03</v>
      </c>
      <c r="L9" s="21">
        <v>0.006</v>
      </c>
      <c r="M9" s="21">
        <v>0.0005</v>
      </c>
      <c r="N9" s="21">
        <f>'[1]ПИР'!L95+0.2%</f>
        <v>0.0723</v>
      </c>
      <c r="O9" s="21">
        <v>0.0214</v>
      </c>
      <c r="P9" s="22">
        <v>0.03</v>
      </c>
      <c r="Q9" s="620"/>
      <c r="R9" s="629"/>
      <c r="S9" s="620"/>
      <c r="T9" s="632"/>
      <c r="U9" s="20"/>
      <c r="V9" s="23" t="s">
        <v>298</v>
      </c>
      <c r="W9" s="23" t="s">
        <v>299</v>
      </c>
      <c r="X9" s="464"/>
      <c r="Y9" s="474"/>
      <c r="Z9" s="464"/>
      <c r="AA9" s="474"/>
      <c r="AB9" s="483"/>
      <c r="AC9" s="472"/>
      <c r="AD9" s="456"/>
      <c r="AE9" s="456"/>
    </row>
    <row r="10" spans="1:31" ht="19.5" customHeight="1">
      <c r="A10" s="635"/>
      <c r="B10" s="638"/>
      <c r="C10" s="464"/>
      <c r="D10" s="464"/>
      <c r="E10" s="464"/>
      <c r="F10" s="464"/>
      <c r="G10" s="464"/>
      <c r="H10" s="24" t="s">
        <v>300</v>
      </c>
      <c r="I10" s="24" t="s">
        <v>300</v>
      </c>
      <c r="J10" s="24" t="s">
        <v>300</v>
      </c>
      <c r="K10" s="24" t="s">
        <v>300</v>
      </c>
      <c r="L10" s="24" t="s">
        <v>300</v>
      </c>
      <c r="M10" s="24" t="s">
        <v>300</v>
      </c>
      <c r="N10" s="24" t="s">
        <v>300</v>
      </c>
      <c r="O10" s="24" t="s">
        <v>300</v>
      </c>
      <c r="P10" s="24" t="s">
        <v>300</v>
      </c>
      <c r="Q10" s="19" t="s">
        <v>301</v>
      </c>
      <c r="R10" s="74" t="s">
        <v>301</v>
      </c>
      <c r="S10" s="19" t="s">
        <v>301</v>
      </c>
      <c r="T10" s="25" t="s">
        <v>301</v>
      </c>
      <c r="U10" s="4"/>
      <c r="V10" s="457" t="s">
        <v>302</v>
      </c>
      <c r="W10" s="458"/>
      <c r="X10" s="458"/>
      <c r="Y10" s="458"/>
      <c r="Z10" s="458"/>
      <c r="AA10" s="458"/>
      <c r="AB10" s="458"/>
      <c r="AC10" s="458"/>
      <c r="AD10" s="458"/>
      <c r="AE10" s="459"/>
    </row>
    <row r="11" spans="1:31" ht="15.75">
      <c r="A11" s="26">
        <v>1</v>
      </c>
      <c r="B11" s="27">
        <v>2</v>
      </c>
      <c r="C11" s="28">
        <f>B11+1</f>
        <v>3</v>
      </c>
      <c r="D11" s="28">
        <f aca="true" t="shared" si="0" ref="D11:T11">C11+1</f>
        <v>4</v>
      </c>
      <c r="E11" s="28">
        <f t="shared" si="0"/>
        <v>5</v>
      </c>
      <c r="F11" s="28">
        <f t="shared" si="0"/>
        <v>6</v>
      </c>
      <c r="G11" s="28">
        <f t="shared" si="0"/>
        <v>7</v>
      </c>
      <c r="H11" s="28">
        <f t="shared" si="0"/>
        <v>8</v>
      </c>
      <c r="I11" s="28">
        <f t="shared" si="0"/>
        <v>9</v>
      </c>
      <c r="J11" s="28">
        <f t="shared" si="0"/>
        <v>10</v>
      </c>
      <c r="K11" s="28">
        <f t="shared" si="0"/>
        <v>11</v>
      </c>
      <c r="L11" s="28">
        <f t="shared" si="0"/>
        <v>12</v>
      </c>
      <c r="M11" s="28">
        <f t="shared" si="0"/>
        <v>13</v>
      </c>
      <c r="N11" s="28">
        <f t="shared" si="0"/>
        <v>14</v>
      </c>
      <c r="O11" s="28">
        <f t="shared" si="0"/>
        <v>15</v>
      </c>
      <c r="P11" s="28">
        <f t="shared" si="0"/>
        <v>16</v>
      </c>
      <c r="Q11" s="28">
        <f t="shared" si="0"/>
        <v>17</v>
      </c>
      <c r="R11" s="75">
        <f t="shared" si="0"/>
        <v>18</v>
      </c>
      <c r="S11" s="28">
        <f t="shared" si="0"/>
        <v>19</v>
      </c>
      <c r="T11" s="29">
        <f t="shared" si="0"/>
        <v>20</v>
      </c>
      <c r="U11" s="4"/>
      <c r="V11" s="30"/>
      <c r="W11" s="30"/>
      <c r="X11" s="30"/>
      <c r="Y11" s="30"/>
      <c r="Z11" s="30"/>
      <c r="AA11" s="30"/>
      <c r="AB11" s="30"/>
      <c r="AC11" s="31"/>
      <c r="AD11" s="30"/>
      <c r="AE11" s="30"/>
    </row>
    <row r="12" spans="1:31" s="39" customFormat="1" ht="29.25" customHeight="1">
      <c r="A12" s="32" t="s">
        <v>303</v>
      </c>
      <c r="B12" s="33" t="s">
        <v>304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5"/>
      <c r="U12" s="36"/>
      <c r="V12" s="37"/>
      <c r="W12" s="37">
        <f>ROUND(PRODUCT(W14+W17+W20)/3,2)</f>
        <v>141831.32</v>
      </c>
      <c r="X12" s="37"/>
      <c r="Y12" s="38">
        <v>167224</v>
      </c>
      <c r="Z12" s="37">
        <v>161448.51</v>
      </c>
      <c r="AA12" s="37">
        <v>284124</v>
      </c>
      <c r="AB12" s="38">
        <f>ROUND(PRODUCT(AB14+AB20)/2,2)</f>
        <v>204081.5</v>
      </c>
      <c r="AC12" s="38">
        <f>ROUND(PRODUCT(AC14+AC17)/2,2)</f>
        <v>256671.5</v>
      </c>
      <c r="AD12" s="38">
        <f>ROUND(PRODUCT(AD33+AD36+AD39)/3,2)</f>
        <v>259742.67</v>
      </c>
      <c r="AE12" s="37"/>
    </row>
    <row r="13" spans="1:31" s="49" customFormat="1" ht="36" customHeight="1">
      <c r="A13" s="40" t="s">
        <v>305</v>
      </c>
      <c r="B13" s="41" t="s">
        <v>306</v>
      </c>
      <c r="C13" s="42" t="s">
        <v>307</v>
      </c>
      <c r="D13" s="42" t="s">
        <v>308</v>
      </c>
      <c r="E13" s="42">
        <v>50</v>
      </c>
      <c r="F13" s="42">
        <v>1</v>
      </c>
      <c r="G13" s="42">
        <v>0.4</v>
      </c>
      <c r="H13" s="43">
        <v>175248.95</v>
      </c>
      <c r="I13" s="44">
        <f>ROUND(PRODUCT(H13*I9),2)</f>
        <v>4381.22</v>
      </c>
      <c r="J13" s="43">
        <f aca="true" t="shared" si="1" ref="J13:P13">ROUND(PRODUCT($H$13*J9),2)</f>
        <v>883.25</v>
      </c>
      <c r="K13" s="43">
        <f t="shared" si="1"/>
        <v>5257.47</v>
      </c>
      <c r="L13" s="43">
        <f t="shared" si="1"/>
        <v>1051.49</v>
      </c>
      <c r="M13" s="43">
        <f t="shared" si="1"/>
        <v>87.62</v>
      </c>
      <c r="N13" s="43">
        <f t="shared" si="1"/>
        <v>12670.5</v>
      </c>
      <c r="O13" s="43">
        <f t="shared" si="1"/>
        <v>3750.33</v>
      </c>
      <c r="P13" s="43">
        <f t="shared" si="1"/>
        <v>5257.47</v>
      </c>
      <c r="Q13" s="44">
        <f>H13+I13+J13+K13+L13+M13+N13+O13+P13</f>
        <v>208588.3</v>
      </c>
      <c r="R13" s="77">
        <f>ROUND(PRODUCT(Q13*'[1]индексы'!$L$19),2)</f>
        <v>214115.89</v>
      </c>
      <c r="S13" s="44">
        <f>ROUND(PRODUCT(Q13*'[1]индексы'!$H$19),2)</f>
        <v>786377.89</v>
      </c>
      <c r="T13" s="45">
        <f>ROUND(PRODUCT(R13*'[1]индексы'!$D$19),2)</f>
        <v>828628.49</v>
      </c>
      <c r="U13" s="46"/>
      <c r="V13" s="47"/>
      <c r="W13" s="47"/>
      <c r="X13" s="47"/>
      <c r="Y13" s="47"/>
      <c r="Z13" s="47"/>
      <c r="AA13" s="47"/>
      <c r="AB13" s="47"/>
      <c r="AC13" s="48"/>
      <c r="AD13" s="47"/>
      <c r="AE13" s="47"/>
    </row>
    <row r="14" spans="1:31" s="49" customFormat="1" ht="48" customHeight="1">
      <c r="A14" s="40" t="s">
        <v>309</v>
      </c>
      <c r="B14" s="41" t="s">
        <v>310</v>
      </c>
      <c r="C14" s="42" t="s">
        <v>307</v>
      </c>
      <c r="D14" s="42" t="s">
        <v>308</v>
      </c>
      <c r="E14" s="42">
        <v>50</v>
      </c>
      <c r="F14" s="42">
        <v>1</v>
      </c>
      <c r="G14" s="42">
        <v>0.4</v>
      </c>
      <c r="H14" s="43">
        <v>177867.35</v>
      </c>
      <c r="I14" s="43">
        <f aca="true" t="shared" si="2" ref="I14:P14">ROUND(PRODUCT($H$14*I9),2)</f>
        <v>4446.68</v>
      </c>
      <c r="J14" s="43">
        <f t="shared" si="2"/>
        <v>896.45</v>
      </c>
      <c r="K14" s="43">
        <f t="shared" si="2"/>
        <v>5336.02</v>
      </c>
      <c r="L14" s="43">
        <f t="shared" si="2"/>
        <v>1067.2</v>
      </c>
      <c r="M14" s="43">
        <f t="shared" si="2"/>
        <v>88.93</v>
      </c>
      <c r="N14" s="43">
        <f t="shared" si="2"/>
        <v>12859.81</v>
      </c>
      <c r="O14" s="43">
        <f t="shared" si="2"/>
        <v>3806.36</v>
      </c>
      <c r="P14" s="43">
        <f t="shared" si="2"/>
        <v>5336.02</v>
      </c>
      <c r="Q14" s="44">
        <f aca="true" t="shared" si="3" ref="Q14:Q21">H14+I14+J14+K14+L14+M14+N14+O14+P14</f>
        <v>211704.81999999998</v>
      </c>
      <c r="R14" s="77">
        <f>ROUND(PRODUCT(Q14*'[1]индексы'!$L$19),2)</f>
        <v>217315</v>
      </c>
      <c r="S14" s="44">
        <f>ROUND(PRODUCT(Q14*'[1]индексы'!$H$19),2)</f>
        <v>798127.17</v>
      </c>
      <c r="T14" s="45">
        <f>ROUND(PRODUCT(R14*'[1]индексы'!$D$19),2)</f>
        <v>841009.05</v>
      </c>
      <c r="U14" s="46"/>
      <c r="V14" s="47"/>
      <c r="W14" s="47">
        <v>124772.08</v>
      </c>
      <c r="X14" s="47"/>
      <c r="Y14" s="47"/>
      <c r="Z14" s="47"/>
      <c r="AA14" s="47"/>
      <c r="AB14" s="47">
        <v>183673</v>
      </c>
      <c r="AC14" s="48">
        <v>250196</v>
      </c>
      <c r="AD14" s="47"/>
      <c r="AE14" s="47"/>
    </row>
    <row r="15" spans="1:31" s="49" customFormat="1" ht="48" customHeight="1">
      <c r="A15" s="40" t="s">
        <v>311</v>
      </c>
      <c r="B15" s="41" t="s">
        <v>312</v>
      </c>
      <c r="C15" s="42" t="s">
        <v>307</v>
      </c>
      <c r="D15" s="42" t="s">
        <v>308</v>
      </c>
      <c r="E15" s="42">
        <v>50</v>
      </c>
      <c r="F15" s="42">
        <v>1</v>
      </c>
      <c r="G15" s="42">
        <v>0.4</v>
      </c>
      <c r="H15" s="43">
        <v>176320.29</v>
      </c>
      <c r="I15" s="43">
        <f>ROUND(PRODUCT($H$15*I9),2)</f>
        <v>4408.01</v>
      </c>
      <c r="J15" s="43">
        <f aca="true" t="shared" si="4" ref="J15:P15">ROUND(PRODUCT($H$15*J9),2)</f>
        <v>888.65</v>
      </c>
      <c r="K15" s="43">
        <f t="shared" si="4"/>
        <v>5289.61</v>
      </c>
      <c r="L15" s="43">
        <f t="shared" si="4"/>
        <v>1057.92</v>
      </c>
      <c r="M15" s="43">
        <f t="shared" si="4"/>
        <v>88.16</v>
      </c>
      <c r="N15" s="43">
        <f t="shared" si="4"/>
        <v>12747.96</v>
      </c>
      <c r="O15" s="43">
        <f t="shared" si="4"/>
        <v>3773.25</v>
      </c>
      <c r="P15" s="43">
        <f t="shared" si="4"/>
        <v>5289.61</v>
      </c>
      <c r="Q15" s="44">
        <f t="shared" si="3"/>
        <v>209863.46</v>
      </c>
      <c r="R15" s="77">
        <f>ROUND(PRODUCT(Q15*'[1]индексы'!$L$19),2)</f>
        <v>215424.84</v>
      </c>
      <c r="S15" s="44">
        <f>ROUND(PRODUCT(Q15*'[1]индексы'!$H$19),2)</f>
        <v>791185.24</v>
      </c>
      <c r="T15" s="45">
        <f>ROUND(PRODUCT(R15*'[1]индексы'!$D$19),2)</f>
        <v>833694.13</v>
      </c>
      <c r="U15" s="46"/>
      <c r="V15" s="47"/>
      <c r="W15" s="47"/>
      <c r="X15" s="47"/>
      <c r="Y15" s="47"/>
      <c r="Z15" s="47"/>
      <c r="AA15" s="47"/>
      <c r="AB15" s="47"/>
      <c r="AC15" s="48"/>
      <c r="AD15" s="47"/>
      <c r="AE15" s="47"/>
    </row>
    <row r="16" spans="1:31" s="49" customFormat="1" ht="36" customHeight="1">
      <c r="A16" s="40" t="s">
        <v>313</v>
      </c>
      <c r="B16" s="41" t="s">
        <v>314</v>
      </c>
      <c r="C16" s="42" t="s">
        <v>307</v>
      </c>
      <c r="D16" s="42" t="s">
        <v>308</v>
      </c>
      <c r="E16" s="42">
        <v>70</v>
      </c>
      <c r="F16" s="42">
        <v>1</v>
      </c>
      <c r="G16" s="42">
        <v>0.4</v>
      </c>
      <c r="H16" s="43">
        <v>187415.83</v>
      </c>
      <c r="I16" s="43">
        <f aca="true" t="shared" si="5" ref="I16:P16">ROUND(PRODUCT($H$16*I9),2)</f>
        <v>4685.4</v>
      </c>
      <c r="J16" s="43">
        <f t="shared" si="5"/>
        <v>944.58</v>
      </c>
      <c r="K16" s="43">
        <f t="shared" si="5"/>
        <v>5622.47</v>
      </c>
      <c r="L16" s="43">
        <f t="shared" si="5"/>
        <v>1124.49</v>
      </c>
      <c r="M16" s="43">
        <f t="shared" si="5"/>
        <v>93.71</v>
      </c>
      <c r="N16" s="43">
        <f t="shared" si="5"/>
        <v>13550.16</v>
      </c>
      <c r="O16" s="43">
        <f t="shared" si="5"/>
        <v>4010.7</v>
      </c>
      <c r="P16" s="43">
        <f t="shared" si="5"/>
        <v>5622.47</v>
      </c>
      <c r="Q16" s="44">
        <f t="shared" si="3"/>
        <v>223069.80999999997</v>
      </c>
      <c r="R16" s="77">
        <f>ROUND(PRODUCT(Q16*'[1]индексы'!$L$19),2)</f>
        <v>228981.16</v>
      </c>
      <c r="S16" s="44">
        <f>ROUND(PRODUCT(Q16*'[1]индексы'!$H$19),2)</f>
        <v>840973.18</v>
      </c>
      <c r="T16" s="45">
        <f>ROUND(PRODUCT(R16*'[1]индексы'!$D$19),2)</f>
        <v>886157.09</v>
      </c>
      <c r="U16" s="46"/>
      <c r="V16" s="47"/>
      <c r="W16" s="47"/>
      <c r="X16" s="47"/>
      <c r="Y16" s="47"/>
      <c r="Z16" s="47"/>
      <c r="AA16" s="47"/>
      <c r="AB16" s="47"/>
      <c r="AC16" s="48"/>
      <c r="AD16" s="47"/>
      <c r="AE16" s="47"/>
    </row>
    <row r="17" spans="1:31" s="49" customFormat="1" ht="49.5" customHeight="1">
      <c r="A17" s="40" t="s">
        <v>315</v>
      </c>
      <c r="B17" s="41" t="s">
        <v>316</v>
      </c>
      <c r="C17" s="42" t="s">
        <v>307</v>
      </c>
      <c r="D17" s="42" t="s">
        <v>308</v>
      </c>
      <c r="E17" s="42">
        <v>70</v>
      </c>
      <c r="F17" s="42">
        <v>1</v>
      </c>
      <c r="G17" s="42">
        <v>0.4</v>
      </c>
      <c r="H17" s="43">
        <v>190034.23</v>
      </c>
      <c r="I17" s="43">
        <f aca="true" t="shared" si="6" ref="I17:P17">ROUND(PRODUCT($H$17*I9),2)</f>
        <v>4750.86</v>
      </c>
      <c r="J17" s="43">
        <f t="shared" si="6"/>
        <v>957.77</v>
      </c>
      <c r="K17" s="43">
        <f t="shared" si="6"/>
        <v>5701.03</v>
      </c>
      <c r="L17" s="43">
        <f t="shared" si="6"/>
        <v>1140.21</v>
      </c>
      <c r="M17" s="43">
        <f t="shared" si="6"/>
        <v>95.02</v>
      </c>
      <c r="N17" s="43">
        <f t="shared" si="6"/>
        <v>13739.47</v>
      </c>
      <c r="O17" s="43">
        <f t="shared" si="6"/>
        <v>4066.73</v>
      </c>
      <c r="P17" s="43">
        <f t="shared" si="6"/>
        <v>5701.03</v>
      </c>
      <c r="Q17" s="44">
        <f t="shared" si="3"/>
        <v>226186.34999999998</v>
      </c>
      <c r="R17" s="77">
        <f>ROUND(PRODUCT(Q17*'[1]индексы'!$L$19),2)</f>
        <v>232180.29</v>
      </c>
      <c r="S17" s="44">
        <f>ROUND(PRODUCT(Q17*'[1]индексы'!$H$19),2)</f>
        <v>852722.54</v>
      </c>
      <c r="T17" s="45">
        <f>ROUND(PRODUCT(R17*'[1]индексы'!$D$19),2)</f>
        <v>898537.72</v>
      </c>
      <c r="U17" s="46"/>
      <c r="V17" s="47"/>
      <c r="W17" s="47">
        <v>137619.07</v>
      </c>
      <c r="X17" s="47"/>
      <c r="Y17" s="47"/>
      <c r="Z17" s="47"/>
      <c r="AA17" s="47"/>
      <c r="AB17" s="47"/>
      <c r="AC17" s="48">
        <v>263147</v>
      </c>
      <c r="AD17" s="47"/>
      <c r="AE17" s="47"/>
    </row>
    <row r="18" spans="1:31" s="49" customFormat="1" ht="49.5" customHeight="1">
      <c r="A18" s="40" t="s">
        <v>317</v>
      </c>
      <c r="B18" s="41" t="s">
        <v>318</v>
      </c>
      <c r="C18" s="42" t="s">
        <v>307</v>
      </c>
      <c r="D18" s="42" t="s">
        <v>308</v>
      </c>
      <c r="E18" s="42">
        <v>70</v>
      </c>
      <c r="F18" s="42">
        <v>1</v>
      </c>
      <c r="G18" s="42">
        <v>0.4</v>
      </c>
      <c r="H18" s="43">
        <v>188487.17</v>
      </c>
      <c r="I18" s="43">
        <f>ROUND(PRODUCT($H$18*I9),2)</f>
        <v>4712.18</v>
      </c>
      <c r="J18" s="43">
        <f aca="true" t="shared" si="7" ref="J18:P18">ROUND(PRODUCT($H$18*J9),2)</f>
        <v>949.98</v>
      </c>
      <c r="K18" s="43">
        <f t="shared" si="7"/>
        <v>5654.62</v>
      </c>
      <c r="L18" s="43">
        <f t="shared" si="7"/>
        <v>1130.92</v>
      </c>
      <c r="M18" s="43">
        <f t="shared" si="7"/>
        <v>94.24</v>
      </c>
      <c r="N18" s="43">
        <f t="shared" si="7"/>
        <v>13627.62</v>
      </c>
      <c r="O18" s="43">
        <f t="shared" si="7"/>
        <v>4033.63</v>
      </c>
      <c r="P18" s="43">
        <f t="shared" si="7"/>
        <v>5654.62</v>
      </c>
      <c r="Q18" s="44">
        <f t="shared" si="3"/>
        <v>224344.98</v>
      </c>
      <c r="R18" s="77">
        <f>ROUND(PRODUCT(Q18*'[1]индексы'!$L$19),2)</f>
        <v>230290.12</v>
      </c>
      <c r="S18" s="44">
        <f>ROUND(PRODUCT(Q18*'[1]индексы'!$H$19),2)</f>
        <v>845780.57</v>
      </c>
      <c r="T18" s="45">
        <f>ROUND(PRODUCT(R18*'[1]индексы'!$D$19),2)</f>
        <v>891222.76</v>
      </c>
      <c r="U18" s="46"/>
      <c r="V18" s="47"/>
      <c r="W18" s="47"/>
      <c r="X18" s="47"/>
      <c r="Y18" s="47"/>
      <c r="Z18" s="47"/>
      <c r="AA18" s="47"/>
      <c r="AB18" s="47"/>
      <c r="AC18" s="48"/>
      <c r="AD18" s="47"/>
      <c r="AE18" s="47"/>
    </row>
    <row r="19" spans="1:31" s="49" customFormat="1" ht="36" customHeight="1">
      <c r="A19" s="40" t="s">
        <v>319</v>
      </c>
      <c r="B19" s="41" t="s">
        <v>320</v>
      </c>
      <c r="C19" s="42" t="s">
        <v>307</v>
      </c>
      <c r="D19" s="42" t="s">
        <v>308</v>
      </c>
      <c r="E19" s="42">
        <v>95</v>
      </c>
      <c r="F19" s="42">
        <v>1</v>
      </c>
      <c r="G19" s="42">
        <v>0.4</v>
      </c>
      <c r="H19" s="43">
        <v>207693.95</v>
      </c>
      <c r="I19" s="43">
        <f aca="true" t="shared" si="8" ref="I19:P19">ROUND(PRODUCT($H$19*I9),2)</f>
        <v>5192.35</v>
      </c>
      <c r="J19" s="43">
        <f t="shared" si="8"/>
        <v>1046.78</v>
      </c>
      <c r="K19" s="43">
        <f t="shared" si="8"/>
        <v>6230.82</v>
      </c>
      <c r="L19" s="43">
        <f t="shared" si="8"/>
        <v>1246.16</v>
      </c>
      <c r="M19" s="43">
        <f t="shared" si="8"/>
        <v>103.85</v>
      </c>
      <c r="N19" s="43">
        <f t="shared" si="8"/>
        <v>15016.27</v>
      </c>
      <c r="O19" s="43">
        <f t="shared" si="8"/>
        <v>4444.65</v>
      </c>
      <c r="P19" s="43">
        <f t="shared" si="8"/>
        <v>6230.82</v>
      </c>
      <c r="Q19" s="44">
        <f t="shared" si="3"/>
        <v>247205.65000000002</v>
      </c>
      <c r="R19" s="77">
        <f>ROUND(PRODUCT(Q19*'[1]индексы'!$L$19),2)</f>
        <v>253756.6</v>
      </c>
      <c r="S19" s="44">
        <f>ROUND(PRODUCT(Q19*'[1]индексы'!$H$19),2)</f>
        <v>931965.3</v>
      </c>
      <c r="T19" s="45">
        <f>ROUND(PRODUCT(R19*'[1]индексы'!$D$19),2)</f>
        <v>982038.04</v>
      </c>
      <c r="U19" s="46"/>
      <c r="V19" s="47"/>
      <c r="W19" s="47"/>
      <c r="X19" s="47"/>
      <c r="Y19" s="47"/>
      <c r="Z19" s="47"/>
      <c r="AA19" s="47"/>
      <c r="AB19" s="47"/>
      <c r="AC19" s="48"/>
      <c r="AD19" s="47"/>
      <c r="AE19" s="47"/>
    </row>
    <row r="20" spans="1:31" s="49" customFormat="1" ht="47.25" customHeight="1">
      <c r="A20" s="40" t="s">
        <v>321</v>
      </c>
      <c r="B20" s="41" t="s">
        <v>322</v>
      </c>
      <c r="C20" s="42" t="s">
        <v>307</v>
      </c>
      <c r="D20" s="42" t="s">
        <v>308</v>
      </c>
      <c r="E20" s="42">
        <v>95</v>
      </c>
      <c r="F20" s="42">
        <v>1</v>
      </c>
      <c r="G20" s="42">
        <v>0.4</v>
      </c>
      <c r="H20" s="43">
        <v>210312.35</v>
      </c>
      <c r="I20" s="43">
        <f aca="true" t="shared" si="9" ref="I20:P20">ROUND(PRODUCT($H$20*I9),2)</f>
        <v>5257.81</v>
      </c>
      <c r="J20" s="43">
        <f t="shared" si="9"/>
        <v>1059.97</v>
      </c>
      <c r="K20" s="43">
        <f t="shared" si="9"/>
        <v>6309.37</v>
      </c>
      <c r="L20" s="43">
        <f t="shared" si="9"/>
        <v>1261.87</v>
      </c>
      <c r="M20" s="43">
        <f t="shared" si="9"/>
        <v>105.16</v>
      </c>
      <c r="N20" s="43">
        <f t="shared" si="9"/>
        <v>15205.58</v>
      </c>
      <c r="O20" s="43">
        <f t="shared" si="9"/>
        <v>4500.68</v>
      </c>
      <c r="P20" s="43">
        <f t="shared" si="9"/>
        <v>6309.37</v>
      </c>
      <c r="Q20" s="44">
        <f t="shared" si="3"/>
        <v>250322.15999999997</v>
      </c>
      <c r="R20" s="77">
        <f>ROUND(PRODUCT(Q20*'[1]индексы'!$L$19),2)</f>
        <v>256955.7</v>
      </c>
      <c r="S20" s="44">
        <f>ROUND(PRODUCT(Q20*'[1]индексы'!$H$19),2)</f>
        <v>943714.54</v>
      </c>
      <c r="T20" s="45">
        <f>ROUND(PRODUCT(R20*'[1]индексы'!$D$19),2)</f>
        <v>994418.56</v>
      </c>
      <c r="U20" s="46"/>
      <c r="V20" s="47"/>
      <c r="W20" s="47">
        <v>163102.8</v>
      </c>
      <c r="X20" s="47"/>
      <c r="Y20" s="47"/>
      <c r="Z20" s="47"/>
      <c r="AA20" s="47"/>
      <c r="AB20" s="47">
        <v>224490</v>
      </c>
      <c r="AC20" s="48"/>
      <c r="AD20" s="47"/>
      <c r="AE20" s="47"/>
    </row>
    <row r="21" spans="1:31" s="49" customFormat="1" ht="49.5" customHeight="1">
      <c r="A21" s="40" t="s">
        <v>323</v>
      </c>
      <c r="B21" s="41" t="s">
        <v>324</v>
      </c>
      <c r="C21" s="42" t="s">
        <v>307</v>
      </c>
      <c r="D21" s="42" t="s">
        <v>308</v>
      </c>
      <c r="E21" s="42">
        <v>95</v>
      </c>
      <c r="F21" s="42">
        <v>1</v>
      </c>
      <c r="G21" s="42">
        <v>0.4</v>
      </c>
      <c r="H21" s="43">
        <v>208765.29</v>
      </c>
      <c r="I21" s="43">
        <f>ROUND(PRODUCT($H$21*I9),2)</f>
        <v>5219.13</v>
      </c>
      <c r="J21" s="43">
        <f aca="true" t="shared" si="10" ref="J21:P21">ROUND(PRODUCT($H$21*J9),2)</f>
        <v>1052.18</v>
      </c>
      <c r="K21" s="43">
        <f t="shared" si="10"/>
        <v>6262.96</v>
      </c>
      <c r="L21" s="43">
        <f t="shared" si="10"/>
        <v>1252.59</v>
      </c>
      <c r="M21" s="43">
        <f t="shared" si="10"/>
        <v>104.38</v>
      </c>
      <c r="N21" s="43">
        <f t="shared" si="10"/>
        <v>15093.73</v>
      </c>
      <c r="O21" s="43">
        <f t="shared" si="10"/>
        <v>4467.58</v>
      </c>
      <c r="P21" s="43">
        <f t="shared" si="10"/>
        <v>6262.96</v>
      </c>
      <c r="Q21" s="44">
        <f t="shared" si="3"/>
        <v>248480.8</v>
      </c>
      <c r="R21" s="77">
        <f>ROUND(PRODUCT(Q21*'[1]индексы'!$L$19),2)</f>
        <v>255065.54</v>
      </c>
      <c r="S21" s="44">
        <f>ROUND(PRODUCT(Q21*'[1]индексы'!$H$19),2)</f>
        <v>936772.62</v>
      </c>
      <c r="T21" s="45">
        <f>ROUND(PRODUCT(R21*'[1]индексы'!$D$19),2)</f>
        <v>987103.64</v>
      </c>
      <c r="U21" s="46"/>
      <c r="V21" s="47"/>
      <c r="W21" s="47"/>
      <c r="X21" s="47"/>
      <c r="Y21" s="47"/>
      <c r="Z21" s="47"/>
      <c r="AA21" s="47"/>
      <c r="AB21" s="47"/>
      <c r="AC21" s="48"/>
      <c r="AD21" s="47"/>
      <c r="AE21" s="47"/>
    </row>
    <row r="22" spans="1:31" s="39" customFormat="1" ht="26.25" customHeight="1">
      <c r="A22" s="32" t="s">
        <v>325</v>
      </c>
      <c r="B22" s="33" t="s">
        <v>326</v>
      </c>
      <c r="C22" s="34"/>
      <c r="D22" s="34"/>
      <c r="E22" s="34"/>
      <c r="F22" s="34"/>
      <c r="G22" s="34"/>
      <c r="H22" s="50"/>
      <c r="I22" s="50"/>
      <c r="J22" s="50"/>
      <c r="K22" s="50"/>
      <c r="L22" s="50"/>
      <c r="M22" s="50"/>
      <c r="N22" s="50"/>
      <c r="O22" s="50"/>
      <c r="P22" s="50"/>
      <c r="Q22" s="51"/>
      <c r="R22" s="51"/>
      <c r="S22" s="51"/>
      <c r="T22" s="52"/>
      <c r="U22" s="53"/>
      <c r="V22" s="37"/>
      <c r="W22" s="37">
        <f>ROUND(PRODUCT(W33+W36+W39)/3,2)</f>
        <v>186909.8</v>
      </c>
      <c r="X22" s="37">
        <f>ROUND(PRODUCT(X33+X36+X39)/3,2)</f>
        <v>409369.72</v>
      </c>
      <c r="Y22" s="38">
        <v>223210</v>
      </c>
      <c r="Z22" s="37">
        <v>182667.18</v>
      </c>
      <c r="AA22" s="37">
        <v>283303</v>
      </c>
      <c r="AB22" s="37">
        <v>236735</v>
      </c>
      <c r="AC22" s="38">
        <f>ROUND(PRODUCT(AC33+AC36)/2,2)</f>
        <v>265897</v>
      </c>
      <c r="AD22" s="38">
        <f>ROUND(PRODUCT(AD33+AD36+AD39)/3,2)</f>
        <v>259742.67</v>
      </c>
      <c r="AE22" s="38">
        <f>ROUND(PRODUCT(AE33+AE36+AE39)/3,2)</f>
        <v>324776.47</v>
      </c>
    </row>
    <row r="23" spans="1:31" s="49" customFormat="1" ht="39" customHeight="1">
      <c r="A23" s="40" t="s">
        <v>327</v>
      </c>
      <c r="B23" s="41" t="s">
        <v>328</v>
      </c>
      <c r="C23" s="42" t="s">
        <v>307</v>
      </c>
      <c r="D23" s="42" t="s">
        <v>329</v>
      </c>
      <c r="E23" s="42">
        <v>50</v>
      </c>
      <c r="F23" s="42">
        <v>1</v>
      </c>
      <c r="G23" s="54" t="s">
        <v>330</v>
      </c>
      <c r="H23" s="43">
        <v>373956.59</v>
      </c>
      <c r="I23" s="43">
        <f>ROUND(PRODUCT($H$23*I9),2)</f>
        <v>9348.91</v>
      </c>
      <c r="J23" s="43">
        <f aca="true" t="shared" si="11" ref="J23:P23">ROUND(PRODUCT($H$23*J9),2)</f>
        <v>1884.74</v>
      </c>
      <c r="K23" s="43">
        <f t="shared" si="11"/>
        <v>11218.7</v>
      </c>
      <c r="L23" s="43">
        <f t="shared" si="11"/>
        <v>2243.74</v>
      </c>
      <c r="M23" s="43">
        <f t="shared" si="11"/>
        <v>186.98</v>
      </c>
      <c r="N23" s="43">
        <f t="shared" si="11"/>
        <v>27037.06</v>
      </c>
      <c r="O23" s="43">
        <f>ROUND(PRODUCT($H$23*O9),2)</f>
        <v>8002.67</v>
      </c>
      <c r="P23" s="43">
        <f t="shared" si="11"/>
        <v>11218.7</v>
      </c>
      <c r="Q23" s="44">
        <f>H23+I23+J23+K23+L23+M23+N23+O23+P23</f>
        <v>445098.08999999997</v>
      </c>
      <c r="R23" s="77">
        <f>ROUND(PRODUCT(Q23*'[1]индексы'!$L$20),2)</f>
        <v>523568.88</v>
      </c>
      <c r="S23" s="44">
        <f>ROUND(PRODUCT(Q23*'[1]индексы'!$H$20),2)</f>
        <v>1464372.72</v>
      </c>
      <c r="T23" s="45">
        <f>ROUND(PRODUCT(R23*'[1]индексы'!$D$20),2)</f>
        <v>2026211.57</v>
      </c>
      <c r="U23" s="46"/>
      <c r="V23" s="47"/>
      <c r="W23" s="47"/>
      <c r="X23" s="47"/>
      <c r="Y23" s="47"/>
      <c r="Z23" s="47"/>
      <c r="AA23" s="47"/>
      <c r="AB23" s="47"/>
      <c r="AC23" s="48"/>
      <c r="AD23" s="47"/>
      <c r="AE23" s="47"/>
    </row>
    <row r="24" spans="1:31" s="49" customFormat="1" ht="47.25" customHeight="1">
      <c r="A24" s="40" t="s">
        <v>331</v>
      </c>
      <c r="B24" s="41" t="s">
        <v>332</v>
      </c>
      <c r="C24" s="42" t="s">
        <v>307</v>
      </c>
      <c r="D24" s="42" t="s">
        <v>329</v>
      </c>
      <c r="E24" s="42">
        <v>50</v>
      </c>
      <c r="F24" s="42">
        <v>1</v>
      </c>
      <c r="G24" s="54" t="s">
        <v>330</v>
      </c>
      <c r="H24" s="43">
        <v>383077.29</v>
      </c>
      <c r="I24" s="43">
        <f>ROUND(PRODUCT($H$24*I9),2)</f>
        <v>9576.93</v>
      </c>
      <c r="J24" s="43">
        <f aca="true" t="shared" si="12" ref="J24:P24">ROUND(PRODUCT($H$24*J9),2)</f>
        <v>1930.71</v>
      </c>
      <c r="K24" s="43">
        <f t="shared" si="12"/>
        <v>11492.32</v>
      </c>
      <c r="L24" s="43">
        <f t="shared" si="12"/>
        <v>2298.46</v>
      </c>
      <c r="M24" s="43">
        <f t="shared" si="12"/>
        <v>191.54</v>
      </c>
      <c r="N24" s="43">
        <f t="shared" si="12"/>
        <v>27696.49</v>
      </c>
      <c r="O24" s="43">
        <f>ROUND(PRODUCT($H$24*O9),2)</f>
        <v>8197.85</v>
      </c>
      <c r="P24" s="43">
        <f t="shared" si="12"/>
        <v>11492.32</v>
      </c>
      <c r="Q24" s="44">
        <f aca="true" t="shared" si="13" ref="Q24:Q40">H24+I24+J24+K24+L24+M24+N24+O24+P24</f>
        <v>455953.91</v>
      </c>
      <c r="R24" s="77">
        <f>ROUND(PRODUCT(Q24*'[1]индексы'!$L$20),2)</f>
        <v>536338.58</v>
      </c>
      <c r="S24" s="44">
        <f>ROUND(PRODUCT(Q24*'[1]индексы'!$H$20),2)</f>
        <v>1500088.36</v>
      </c>
      <c r="T24" s="45">
        <f>ROUND(PRODUCT(R24*'[1]индексы'!$D$20),2)</f>
        <v>2075630.3</v>
      </c>
      <c r="U24" s="46"/>
      <c r="V24" s="47"/>
      <c r="W24" s="47"/>
      <c r="X24" s="47"/>
      <c r="Y24" s="47"/>
      <c r="Z24" s="47"/>
      <c r="AA24" s="47"/>
      <c r="AB24" s="47"/>
      <c r="AC24" s="48"/>
      <c r="AD24" s="47"/>
      <c r="AE24" s="47"/>
    </row>
    <row r="25" spans="1:31" s="49" customFormat="1" ht="42.75" customHeight="1">
      <c r="A25" s="40" t="s">
        <v>333</v>
      </c>
      <c r="B25" s="41" t="s">
        <v>334</v>
      </c>
      <c r="C25" s="42" t="s">
        <v>307</v>
      </c>
      <c r="D25" s="42" t="s">
        <v>329</v>
      </c>
      <c r="E25" s="42">
        <v>50</v>
      </c>
      <c r="F25" s="42">
        <v>1</v>
      </c>
      <c r="G25" s="54" t="s">
        <v>330</v>
      </c>
      <c r="H25" s="43">
        <v>379289.14</v>
      </c>
      <c r="I25" s="43">
        <f>ROUND(PRODUCT(($H$25)*I9),2)</f>
        <v>9482.23</v>
      </c>
      <c r="J25" s="43">
        <f aca="true" t="shared" si="14" ref="J25:P25">ROUND(PRODUCT(($H$25)*J9),2)</f>
        <v>1911.62</v>
      </c>
      <c r="K25" s="43">
        <f t="shared" si="14"/>
        <v>11378.67</v>
      </c>
      <c r="L25" s="43">
        <f t="shared" si="14"/>
        <v>2275.73</v>
      </c>
      <c r="M25" s="43">
        <f t="shared" si="14"/>
        <v>189.64</v>
      </c>
      <c r="N25" s="43">
        <f t="shared" si="14"/>
        <v>27422.6</v>
      </c>
      <c r="O25" s="43">
        <f t="shared" si="14"/>
        <v>8116.79</v>
      </c>
      <c r="P25" s="43">
        <f t="shared" si="14"/>
        <v>11378.67</v>
      </c>
      <c r="Q25" s="44">
        <f t="shared" si="13"/>
        <v>451445.0899999999</v>
      </c>
      <c r="R25" s="77">
        <f>ROUND(PRODUCT(Q25*'[1]индексы'!$L$20),2)</f>
        <v>531034.86</v>
      </c>
      <c r="S25" s="44">
        <f>ROUND(PRODUCT(Q25*'[1]индексы'!$H$20),2)</f>
        <v>1485254.35</v>
      </c>
      <c r="T25" s="45">
        <f>ROUND(PRODUCT(R25*'[1]индексы'!$D$20),2)</f>
        <v>2055104.91</v>
      </c>
      <c r="U25" s="46"/>
      <c r="V25" s="47"/>
      <c r="W25" s="47"/>
      <c r="X25" s="47"/>
      <c r="Y25" s="47"/>
      <c r="Z25" s="47"/>
      <c r="AA25" s="47"/>
      <c r="AB25" s="47"/>
      <c r="AC25" s="48"/>
      <c r="AD25" s="47"/>
      <c r="AE25" s="47"/>
    </row>
    <row r="26" spans="1:31" s="49" customFormat="1" ht="38.25" customHeight="1">
      <c r="A26" s="40" t="s">
        <v>335</v>
      </c>
      <c r="B26" s="41" t="s">
        <v>336</v>
      </c>
      <c r="C26" s="42" t="s">
        <v>307</v>
      </c>
      <c r="D26" s="42" t="s">
        <v>329</v>
      </c>
      <c r="E26" s="42">
        <v>70</v>
      </c>
      <c r="F26" s="42">
        <v>1</v>
      </c>
      <c r="G26" s="54" t="s">
        <v>330</v>
      </c>
      <c r="H26" s="43">
        <v>384141.54</v>
      </c>
      <c r="I26" s="43">
        <f aca="true" t="shared" si="15" ref="I26:P26">ROUND(PRODUCT($H$26*I9),2)</f>
        <v>9603.54</v>
      </c>
      <c r="J26" s="43">
        <f t="shared" si="15"/>
        <v>1936.07</v>
      </c>
      <c r="K26" s="43">
        <f t="shared" si="15"/>
        <v>11524.25</v>
      </c>
      <c r="L26" s="43">
        <f t="shared" si="15"/>
        <v>2304.85</v>
      </c>
      <c r="M26" s="43">
        <f t="shared" si="15"/>
        <v>192.07</v>
      </c>
      <c r="N26" s="43">
        <f t="shared" si="15"/>
        <v>27773.43</v>
      </c>
      <c r="O26" s="43">
        <f t="shared" si="15"/>
        <v>8220.63</v>
      </c>
      <c r="P26" s="43">
        <f t="shared" si="15"/>
        <v>11524.25</v>
      </c>
      <c r="Q26" s="44">
        <f t="shared" si="13"/>
        <v>457220.62999999995</v>
      </c>
      <c r="R26" s="77">
        <f>ROUND(PRODUCT(Q26*'[1]индексы'!$L$20),2)</f>
        <v>537828.63</v>
      </c>
      <c r="S26" s="44">
        <f>ROUND(PRODUCT(Q26*'[1]индексы'!$H$20),2)</f>
        <v>1504255.87</v>
      </c>
      <c r="T26" s="45">
        <f>ROUND(PRODUCT(R26*'[1]индексы'!$D$20),2)</f>
        <v>2081396.8</v>
      </c>
      <c r="U26" s="46"/>
      <c r="V26" s="47"/>
      <c r="W26" s="47"/>
      <c r="X26" s="47"/>
      <c r="Y26" s="47"/>
      <c r="Z26" s="47"/>
      <c r="AA26" s="47"/>
      <c r="AB26" s="47"/>
      <c r="AC26" s="48"/>
      <c r="AD26" s="47"/>
      <c r="AE26" s="47"/>
    </row>
    <row r="27" spans="1:31" s="49" customFormat="1" ht="47.25" customHeight="1">
      <c r="A27" s="40" t="s">
        <v>337</v>
      </c>
      <c r="B27" s="41" t="s">
        <v>338</v>
      </c>
      <c r="C27" s="42" t="s">
        <v>307</v>
      </c>
      <c r="D27" s="42" t="s">
        <v>329</v>
      </c>
      <c r="E27" s="42">
        <v>70</v>
      </c>
      <c r="F27" s="42">
        <v>1</v>
      </c>
      <c r="G27" s="54" t="s">
        <v>330</v>
      </c>
      <c r="H27" s="43">
        <v>393262.24</v>
      </c>
      <c r="I27" s="43">
        <f aca="true" t="shared" si="16" ref="I27:P27">ROUND(PRODUCT($H$27*I9),2)</f>
        <v>9831.56</v>
      </c>
      <c r="J27" s="43">
        <f t="shared" si="16"/>
        <v>1982.04</v>
      </c>
      <c r="K27" s="43">
        <f t="shared" si="16"/>
        <v>11797.87</v>
      </c>
      <c r="L27" s="43">
        <f t="shared" si="16"/>
        <v>2359.57</v>
      </c>
      <c r="M27" s="43">
        <f t="shared" si="16"/>
        <v>196.63</v>
      </c>
      <c r="N27" s="43">
        <f t="shared" si="16"/>
        <v>28432.86</v>
      </c>
      <c r="O27" s="43">
        <f t="shared" si="16"/>
        <v>8415.81</v>
      </c>
      <c r="P27" s="43">
        <f t="shared" si="16"/>
        <v>11797.87</v>
      </c>
      <c r="Q27" s="44">
        <f t="shared" si="13"/>
        <v>468076.44999999995</v>
      </c>
      <c r="R27" s="77">
        <f>ROUND(PRODUCT(Q27*'[1]индексы'!$L$20),2)</f>
        <v>550598.33</v>
      </c>
      <c r="S27" s="44">
        <f>ROUND(PRODUCT(Q27*'[1]индексы'!$H$20),2)</f>
        <v>1539971.52</v>
      </c>
      <c r="T27" s="45">
        <f>ROUND(PRODUCT(R27*'[1]индексы'!$D$20),2)</f>
        <v>2130815.54</v>
      </c>
      <c r="U27" s="46"/>
      <c r="V27" s="47"/>
      <c r="W27" s="47"/>
      <c r="X27" s="47"/>
      <c r="Y27" s="47"/>
      <c r="Z27" s="47"/>
      <c r="AA27" s="47"/>
      <c r="AB27" s="47"/>
      <c r="AC27" s="48"/>
      <c r="AD27" s="47"/>
      <c r="AE27" s="47"/>
    </row>
    <row r="28" spans="1:31" s="49" customFormat="1" ht="39.75" customHeight="1">
      <c r="A28" s="40" t="s">
        <v>339</v>
      </c>
      <c r="B28" s="41" t="s">
        <v>340</v>
      </c>
      <c r="C28" s="42" t="s">
        <v>307</v>
      </c>
      <c r="D28" s="42" t="s">
        <v>329</v>
      </c>
      <c r="E28" s="42">
        <v>70</v>
      </c>
      <c r="F28" s="42">
        <v>1</v>
      </c>
      <c r="G28" s="54" t="s">
        <v>330</v>
      </c>
      <c r="H28" s="43">
        <v>389474.09</v>
      </c>
      <c r="I28" s="43">
        <f>ROUND(PRODUCT(($H$28)*I9),2)</f>
        <v>9736.85</v>
      </c>
      <c r="J28" s="43">
        <f aca="true" t="shared" si="17" ref="J28:P28">ROUND(PRODUCT(($H$28)*J9),2)</f>
        <v>1962.95</v>
      </c>
      <c r="K28" s="43">
        <f t="shared" si="17"/>
        <v>11684.22</v>
      </c>
      <c r="L28" s="43">
        <f t="shared" si="17"/>
        <v>2336.84</v>
      </c>
      <c r="M28" s="43">
        <f t="shared" si="17"/>
        <v>194.74</v>
      </c>
      <c r="N28" s="43">
        <f t="shared" si="17"/>
        <v>28158.98</v>
      </c>
      <c r="O28" s="43">
        <f t="shared" si="17"/>
        <v>8334.75</v>
      </c>
      <c r="P28" s="43">
        <f t="shared" si="17"/>
        <v>11684.22</v>
      </c>
      <c r="Q28" s="44">
        <f t="shared" si="13"/>
        <v>463567.63999999996</v>
      </c>
      <c r="R28" s="77">
        <f>ROUND(PRODUCT(Q28*'[1]индексы'!$L$20),2)</f>
        <v>545294.61</v>
      </c>
      <c r="S28" s="44">
        <f>ROUND(PRODUCT(Q28*'[1]индексы'!$H$20),2)</f>
        <v>1525137.54</v>
      </c>
      <c r="T28" s="45">
        <f>ROUND(PRODUCT(R28*'[1]индексы'!$D$20),2)</f>
        <v>2110290.14</v>
      </c>
      <c r="U28" s="46"/>
      <c r="V28" s="47"/>
      <c r="W28" s="47"/>
      <c r="X28" s="47"/>
      <c r="Y28" s="47"/>
      <c r="Z28" s="47"/>
      <c r="AA28" s="47"/>
      <c r="AB28" s="47"/>
      <c r="AC28" s="48"/>
      <c r="AD28" s="47"/>
      <c r="AE28" s="47"/>
    </row>
    <row r="29" spans="1:31" s="49" customFormat="1" ht="39.75" customHeight="1">
      <c r="A29" s="40" t="s">
        <v>341</v>
      </c>
      <c r="B29" s="41" t="s">
        <v>342</v>
      </c>
      <c r="C29" s="42" t="s">
        <v>307</v>
      </c>
      <c r="D29" s="42" t="s">
        <v>329</v>
      </c>
      <c r="E29" s="42">
        <v>95</v>
      </c>
      <c r="F29" s="42">
        <v>1</v>
      </c>
      <c r="G29" s="54" t="s">
        <v>330</v>
      </c>
      <c r="H29" s="43">
        <v>392693.04</v>
      </c>
      <c r="I29" s="43">
        <f>ROUND(PRODUCT($H$29*I9),2)</f>
        <v>9817.33</v>
      </c>
      <c r="J29" s="43">
        <f aca="true" t="shared" si="18" ref="J29:P29">ROUND(PRODUCT($H$29*J9),2)</f>
        <v>1979.17</v>
      </c>
      <c r="K29" s="43">
        <f t="shared" si="18"/>
        <v>11780.79</v>
      </c>
      <c r="L29" s="43">
        <f t="shared" si="18"/>
        <v>2356.16</v>
      </c>
      <c r="M29" s="43">
        <f t="shared" si="18"/>
        <v>196.35</v>
      </c>
      <c r="N29" s="43">
        <f t="shared" si="18"/>
        <v>28391.71</v>
      </c>
      <c r="O29" s="43">
        <f>ROUND(PRODUCT($H$29*O9),2)</f>
        <v>8403.63</v>
      </c>
      <c r="P29" s="43">
        <f t="shared" si="18"/>
        <v>11780.79</v>
      </c>
      <c r="Q29" s="44">
        <f t="shared" si="13"/>
        <v>467398.9699999999</v>
      </c>
      <c r="R29" s="77">
        <f>ROUND(PRODUCT(Q29*'[1]индексы'!$L$20),2)</f>
        <v>549801.41</v>
      </c>
      <c r="S29" s="44">
        <f>ROUND(PRODUCT(Q29*'[1]индексы'!$H$20),2)</f>
        <v>1537742.61</v>
      </c>
      <c r="T29" s="45">
        <f>ROUND(PRODUCT(R29*'[1]индексы'!$D$20),2)</f>
        <v>2127731.46</v>
      </c>
      <c r="U29" s="46"/>
      <c r="V29" s="47"/>
      <c r="W29" s="47"/>
      <c r="X29" s="47"/>
      <c r="Y29" s="47"/>
      <c r="Z29" s="47"/>
      <c r="AA29" s="47"/>
      <c r="AB29" s="47"/>
      <c r="AC29" s="48"/>
      <c r="AD29" s="47"/>
      <c r="AE29" s="47"/>
    </row>
    <row r="30" spans="1:31" s="49" customFormat="1" ht="47.25" customHeight="1">
      <c r="A30" s="40" t="s">
        <v>343</v>
      </c>
      <c r="B30" s="41" t="s">
        <v>344</v>
      </c>
      <c r="C30" s="42" t="s">
        <v>307</v>
      </c>
      <c r="D30" s="42" t="s">
        <v>329</v>
      </c>
      <c r="E30" s="42">
        <v>95</v>
      </c>
      <c r="F30" s="42">
        <v>1</v>
      </c>
      <c r="G30" s="54" t="s">
        <v>330</v>
      </c>
      <c r="H30" s="43">
        <v>401813.74</v>
      </c>
      <c r="I30" s="43">
        <f>ROUND(PRODUCT($H$30*I9),2)</f>
        <v>10045.34</v>
      </c>
      <c r="J30" s="43">
        <f aca="true" t="shared" si="19" ref="J30:P30">ROUND(PRODUCT($H$30*J9),2)</f>
        <v>2025.14</v>
      </c>
      <c r="K30" s="43">
        <f t="shared" si="19"/>
        <v>12054.41</v>
      </c>
      <c r="L30" s="43">
        <f t="shared" si="19"/>
        <v>2410.88</v>
      </c>
      <c r="M30" s="43">
        <f t="shared" si="19"/>
        <v>200.91</v>
      </c>
      <c r="N30" s="43">
        <f t="shared" si="19"/>
        <v>29051.13</v>
      </c>
      <c r="O30" s="43">
        <f>ROUND(PRODUCT($H$30*O9),2)</f>
        <v>8598.81</v>
      </c>
      <c r="P30" s="43">
        <f t="shared" si="19"/>
        <v>12054.41</v>
      </c>
      <c r="Q30" s="44">
        <f t="shared" si="13"/>
        <v>478254.76999999996</v>
      </c>
      <c r="R30" s="77">
        <f>ROUND(PRODUCT(Q30*'[1]индексы'!$L$20),2)</f>
        <v>562571.09</v>
      </c>
      <c r="S30" s="44">
        <f>ROUND(PRODUCT(Q30*'[1]индексы'!$H$20),2)</f>
        <v>1573458.19</v>
      </c>
      <c r="T30" s="45">
        <f>ROUND(PRODUCT(R30*'[1]индексы'!$D$20),2)</f>
        <v>2177150.12</v>
      </c>
      <c r="U30" s="46"/>
      <c r="V30" s="47"/>
      <c r="W30" s="47"/>
      <c r="X30" s="47"/>
      <c r="Y30" s="47"/>
      <c r="Z30" s="47"/>
      <c r="AA30" s="47"/>
      <c r="AB30" s="47"/>
      <c r="AC30" s="48"/>
      <c r="AD30" s="47"/>
      <c r="AE30" s="47"/>
    </row>
    <row r="31" spans="1:31" s="49" customFormat="1" ht="38.25" customHeight="1">
      <c r="A31" s="40" t="s">
        <v>345</v>
      </c>
      <c r="B31" s="41" t="s">
        <v>346</v>
      </c>
      <c r="C31" s="42" t="s">
        <v>307</v>
      </c>
      <c r="D31" s="42" t="s">
        <v>329</v>
      </c>
      <c r="E31" s="42">
        <v>95</v>
      </c>
      <c r="F31" s="42">
        <v>1</v>
      </c>
      <c r="G31" s="54" t="s">
        <v>330</v>
      </c>
      <c r="H31" s="43">
        <v>398025.59</v>
      </c>
      <c r="I31" s="43">
        <f>ROUND(PRODUCT(($H$31)*I9),2)</f>
        <v>9950.64</v>
      </c>
      <c r="J31" s="43">
        <f aca="true" t="shared" si="20" ref="J31:P31">ROUND(PRODUCT(($H$31)*J9),2)</f>
        <v>2006.05</v>
      </c>
      <c r="K31" s="43">
        <f t="shared" si="20"/>
        <v>11940.77</v>
      </c>
      <c r="L31" s="43">
        <f t="shared" si="20"/>
        <v>2388.15</v>
      </c>
      <c r="M31" s="43">
        <f t="shared" si="20"/>
        <v>199.01</v>
      </c>
      <c r="N31" s="43">
        <f t="shared" si="20"/>
        <v>28777.25</v>
      </c>
      <c r="O31" s="43">
        <f t="shared" si="20"/>
        <v>8517.75</v>
      </c>
      <c r="P31" s="43">
        <f t="shared" si="20"/>
        <v>11940.77</v>
      </c>
      <c r="Q31" s="44">
        <f t="shared" si="13"/>
        <v>473745.9800000001</v>
      </c>
      <c r="R31" s="77">
        <f>ROUND(PRODUCT(Q31*'[1]индексы'!$L$20),2)</f>
        <v>557267.4</v>
      </c>
      <c r="S31" s="44">
        <f>ROUND(PRODUCT(Q31*'[1]индексы'!$H$20),2)</f>
        <v>1558624.27</v>
      </c>
      <c r="T31" s="45">
        <f>ROUND(PRODUCT(R31*'[1]индексы'!$D$20),2)</f>
        <v>2156624.84</v>
      </c>
      <c r="U31" s="46"/>
      <c r="V31" s="47"/>
      <c r="W31" s="47"/>
      <c r="X31" s="47"/>
      <c r="Y31" s="47"/>
      <c r="Z31" s="47"/>
      <c r="AA31" s="47"/>
      <c r="AB31" s="47"/>
      <c r="AC31" s="48"/>
      <c r="AD31" s="47"/>
      <c r="AE31" s="47"/>
    </row>
    <row r="32" spans="1:31" s="49" customFormat="1" ht="31.5">
      <c r="A32" s="40" t="s">
        <v>347</v>
      </c>
      <c r="B32" s="41" t="s">
        <v>348</v>
      </c>
      <c r="C32" s="42" t="s">
        <v>307</v>
      </c>
      <c r="D32" s="42" t="s">
        <v>349</v>
      </c>
      <c r="E32" s="42">
        <v>50</v>
      </c>
      <c r="F32" s="42">
        <v>1</v>
      </c>
      <c r="G32" s="54" t="s">
        <v>330</v>
      </c>
      <c r="H32" s="43">
        <v>397473.24</v>
      </c>
      <c r="I32" s="43">
        <f aca="true" t="shared" si="21" ref="I32:P32">ROUND(PRODUCT($H$32*I9),2)</f>
        <v>9936.83</v>
      </c>
      <c r="J32" s="43">
        <f t="shared" si="21"/>
        <v>2003.27</v>
      </c>
      <c r="K32" s="43">
        <f t="shared" si="21"/>
        <v>11924.2</v>
      </c>
      <c r="L32" s="43">
        <f t="shared" si="21"/>
        <v>2384.84</v>
      </c>
      <c r="M32" s="43">
        <f t="shared" si="21"/>
        <v>198.74</v>
      </c>
      <c r="N32" s="43">
        <f t="shared" si="21"/>
        <v>28737.32</v>
      </c>
      <c r="O32" s="43">
        <f t="shared" si="21"/>
        <v>8505.93</v>
      </c>
      <c r="P32" s="43">
        <f t="shared" si="21"/>
        <v>11924.2</v>
      </c>
      <c r="Q32" s="44">
        <f t="shared" si="13"/>
        <v>473088.57000000007</v>
      </c>
      <c r="R32" s="77">
        <f>ROUND(PRODUCT(Q32*'[1]индексы'!$L$20),2)</f>
        <v>556494.08</v>
      </c>
      <c r="S32" s="44">
        <f>ROUND(PRODUCT(Q32*'[1]индексы'!$H$20),2)</f>
        <v>1556461.4</v>
      </c>
      <c r="T32" s="45">
        <f>ROUND(PRODUCT(R32*'[1]индексы'!$D$20),2)</f>
        <v>2153632.09</v>
      </c>
      <c r="U32" s="46"/>
      <c r="V32" s="47"/>
      <c r="W32" s="47"/>
      <c r="X32" s="47"/>
      <c r="Y32" s="47"/>
      <c r="Z32" s="47"/>
      <c r="AA32" s="47"/>
      <c r="AB32" s="47"/>
      <c r="AC32" s="48"/>
      <c r="AD32" s="47"/>
      <c r="AE32" s="47"/>
    </row>
    <row r="33" spans="1:31" s="49" customFormat="1" ht="31.5">
      <c r="A33" s="40" t="s">
        <v>350</v>
      </c>
      <c r="B33" s="41" t="s">
        <v>351</v>
      </c>
      <c r="C33" s="42" t="s">
        <v>307</v>
      </c>
      <c r="D33" s="42" t="s">
        <v>349</v>
      </c>
      <c r="E33" s="42">
        <v>50</v>
      </c>
      <c r="F33" s="42">
        <v>1</v>
      </c>
      <c r="G33" s="54" t="s">
        <v>330</v>
      </c>
      <c r="H33" s="43">
        <v>406593.94</v>
      </c>
      <c r="I33" s="43">
        <f aca="true" t="shared" si="22" ref="I33:P33">ROUND(PRODUCT($H$33*I9),2)</f>
        <v>10164.85</v>
      </c>
      <c r="J33" s="43">
        <f t="shared" si="22"/>
        <v>2049.23</v>
      </c>
      <c r="K33" s="43">
        <f t="shared" si="22"/>
        <v>12197.82</v>
      </c>
      <c r="L33" s="43">
        <f t="shared" si="22"/>
        <v>2439.56</v>
      </c>
      <c r="M33" s="43">
        <f t="shared" si="22"/>
        <v>203.3</v>
      </c>
      <c r="N33" s="43">
        <f t="shared" si="22"/>
        <v>29396.74</v>
      </c>
      <c r="O33" s="43">
        <f t="shared" si="22"/>
        <v>8701.11</v>
      </c>
      <c r="P33" s="43">
        <f t="shared" si="22"/>
        <v>12197.82</v>
      </c>
      <c r="Q33" s="44">
        <f t="shared" si="13"/>
        <v>483944.36999999994</v>
      </c>
      <c r="R33" s="77">
        <f>ROUND(PRODUCT(Q33*'[1]индексы'!$L$20),2)</f>
        <v>569263.76</v>
      </c>
      <c r="S33" s="44">
        <f>ROUND(PRODUCT(Q33*'[1]индексы'!$H$20),2)</f>
        <v>1592176.98</v>
      </c>
      <c r="T33" s="45">
        <f>ROUND(PRODUCT(R33*'[1]индексы'!$D$20),2)</f>
        <v>2203050.75</v>
      </c>
      <c r="U33" s="46"/>
      <c r="V33" s="47">
        <v>171305.31</v>
      </c>
      <c r="W33" s="47">
        <v>171305.31</v>
      </c>
      <c r="X33" s="47">
        <v>397723.67</v>
      </c>
      <c r="Y33" s="47"/>
      <c r="Z33" s="47"/>
      <c r="AA33" s="47"/>
      <c r="AB33" s="47"/>
      <c r="AC33" s="48">
        <v>258188</v>
      </c>
      <c r="AD33" s="55">
        <v>254230</v>
      </c>
      <c r="AE33" s="47">
        <v>307346.21</v>
      </c>
    </row>
    <row r="34" spans="1:31" s="49" customFormat="1" ht="49.5" customHeight="1">
      <c r="A34" s="40" t="s">
        <v>352</v>
      </c>
      <c r="B34" s="41" t="s">
        <v>353</v>
      </c>
      <c r="C34" s="42" t="s">
        <v>307</v>
      </c>
      <c r="D34" s="42" t="s">
        <v>349</v>
      </c>
      <c r="E34" s="42">
        <v>50</v>
      </c>
      <c r="F34" s="42">
        <v>1</v>
      </c>
      <c r="G34" s="54" t="s">
        <v>330</v>
      </c>
      <c r="H34" s="43">
        <v>402805.79</v>
      </c>
      <c r="I34" s="43">
        <f>ROUND(PRODUCT(($H$34)*I9),2)</f>
        <v>10070.14</v>
      </c>
      <c r="J34" s="43">
        <f aca="true" t="shared" si="23" ref="J34:P34">ROUND(PRODUCT(($H$34)*J9),2)</f>
        <v>2030.14</v>
      </c>
      <c r="K34" s="43">
        <f t="shared" si="23"/>
        <v>12084.17</v>
      </c>
      <c r="L34" s="43">
        <f t="shared" si="23"/>
        <v>2416.83</v>
      </c>
      <c r="M34" s="43">
        <f t="shared" si="23"/>
        <v>201.4</v>
      </c>
      <c r="N34" s="43">
        <f t="shared" si="23"/>
        <v>29122.86</v>
      </c>
      <c r="O34" s="43">
        <f t="shared" si="23"/>
        <v>8620.04</v>
      </c>
      <c r="P34" s="43">
        <f t="shared" si="23"/>
        <v>12084.17</v>
      </c>
      <c r="Q34" s="44">
        <f t="shared" si="13"/>
        <v>479435.54</v>
      </c>
      <c r="R34" s="77">
        <f>ROUND(PRODUCT(Q34*'[1]индексы'!$L$20),2)</f>
        <v>563960.03</v>
      </c>
      <c r="S34" s="44">
        <f>ROUND(PRODUCT(Q34*'[1]индексы'!$H$20),2)</f>
        <v>1577342.93</v>
      </c>
      <c r="T34" s="45">
        <f>ROUND(PRODUCT(R34*'[1]индексы'!$D$20),2)</f>
        <v>2182525.32</v>
      </c>
      <c r="U34" s="46"/>
      <c r="V34" s="47"/>
      <c r="W34" s="47"/>
      <c r="X34" s="47"/>
      <c r="Y34" s="47"/>
      <c r="Z34" s="47"/>
      <c r="AA34" s="47"/>
      <c r="AB34" s="47"/>
      <c r="AC34" s="48"/>
      <c r="AD34" s="47"/>
      <c r="AE34" s="47"/>
    </row>
    <row r="35" spans="1:31" s="49" customFormat="1" ht="35.25" customHeight="1">
      <c r="A35" s="40" t="s">
        <v>354</v>
      </c>
      <c r="B35" s="41" t="s">
        <v>355</v>
      </c>
      <c r="C35" s="42" t="s">
        <v>307</v>
      </c>
      <c r="D35" s="42" t="s">
        <v>349</v>
      </c>
      <c r="E35" s="42">
        <v>70</v>
      </c>
      <c r="F35" s="42">
        <v>1</v>
      </c>
      <c r="G35" s="54" t="s">
        <v>330</v>
      </c>
      <c r="H35" s="43">
        <v>402277.46</v>
      </c>
      <c r="I35" s="43">
        <f aca="true" t="shared" si="24" ref="I35:P35">ROUND(PRODUCT($H$35*I9),2)</f>
        <v>10056.94</v>
      </c>
      <c r="J35" s="43">
        <f t="shared" si="24"/>
        <v>2027.48</v>
      </c>
      <c r="K35" s="43">
        <f t="shared" si="24"/>
        <v>12068.32</v>
      </c>
      <c r="L35" s="43">
        <f t="shared" si="24"/>
        <v>2413.66</v>
      </c>
      <c r="M35" s="43">
        <f t="shared" si="24"/>
        <v>201.14</v>
      </c>
      <c r="N35" s="43">
        <f t="shared" si="24"/>
        <v>29084.66</v>
      </c>
      <c r="O35" s="43">
        <f t="shared" si="24"/>
        <v>8608.74</v>
      </c>
      <c r="P35" s="43">
        <f t="shared" si="24"/>
        <v>12068.32</v>
      </c>
      <c r="Q35" s="44">
        <f t="shared" si="13"/>
        <v>478806.72</v>
      </c>
      <c r="R35" s="77">
        <f>ROUND(PRODUCT(Q35*'[1]индексы'!$L$20),2)</f>
        <v>563220.34</v>
      </c>
      <c r="S35" s="44">
        <f>ROUND(PRODUCT(Q35*'[1]индексы'!$H$20),2)</f>
        <v>1575274.11</v>
      </c>
      <c r="T35" s="45">
        <f>ROUND(PRODUCT(R35*'[1]индексы'!$D$20),2)</f>
        <v>2179662.72</v>
      </c>
      <c r="U35" s="46"/>
      <c r="V35" s="47"/>
      <c r="W35" s="47"/>
      <c r="X35" s="47"/>
      <c r="Y35" s="47"/>
      <c r="Z35" s="47"/>
      <c r="AA35" s="47"/>
      <c r="AB35" s="47"/>
      <c r="AC35" s="48"/>
      <c r="AD35" s="47"/>
      <c r="AE35" s="47"/>
    </row>
    <row r="36" spans="1:31" s="49" customFormat="1" ht="31.5">
      <c r="A36" s="40" t="s">
        <v>356</v>
      </c>
      <c r="B36" s="41" t="s">
        <v>358</v>
      </c>
      <c r="C36" s="42" t="s">
        <v>307</v>
      </c>
      <c r="D36" s="42" t="s">
        <v>349</v>
      </c>
      <c r="E36" s="42">
        <v>70</v>
      </c>
      <c r="F36" s="42">
        <v>1</v>
      </c>
      <c r="G36" s="54" t="s">
        <v>330</v>
      </c>
      <c r="H36" s="43">
        <v>411398.16</v>
      </c>
      <c r="I36" s="43">
        <f>ROUND(PRODUCT($H$36*I9),2)</f>
        <v>10284.95</v>
      </c>
      <c r="J36" s="43">
        <f aca="true" t="shared" si="25" ref="J36:P36">ROUND(PRODUCT($H$36*J9),2)</f>
        <v>2073.45</v>
      </c>
      <c r="K36" s="43">
        <f t="shared" si="25"/>
        <v>12341.94</v>
      </c>
      <c r="L36" s="43">
        <f t="shared" si="25"/>
        <v>2468.39</v>
      </c>
      <c r="M36" s="43">
        <f t="shared" si="25"/>
        <v>205.7</v>
      </c>
      <c r="N36" s="43">
        <f t="shared" si="25"/>
        <v>29744.09</v>
      </c>
      <c r="O36" s="43">
        <f>ROUND(PRODUCT($H$36*O9),2)</f>
        <v>8803.92</v>
      </c>
      <c r="P36" s="43">
        <f t="shared" si="25"/>
        <v>12341.94</v>
      </c>
      <c r="Q36" s="44">
        <f t="shared" si="13"/>
        <v>489662.54000000004</v>
      </c>
      <c r="R36" s="77">
        <f>ROUND(PRODUCT(Q36*'[1]индексы'!$L$20),2)</f>
        <v>575990.05</v>
      </c>
      <c r="S36" s="44">
        <f>ROUND(PRODUCT(Q36*'[1]индексы'!$H$20),2)</f>
        <v>1610989.76</v>
      </c>
      <c r="T36" s="45">
        <f>ROUND(PRODUCT(R36*'[1]индексы'!$D$20),2)</f>
        <v>2229081.49</v>
      </c>
      <c r="U36" s="46"/>
      <c r="V36" s="47">
        <v>188209.25</v>
      </c>
      <c r="W36" s="47">
        <v>188209.25</v>
      </c>
      <c r="X36" s="47">
        <v>409107.49</v>
      </c>
      <c r="Y36" s="47"/>
      <c r="Z36" s="47"/>
      <c r="AA36" s="47"/>
      <c r="AB36" s="47"/>
      <c r="AC36" s="48">
        <v>273606</v>
      </c>
      <c r="AD36" s="55">
        <v>268192</v>
      </c>
      <c r="AE36" s="47">
        <v>324306.66</v>
      </c>
    </row>
    <row r="37" spans="1:31" s="49" customFormat="1" ht="48" customHeight="1">
      <c r="A37" s="40" t="s">
        <v>359</v>
      </c>
      <c r="B37" s="41" t="s">
        <v>360</v>
      </c>
      <c r="C37" s="42" t="s">
        <v>307</v>
      </c>
      <c r="D37" s="42" t="s">
        <v>349</v>
      </c>
      <c r="E37" s="42">
        <v>70</v>
      </c>
      <c r="F37" s="42">
        <v>1</v>
      </c>
      <c r="G37" s="54" t="s">
        <v>330</v>
      </c>
      <c r="H37" s="43">
        <v>407610.01</v>
      </c>
      <c r="I37" s="43">
        <f>ROUND(PRODUCT(($H$37)*I9),2)</f>
        <v>10190.25</v>
      </c>
      <c r="J37" s="43">
        <f aca="true" t="shared" si="26" ref="J37:P37">ROUND(PRODUCT(($H$37)*J9),2)</f>
        <v>2054.35</v>
      </c>
      <c r="K37" s="43">
        <f t="shared" si="26"/>
        <v>12228.3</v>
      </c>
      <c r="L37" s="43">
        <f t="shared" si="26"/>
        <v>2445.66</v>
      </c>
      <c r="M37" s="43">
        <f t="shared" si="26"/>
        <v>203.81</v>
      </c>
      <c r="N37" s="43">
        <f t="shared" si="26"/>
        <v>29470.2</v>
      </c>
      <c r="O37" s="43">
        <f t="shared" si="26"/>
        <v>8722.85</v>
      </c>
      <c r="P37" s="43">
        <f t="shared" si="26"/>
        <v>12228.3</v>
      </c>
      <c r="Q37" s="44">
        <f t="shared" si="13"/>
        <v>485153.7299999999</v>
      </c>
      <c r="R37" s="77">
        <f>ROUND(PRODUCT(Q37*'[1]индексы'!$L$20),2)</f>
        <v>570686.33</v>
      </c>
      <c r="S37" s="44">
        <f>ROUND(PRODUCT(Q37*'[1]индексы'!$H$20),2)</f>
        <v>1596155.77</v>
      </c>
      <c r="T37" s="45">
        <f>ROUND(PRODUCT(R37*'[1]индексы'!$D$20),2)</f>
        <v>2208556.1</v>
      </c>
      <c r="U37" s="46"/>
      <c r="V37" s="47"/>
      <c r="W37" s="47"/>
      <c r="X37" s="47"/>
      <c r="Y37" s="47"/>
      <c r="Z37" s="47"/>
      <c r="AA37" s="47"/>
      <c r="AB37" s="47"/>
      <c r="AC37" s="48"/>
      <c r="AD37" s="47"/>
      <c r="AE37" s="47"/>
    </row>
    <row r="38" spans="1:31" s="49" customFormat="1" ht="33" customHeight="1">
      <c r="A38" s="40" t="s">
        <v>361</v>
      </c>
      <c r="B38" s="41" t="s">
        <v>362</v>
      </c>
      <c r="C38" s="42" t="s">
        <v>307</v>
      </c>
      <c r="D38" s="42" t="s">
        <v>349</v>
      </c>
      <c r="E38" s="42">
        <v>95</v>
      </c>
      <c r="F38" s="42">
        <v>1</v>
      </c>
      <c r="G38" s="54" t="s">
        <v>330</v>
      </c>
      <c r="H38" s="43">
        <v>413086.95</v>
      </c>
      <c r="I38" s="43">
        <f>ROUND(PRODUCT($H$38*I9),2)</f>
        <v>10327.17</v>
      </c>
      <c r="J38" s="43">
        <f aca="true" t="shared" si="27" ref="J38:P38">ROUND(PRODUCT($H$38*J9),2)</f>
        <v>2081.96</v>
      </c>
      <c r="K38" s="43">
        <f t="shared" si="27"/>
        <v>12392.61</v>
      </c>
      <c r="L38" s="43">
        <f t="shared" si="27"/>
        <v>2478.52</v>
      </c>
      <c r="M38" s="43">
        <f t="shared" si="27"/>
        <v>206.54</v>
      </c>
      <c r="N38" s="43">
        <f t="shared" si="27"/>
        <v>29866.19</v>
      </c>
      <c r="O38" s="43">
        <f>ROUND(PRODUCT($H$38*O9),2)</f>
        <v>8840.06</v>
      </c>
      <c r="P38" s="43">
        <f t="shared" si="27"/>
        <v>12392.61</v>
      </c>
      <c r="Q38" s="44">
        <f t="shared" si="13"/>
        <v>491672.61</v>
      </c>
      <c r="R38" s="77">
        <f>ROUND(PRODUCT(Q38*'[1]индексы'!$L$20),2)</f>
        <v>578354.49</v>
      </c>
      <c r="S38" s="44">
        <f>ROUND(PRODUCT(Q38*'[1]индексы'!$H$20),2)</f>
        <v>1617602.89</v>
      </c>
      <c r="T38" s="45">
        <f>ROUND(PRODUCT(R38*'[1]индексы'!$D$20),2)</f>
        <v>2238231.88</v>
      </c>
      <c r="U38" s="46"/>
      <c r="V38" s="47"/>
      <c r="W38" s="47"/>
      <c r="X38" s="47"/>
      <c r="Y38" s="47"/>
      <c r="Z38" s="47"/>
      <c r="AA38" s="47"/>
      <c r="AB38" s="47"/>
      <c r="AC38" s="48"/>
      <c r="AD38" s="47"/>
      <c r="AE38" s="47"/>
    </row>
    <row r="39" spans="1:31" s="49" customFormat="1" ht="31.5">
      <c r="A39" s="40" t="s">
        <v>363</v>
      </c>
      <c r="B39" s="41" t="s">
        <v>364</v>
      </c>
      <c r="C39" s="42" t="s">
        <v>307</v>
      </c>
      <c r="D39" s="42" t="s">
        <v>349</v>
      </c>
      <c r="E39" s="42">
        <v>95</v>
      </c>
      <c r="F39" s="42">
        <v>1</v>
      </c>
      <c r="G39" s="54" t="s">
        <v>330</v>
      </c>
      <c r="H39" s="43">
        <v>422207.65</v>
      </c>
      <c r="I39" s="43">
        <f aca="true" t="shared" si="28" ref="I39:P39">ROUND(PRODUCT($H$39*I9),2)</f>
        <v>10555.19</v>
      </c>
      <c r="J39" s="43">
        <f t="shared" si="28"/>
        <v>2127.93</v>
      </c>
      <c r="K39" s="43">
        <f t="shared" si="28"/>
        <v>12666.23</v>
      </c>
      <c r="L39" s="43">
        <f t="shared" si="28"/>
        <v>2533.25</v>
      </c>
      <c r="M39" s="43">
        <f t="shared" si="28"/>
        <v>211.1</v>
      </c>
      <c r="N39" s="43">
        <f t="shared" si="28"/>
        <v>30525.61</v>
      </c>
      <c r="O39" s="43">
        <f t="shared" si="28"/>
        <v>9035.24</v>
      </c>
      <c r="P39" s="43">
        <f t="shared" si="28"/>
        <v>12666.23</v>
      </c>
      <c r="Q39" s="44">
        <f t="shared" si="13"/>
        <v>502528.42999999993</v>
      </c>
      <c r="R39" s="77">
        <f>ROUND(PRODUCT(Q39*'[1]индексы'!$L$20),2)</f>
        <v>591124.19</v>
      </c>
      <c r="S39" s="44">
        <f>ROUND(PRODUCT(Q39*'[1]индексы'!$H$20),2)</f>
        <v>1653318.53</v>
      </c>
      <c r="T39" s="45">
        <f>ROUND(PRODUCT(R39*'[1]индексы'!$D$20),2)</f>
        <v>2287650.62</v>
      </c>
      <c r="U39" s="46"/>
      <c r="V39" s="47">
        <v>201214.83</v>
      </c>
      <c r="W39" s="47">
        <v>201214.83</v>
      </c>
      <c r="X39" s="47">
        <v>421277.99</v>
      </c>
      <c r="Y39" s="47"/>
      <c r="Z39" s="47"/>
      <c r="AA39" s="47"/>
      <c r="AB39" s="47"/>
      <c r="AC39" s="56"/>
      <c r="AD39" s="55">
        <v>256806</v>
      </c>
      <c r="AE39" s="47">
        <v>342676.55</v>
      </c>
    </row>
    <row r="40" spans="1:31" s="49" customFormat="1" ht="49.5" customHeight="1">
      <c r="A40" s="40" t="s">
        <v>365</v>
      </c>
      <c r="B40" s="41" t="s">
        <v>366</v>
      </c>
      <c r="C40" s="42" t="s">
        <v>307</v>
      </c>
      <c r="D40" s="42" t="s">
        <v>349</v>
      </c>
      <c r="E40" s="42">
        <v>95</v>
      </c>
      <c r="F40" s="42">
        <v>1</v>
      </c>
      <c r="G40" s="54" t="s">
        <v>330</v>
      </c>
      <c r="H40" s="43">
        <v>418419.5</v>
      </c>
      <c r="I40" s="43">
        <f>ROUND(PRODUCT(($H$40)*I9),2)</f>
        <v>10460.49</v>
      </c>
      <c r="J40" s="43">
        <f aca="true" t="shared" si="29" ref="J40:P40">ROUND(PRODUCT(($H$40)*J9),2)</f>
        <v>2108.83</v>
      </c>
      <c r="K40" s="43">
        <f t="shared" si="29"/>
        <v>12552.59</v>
      </c>
      <c r="L40" s="43">
        <f t="shared" si="29"/>
        <v>2510.52</v>
      </c>
      <c r="M40" s="43">
        <f t="shared" si="29"/>
        <v>209.21</v>
      </c>
      <c r="N40" s="43">
        <f t="shared" si="29"/>
        <v>30251.73</v>
      </c>
      <c r="O40" s="43">
        <f t="shared" si="29"/>
        <v>8954.18</v>
      </c>
      <c r="P40" s="43">
        <f t="shared" si="29"/>
        <v>12552.59</v>
      </c>
      <c r="Q40" s="44">
        <f t="shared" si="13"/>
        <v>498019.6400000001</v>
      </c>
      <c r="R40" s="77">
        <f>ROUND(PRODUCT(Q40*'[1]индексы'!$L$20),2)</f>
        <v>585820.5</v>
      </c>
      <c r="S40" s="44">
        <f>ROUND(PRODUCT(Q40*'[1]индексы'!$H$20),2)</f>
        <v>1638484.62</v>
      </c>
      <c r="T40" s="45">
        <f>ROUND(PRODUCT(R40*'[1]индексы'!$D$20),2)</f>
        <v>2267125.34</v>
      </c>
      <c r="U40" s="46"/>
      <c r="V40" s="47"/>
      <c r="W40" s="47"/>
      <c r="X40" s="47"/>
      <c r="Y40" s="47"/>
      <c r="Z40" s="47"/>
      <c r="AA40" s="47"/>
      <c r="AB40" s="47"/>
      <c r="AC40" s="56"/>
      <c r="AD40" s="47"/>
      <c r="AE40" s="47"/>
    </row>
    <row r="41" ht="3.75" customHeight="1">
      <c r="AC41" s="57"/>
    </row>
    <row r="42" spans="1:29" ht="15.75" hidden="1">
      <c r="A42" s="58"/>
      <c r="B42" s="59"/>
      <c r="C42" s="58" t="s">
        <v>367</v>
      </c>
      <c r="Q42" s="59"/>
      <c r="S42" s="59"/>
      <c r="T42" s="59"/>
      <c r="U42" s="59"/>
      <c r="AC42" s="57"/>
    </row>
    <row r="43" spans="1:29" ht="15.75" hidden="1">
      <c r="A43" s="58"/>
      <c r="B43" s="18"/>
      <c r="C43" s="465" t="s">
        <v>368</v>
      </c>
      <c r="D43" s="466"/>
      <c r="E43" s="466"/>
      <c r="F43" s="466"/>
      <c r="G43" s="466"/>
      <c r="H43" s="466"/>
      <c r="I43" s="466"/>
      <c r="J43" s="466"/>
      <c r="K43" s="466"/>
      <c r="L43" s="466"/>
      <c r="M43" s="466"/>
      <c r="N43" s="466"/>
      <c r="O43" s="18"/>
      <c r="P43" s="18"/>
      <c r="Q43" s="18"/>
      <c r="R43" s="78"/>
      <c r="S43" s="59"/>
      <c r="T43" s="59"/>
      <c r="U43" s="59"/>
      <c r="AC43" s="57"/>
    </row>
    <row r="44" spans="1:29" ht="36" customHeight="1" hidden="1">
      <c r="A44" s="60"/>
      <c r="B44" s="12"/>
      <c r="C44" s="467" t="s">
        <v>369</v>
      </c>
      <c r="D44" s="468"/>
      <c r="E44" s="468"/>
      <c r="F44" s="468"/>
      <c r="G44" s="468"/>
      <c r="H44" s="468"/>
      <c r="I44" s="468"/>
      <c r="J44" s="468"/>
      <c r="K44" s="468"/>
      <c r="L44" s="468"/>
      <c r="M44" s="468"/>
      <c r="N44" s="468"/>
      <c r="O44" s="12"/>
      <c r="P44" s="12"/>
      <c r="Q44" s="12"/>
      <c r="R44" s="79"/>
      <c r="S44" s="12"/>
      <c r="T44" s="12"/>
      <c r="U44" s="12"/>
      <c r="AC44" s="57"/>
    </row>
    <row r="45" spans="1:29" s="49" customFormat="1" ht="20.25" customHeight="1" hidden="1">
      <c r="A45" s="61"/>
      <c r="B45" s="62"/>
      <c r="C45" s="469" t="s">
        <v>370</v>
      </c>
      <c r="D45" s="470"/>
      <c r="E45" s="470"/>
      <c r="F45" s="470"/>
      <c r="G45" s="470"/>
      <c r="H45" s="470"/>
      <c r="I45" s="470"/>
      <c r="J45" s="470"/>
      <c r="K45" s="470"/>
      <c r="L45" s="470"/>
      <c r="M45" s="470"/>
      <c r="N45" s="470"/>
      <c r="O45" s="62"/>
      <c r="P45" s="62"/>
      <c r="Q45" s="62"/>
      <c r="R45" s="79"/>
      <c r="AC45" s="63"/>
    </row>
    <row r="46" spans="1:29" s="49" customFormat="1" ht="20.25" customHeight="1" hidden="1">
      <c r="A46" s="61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79"/>
      <c r="S46" s="62"/>
      <c r="T46" s="62"/>
      <c r="U46" s="62"/>
      <c r="AC46" s="63"/>
    </row>
    <row r="47" spans="1:29" s="49" customFormat="1" ht="15.75" hidden="1">
      <c r="A47" s="487" t="s">
        <v>276</v>
      </c>
      <c r="B47" s="488"/>
      <c r="C47" s="489" t="s">
        <v>283</v>
      </c>
      <c r="D47" s="488"/>
      <c r="E47" s="488"/>
      <c r="F47" s="488"/>
      <c r="G47" s="488"/>
      <c r="H47" s="488"/>
      <c r="I47" s="488"/>
      <c r="J47" s="488"/>
      <c r="K47" s="488"/>
      <c r="L47" s="488"/>
      <c r="M47" s="488"/>
      <c r="N47" s="488"/>
      <c r="O47" s="488"/>
      <c r="P47" s="488"/>
      <c r="Q47" s="488"/>
      <c r="R47" s="80">
        <v>0.025</v>
      </c>
      <c r="S47" s="64"/>
      <c r="T47" s="64"/>
      <c r="U47" s="64"/>
      <c r="AC47" s="63"/>
    </row>
    <row r="48" spans="1:29" s="49" customFormat="1" ht="33.75" customHeight="1" hidden="1">
      <c r="A48" s="469" t="s">
        <v>277</v>
      </c>
      <c r="B48" s="488"/>
      <c r="C48" s="496" t="s">
        <v>284</v>
      </c>
      <c r="D48" s="496"/>
      <c r="E48" s="496"/>
      <c r="F48" s="496"/>
      <c r="G48" s="496"/>
      <c r="H48" s="496"/>
      <c r="I48" s="496"/>
      <c r="J48" s="496"/>
      <c r="K48" s="496"/>
      <c r="L48" s="496"/>
      <c r="M48" s="496"/>
      <c r="N48" s="496"/>
      <c r="O48" s="496"/>
      <c r="P48" s="496"/>
      <c r="Q48" s="488"/>
      <c r="R48" s="80">
        <v>0.00504</v>
      </c>
      <c r="S48" s="64"/>
      <c r="T48" s="64"/>
      <c r="U48" s="64"/>
      <c r="AC48" s="63"/>
    </row>
    <row r="49" spans="1:29" s="49" customFormat="1" ht="51.75" customHeight="1" hidden="1">
      <c r="A49" s="469" t="s">
        <v>278</v>
      </c>
      <c r="B49" s="488"/>
      <c r="C49" s="496" t="s">
        <v>371</v>
      </c>
      <c r="D49" s="496"/>
      <c r="E49" s="496"/>
      <c r="F49" s="496"/>
      <c r="G49" s="496"/>
      <c r="H49" s="496"/>
      <c r="I49" s="496"/>
      <c r="J49" s="496"/>
      <c r="K49" s="496"/>
      <c r="L49" s="496"/>
      <c r="M49" s="496"/>
      <c r="N49" s="496"/>
      <c r="O49" s="496"/>
      <c r="P49" s="496"/>
      <c r="Q49" s="488"/>
      <c r="R49" s="80">
        <v>0.03</v>
      </c>
      <c r="S49" s="64"/>
      <c r="T49" s="64"/>
      <c r="U49" s="64"/>
      <c r="AC49" s="63"/>
    </row>
    <row r="50" spans="1:29" s="49" customFormat="1" ht="27.75" customHeight="1" hidden="1">
      <c r="A50" s="469" t="s">
        <v>279</v>
      </c>
      <c r="B50" s="488"/>
      <c r="C50" s="496" t="s">
        <v>286</v>
      </c>
      <c r="D50" s="470"/>
      <c r="E50" s="470"/>
      <c r="F50" s="470"/>
      <c r="G50" s="470"/>
      <c r="H50" s="470"/>
      <c r="I50" s="470"/>
      <c r="J50" s="470"/>
      <c r="K50" s="470"/>
      <c r="L50" s="470"/>
      <c r="M50" s="470"/>
      <c r="N50" s="470"/>
      <c r="O50" s="470"/>
      <c r="P50" s="470"/>
      <c r="Q50" s="470"/>
      <c r="R50" s="80">
        <v>0.006</v>
      </c>
      <c r="S50" s="64"/>
      <c r="T50" s="64"/>
      <c r="U50" s="64"/>
      <c r="AC50" s="63"/>
    </row>
    <row r="51" spans="1:29" s="49" customFormat="1" ht="24.75" customHeight="1" hidden="1">
      <c r="A51" s="488"/>
      <c r="B51" s="488"/>
      <c r="C51" s="489" t="s">
        <v>287</v>
      </c>
      <c r="D51" s="488"/>
      <c r="E51" s="488"/>
      <c r="F51" s="488"/>
      <c r="G51" s="488"/>
      <c r="H51" s="488"/>
      <c r="I51" s="488"/>
      <c r="J51" s="488"/>
      <c r="K51" s="488"/>
      <c r="L51" s="488"/>
      <c r="M51" s="488"/>
      <c r="N51" s="488"/>
      <c r="O51" s="488"/>
      <c r="P51" s="488"/>
      <c r="Q51" s="488"/>
      <c r="R51" s="80">
        <v>0.0005</v>
      </c>
      <c r="S51" s="64"/>
      <c r="T51" s="64"/>
      <c r="U51" s="64"/>
      <c r="AC51" s="63"/>
    </row>
    <row r="52" spans="1:29" s="49" customFormat="1" ht="35.25" customHeight="1" hidden="1">
      <c r="A52" s="469" t="s">
        <v>280</v>
      </c>
      <c r="B52" s="488"/>
      <c r="C52" s="489" t="s">
        <v>372</v>
      </c>
      <c r="D52" s="488"/>
      <c r="E52" s="488"/>
      <c r="F52" s="488"/>
      <c r="G52" s="488"/>
      <c r="H52" s="488"/>
      <c r="I52" s="488"/>
      <c r="J52" s="488"/>
      <c r="K52" s="488"/>
      <c r="L52" s="488"/>
      <c r="M52" s="488"/>
      <c r="N52" s="488"/>
      <c r="O52" s="488"/>
      <c r="P52" s="488"/>
      <c r="Q52" s="488"/>
      <c r="R52" s="80">
        <v>0.002</v>
      </c>
      <c r="S52" s="64"/>
      <c r="T52" s="64"/>
      <c r="U52" s="64"/>
      <c r="AC52" s="63"/>
    </row>
    <row r="53" spans="1:29" s="49" customFormat="1" ht="42.75" customHeight="1" hidden="1">
      <c r="A53" s="469" t="s">
        <v>281</v>
      </c>
      <c r="B53" s="488"/>
      <c r="C53" s="489" t="s">
        <v>289</v>
      </c>
      <c r="D53" s="488"/>
      <c r="E53" s="488"/>
      <c r="F53" s="488"/>
      <c r="G53" s="488"/>
      <c r="H53" s="488"/>
      <c r="I53" s="488"/>
      <c r="J53" s="488"/>
      <c r="K53" s="488"/>
      <c r="L53" s="488"/>
      <c r="M53" s="488"/>
      <c r="N53" s="488"/>
      <c r="O53" s="488"/>
      <c r="P53" s="488"/>
      <c r="Q53" s="488"/>
      <c r="R53" s="80">
        <v>0.0214</v>
      </c>
      <c r="S53" s="64"/>
      <c r="T53" s="64"/>
      <c r="U53" s="64"/>
      <c r="AC53" s="63"/>
    </row>
    <row r="54" spans="1:29" s="49" customFormat="1" ht="33.75" customHeight="1" hidden="1">
      <c r="A54" s="469" t="s">
        <v>282</v>
      </c>
      <c r="B54" s="488"/>
      <c r="C54" s="489" t="s">
        <v>290</v>
      </c>
      <c r="D54" s="488"/>
      <c r="E54" s="488"/>
      <c r="F54" s="488"/>
      <c r="G54" s="488"/>
      <c r="H54" s="488"/>
      <c r="I54" s="488"/>
      <c r="J54" s="488"/>
      <c r="K54" s="488"/>
      <c r="L54" s="488"/>
      <c r="M54" s="488"/>
      <c r="N54" s="488"/>
      <c r="O54" s="488"/>
      <c r="P54" s="488"/>
      <c r="Q54" s="488"/>
      <c r="R54" s="80">
        <v>0.03</v>
      </c>
      <c r="S54" s="64"/>
      <c r="T54" s="64"/>
      <c r="U54" s="64"/>
      <c r="AC54" s="63"/>
    </row>
    <row r="55" spans="2:29" ht="15.75" hidden="1">
      <c r="B55" s="13" t="s">
        <v>373</v>
      </c>
      <c r="C55" s="58"/>
      <c r="Q55" s="65"/>
      <c r="R55" s="80">
        <f>SUM(R47:R54)</f>
        <v>0.11994</v>
      </c>
      <c r="S55" s="65"/>
      <c r="T55" s="65"/>
      <c r="U55" s="65"/>
      <c r="AC55" s="57"/>
    </row>
    <row r="56" spans="3:29" ht="15.75" hidden="1">
      <c r="C56" s="58"/>
      <c r="Q56" s="65"/>
      <c r="R56" s="81">
        <v>1.11994</v>
      </c>
      <c r="S56" s="66"/>
      <c r="T56" s="66"/>
      <c r="U56" s="66"/>
      <c r="AC56" s="57"/>
    </row>
    <row r="57" spans="1:29" ht="15.75" hidden="1">
      <c r="A57" s="58"/>
      <c r="C57" s="58"/>
      <c r="Q57" s="65"/>
      <c r="R57" s="80"/>
      <c r="S57" s="65"/>
      <c r="T57" s="65"/>
      <c r="U57" s="65"/>
      <c r="AC57" s="57"/>
    </row>
    <row r="58" spans="1:29" ht="15.75" hidden="1">
      <c r="A58" s="58"/>
      <c r="C58" s="58" t="s">
        <v>374</v>
      </c>
      <c r="E58" s="58"/>
      <c r="F58" s="13"/>
      <c r="I58" s="14" t="s">
        <v>375</v>
      </c>
      <c r="AC58" s="57"/>
    </row>
    <row r="59" ht="15.75" hidden="1">
      <c r="AC59" s="57"/>
    </row>
    <row r="60" spans="2:29" ht="15.75" hidden="1">
      <c r="B60" s="13" t="s">
        <v>376</v>
      </c>
      <c r="AC60" s="57"/>
    </row>
    <row r="61" spans="1:29" s="72" customFormat="1" ht="31.5" hidden="1">
      <c r="A61" s="67"/>
      <c r="B61" s="68" t="s">
        <v>377</v>
      </c>
      <c r="C61" s="69"/>
      <c r="D61" s="69"/>
      <c r="E61" s="69"/>
      <c r="F61" s="69"/>
      <c r="G61" s="69"/>
      <c r="H61" s="70">
        <f>ROUND(PRODUCT(SUM(H13:H21)/9),2)</f>
        <v>191349.49</v>
      </c>
      <c r="I61" s="69"/>
      <c r="J61" s="69"/>
      <c r="K61" s="69"/>
      <c r="L61" s="69"/>
      <c r="M61" s="69"/>
      <c r="N61" s="69"/>
      <c r="O61" s="69"/>
      <c r="P61" s="69"/>
      <c r="Q61" s="71">
        <f>ROUND(PRODUCT(SUM(Q13:Q21)/9),2)</f>
        <v>227751.81</v>
      </c>
      <c r="R61" s="82">
        <f>ROUND(PRODUCT(SUM(R13:R21)/9),2)</f>
        <v>233787.24</v>
      </c>
      <c r="S61" s="71">
        <f>ROUND(PRODUCT(SUM(S13:S21)/9),2)</f>
        <v>858624.34</v>
      </c>
      <c r="T61" s="71">
        <f>ROUND(PRODUCT(SUM(T13:T21)/9),2)</f>
        <v>904756.61</v>
      </c>
      <c r="AC61" s="73"/>
    </row>
    <row r="62" spans="1:29" s="72" customFormat="1" ht="31.5" hidden="1">
      <c r="A62" s="67"/>
      <c r="B62" s="68" t="s">
        <v>378</v>
      </c>
      <c r="C62" s="69"/>
      <c r="D62" s="69"/>
      <c r="E62" s="69"/>
      <c r="F62" s="69"/>
      <c r="G62" s="69"/>
      <c r="H62" s="70">
        <f>ROUND(PRODUCT(SUM(H23:H40))/18,2)</f>
        <v>398755.89</v>
      </c>
      <c r="I62" s="69"/>
      <c r="J62" s="69"/>
      <c r="K62" s="69"/>
      <c r="L62" s="69"/>
      <c r="M62" s="69"/>
      <c r="N62" s="69"/>
      <c r="O62" s="69"/>
      <c r="P62" s="69"/>
      <c r="Q62" s="71">
        <f>ROUND(PRODUCT(SUM(Q23:Q40)/18),2)</f>
        <v>474615.2</v>
      </c>
      <c r="R62" s="82">
        <f>ROUND(PRODUCT(SUM(R23:R40)/18),2)</f>
        <v>558289.86</v>
      </c>
      <c r="S62" s="71">
        <f>ROUND(PRODUCT(SUM(S23:S40)/18),2)</f>
        <v>1561484.02</v>
      </c>
      <c r="T62" s="71">
        <f>ROUND(PRODUCT(SUM(T23:T40)/18),2)</f>
        <v>2160581.78</v>
      </c>
      <c r="AC62" s="73"/>
    </row>
    <row r="63" ht="15.75" hidden="1">
      <c r="AC63" s="57"/>
    </row>
    <row r="64" ht="15.75" hidden="1">
      <c r="AC64" s="57"/>
    </row>
    <row r="65" ht="15.75" hidden="1"/>
    <row r="66" spans="2:35" s="14" customFormat="1" ht="15.75" hidden="1">
      <c r="B66" s="13" t="s">
        <v>374</v>
      </c>
      <c r="C66" s="14" t="s">
        <v>379</v>
      </c>
      <c r="Q66" s="13"/>
      <c r="R66" s="67"/>
      <c r="S66" s="13"/>
      <c r="T66" s="13"/>
      <c r="U66" s="13"/>
      <c r="V66" s="13"/>
      <c r="W66" s="13"/>
      <c r="X66" s="13"/>
      <c r="Y66" s="13"/>
      <c r="Z66" s="13"/>
      <c r="AA66" s="13"/>
      <c r="AB66" s="13"/>
      <c r="AD66" s="13"/>
      <c r="AE66" s="13"/>
      <c r="AF66" s="13"/>
      <c r="AG66" s="13"/>
      <c r="AH66" s="13"/>
      <c r="AI66" s="13"/>
    </row>
  </sheetData>
  <sheetProtection/>
  <mergeCells count="56">
    <mergeCell ref="V4:W4"/>
    <mergeCell ref="V5:W5"/>
    <mergeCell ref="A6:A10"/>
    <mergeCell ref="B6:B10"/>
    <mergeCell ref="C6:C10"/>
    <mergeCell ref="D6:D10"/>
    <mergeCell ref="A2:T2"/>
    <mergeCell ref="A4:T4"/>
    <mergeCell ref="R6:R9"/>
    <mergeCell ref="S6:S9"/>
    <mergeCell ref="Y8:Y9"/>
    <mergeCell ref="Z8:Z9"/>
    <mergeCell ref="Z6:Z7"/>
    <mergeCell ref="T6:T9"/>
    <mergeCell ref="V6:W7"/>
    <mergeCell ref="X6:X7"/>
    <mergeCell ref="AB6:AB7"/>
    <mergeCell ref="AC6:AC7"/>
    <mergeCell ref="AD6:AD7"/>
    <mergeCell ref="AE6:AE7"/>
    <mergeCell ref="L7:M7"/>
    <mergeCell ref="V8:W8"/>
    <mergeCell ref="X8:X9"/>
    <mergeCell ref="AA6:AA7"/>
    <mergeCell ref="I6:P6"/>
    <mergeCell ref="Q6:Q9"/>
    <mergeCell ref="AC8:AC9"/>
    <mergeCell ref="AE8:AE9"/>
    <mergeCell ref="V10:AE10"/>
    <mergeCell ref="C43:N43"/>
    <mergeCell ref="G6:G10"/>
    <mergeCell ref="H6:H9"/>
    <mergeCell ref="AA8:AA9"/>
    <mergeCell ref="E6:E10"/>
    <mergeCell ref="F6:F10"/>
    <mergeCell ref="Y6:Y7"/>
    <mergeCell ref="AD8:AD9"/>
    <mergeCell ref="A53:B53"/>
    <mergeCell ref="C53:Q53"/>
    <mergeCell ref="A54:B54"/>
    <mergeCell ref="C54:Q54"/>
    <mergeCell ref="A52:B52"/>
    <mergeCell ref="C52:Q52"/>
    <mergeCell ref="A48:B48"/>
    <mergeCell ref="C48:Q48"/>
    <mergeCell ref="AB8:AB9"/>
    <mergeCell ref="E1:R1"/>
    <mergeCell ref="A49:B49"/>
    <mergeCell ref="C49:Q49"/>
    <mergeCell ref="A50:B51"/>
    <mergeCell ref="C50:Q50"/>
    <mergeCell ref="C51:Q51"/>
    <mergeCell ref="C44:N44"/>
    <mergeCell ref="C45:N45"/>
    <mergeCell ref="A47:B47"/>
    <mergeCell ref="C47:Q47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58" r:id="rId1"/>
  <colBreaks count="1" manualBreakCount="1">
    <brk id="20" min="1" max="6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E111"/>
  <sheetViews>
    <sheetView view="pageBreakPreview" zoomScale="60" zoomScaleNormal="60" zoomScalePageLayoutView="0" workbookViewId="0" topLeftCell="B1">
      <selection activeCell="E1" sqref="E1:AD1"/>
    </sheetView>
  </sheetViews>
  <sheetFormatPr defaultColWidth="9.140625" defaultRowHeight="15"/>
  <cols>
    <col min="1" max="1" width="9.8515625" style="86" hidden="1" customWidth="1"/>
    <col min="2" max="2" width="106.421875" style="84" customWidth="1"/>
    <col min="3" max="3" width="17.00390625" style="86" customWidth="1"/>
    <col min="4" max="4" width="17.57421875" style="86" customWidth="1"/>
    <col min="5" max="5" width="14.140625" style="86" customWidth="1"/>
    <col min="6" max="6" width="13.7109375" style="86" customWidth="1"/>
    <col min="7" max="9" width="25.421875" style="86" hidden="1" customWidth="1"/>
    <col min="10" max="10" width="28.421875" style="86" hidden="1" customWidth="1"/>
    <col min="11" max="12" width="25.421875" style="86" hidden="1" customWidth="1"/>
    <col min="13" max="13" width="32.28125" style="86" hidden="1" customWidth="1"/>
    <col min="14" max="15" width="25.421875" style="86" hidden="1" customWidth="1"/>
    <col min="16" max="16" width="23.7109375" style="84" hidden="1" customWidth="1"/>
    <col min="17" max="17" width="23.7109375" style="148" customWidth="1"/>
    <col min="18" max="19" width="23.7109375" style="84" hidden="1" customWidth="1"/>
    <col min="20" max="20" width="1.7109375" style="84" hidden="1" customWidth="1"/>
    <col min="21" max="27" width="20.7109375" style="84" hidden="1" customWidth="1"/>
    <col min="28" max="28" width="11.140625" style="84" hidden="1" customWidth="1"/>
    <col min="29" max="31" width="20.7109375" style="84" hidden="1" customWidth="1"/>
    <col min="32" max="16384" width="9.140625" style="84" customWidth="1"/>
  </cols>
  <sheetData>
    <row r="1" spans="5:30" ht="121.5" customHeight="1">
      <c r="E1" s="616" t="s">
        <v>161</v>
      </c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6"/>
      <c r="AB1" s="616"/>
      <c r="AC1" s="616"/>
      <c r="AD1" s="616"/>
    </row>
    <row r="2" spans="1:20" ht="32.25" customHeight="1">
      <c r="A2" s="648" t="s">
        <v>252</v>
      </c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649"/>
      <c r="S2" s="649"/>
      <c r="T2" s="144"/>
    </row>
    <row r="3" spans="1:17" s="90" customFormat="1" ht="5.25" customHeight="1">
      <c r="A3" s="142"/>
      <c r="B3" s="141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39"/>
      <c r="Q3" s="145"/>
    </row>
    <row r="4" spans="1:20" s="138" customFormat="1" ht="36.75" customHeight="1">
      <c r="A4" s="645" t="s">
        <v>159</v>
      </c>
      <c r="B4" s="646"/>
      <c r="C4" s="646"/>
      <c r="D4" s="646"/>
      <c r="E4" s="646"/>
      <c r="F4" s="646"/>
      <c r="G4" s="646"/>
      <c r="H4" s="646"/>
      <c r="I4" s="646"/>
      <c r="J4" s="646"/>
      <c r="K4" s="646"/>
      <c r="L4" s="646"/>
      <c r="M4" s="646"/>
      <c r="N4" s="646"/>
      <c r="O4" s="646"/>
      <c r="P4" s="646"/>
      <c r="Q4" s="647"/>
      <c r="R4" s="647"/>
      <c r="S4" s="647"/>
      <c r="T4" s="143"/>
    </row>
    <row r="5" spans="1:17" s="90" customFormat="1" ht="14.25" customHeight="1" thickBot="1">
      <c r="A5" s="142"/>
      <c r="B5" s="141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39"/>
      <c r="Q5" s="145"/>
    </row>
    <row r="6" spans="1:31" ht="69" customHeight="1">
      <c r="A6" s="651" t="s">
        <v>254</v>
      </c>
      <c r="B6" s="639" t="s">
        <v>255</v>
      </c>
      <c r="C6" s="642" t="s">
        <v>158</v>
      </c>
      <c r="D6" s="642" t="s">
        <v>157</v>
      </c>
      <c r="E6" s="642" t="s">
        <v>160</v>
      </c>
      <c r="F6" s="642" t="s">
        <v>260</v>
      </c>
      <c r="G6" s="642" t="s">
        <v>261</v>
      </c>
      <c r="H6" s="655" t="s">
        <v>262</v>
      </c>
      <c r="I6" s="656"/>
      <c r="J6" s="656"/>
      <c r="K6" s="656"/>
      <c r="L6" s="656"/>
      <c r="M6" s="656"/>
      <c r="N6" s="656"/>
      <c r="O6" s="657"/>
      <c r="P6" s="642" t="s">
        <v>156</v>
      </c>
      <c r="Q6" s="658" t="s">
        <v>155</v>
      </c>
      <c r="R6" s="642" t="s">
        <v>265</v>
      </c>
      <c r="S6" s="517" t="s">
        <v>266</v>
      </c>
      <c r="T6" s="117"/>
      <c r="U6" s="499" t="s">
        <v>154</v>
      </c>
      <c r="V6" s="524" t="s">
        <v>268</v>
      </c>
      <c r="W6" s="525" t="s">
        <v>269</v>
      </c>
      <c r="X6" s="526"/>
      <c r="Y6" s="524" t="s">
        <v>270</v>
      </c>
      <c r="Z6" s="499" t="s">
        <v>271</v>
      </c>
      <c r="AA6" s="525" t="s">
        <v>153</v>
      </c>
      <c r="AB6" s="528"/>
      <c r="AC6" s="529"/>
      <c r="AD6" s="455" t="s">
        <v>274</v>
      </c>
      <c r="AE6" s="499" t="s">
        <v>275</v>
      </c>
    </row>
    <row r="7" spans="1:31" ht="185.25" customHeight="1" hidden="1">
      <c r="A7" s="652"/>
      <c r="B7" s="640"/>
      <c r="C7" s="643"/>
      <c r="D7" s="643"/>
      <c r="E7" s="643"/>
      <c r="F7" s="643"/>
      <c r="G7" s="650"/>
      <c r="H7" s="24" t="s">
        <v>276</v>
      </c>
      <c r="I7" s="24" t="s">
        <v>277</v>
      </c>
      <c r="J7" s="24" t="s">
        <v>278</v>
      </c>
      <c r="K7" s="654" t="s">
        <v>279</v>
      </c>
      <c r="L7" s="654"/>
      <c r="M7" s="19" t="s">
        <v>280</v>
      </c>
      <c r="N7" s="24" t="s">
        <v>281</v>
      </c>
      <c r="O7" s="24" t="s">
        <v>282</v>
      </c>
      <c r="P7" s="650"/>
      <c r="Q7" s="659"/>
      <c r="R7" s="650"/>
      <c r="S7" s="518"/>
      <c r="T7" s="6"/>
      <c r="U7" s="500"/>
      <c r="V7" s="500"/>
      <c r="W7" s="527"/>
      <c r="X7" s="513"/>
      <c r="Y7" s="500"/>
      <c r="Z7" s="500"/>
      <c r="AA7" s="530"/>
      <c r="AB7" s="531"/>
      <c r="AC7" s="532"/>
      <c r="AD7" s="500"/>
      <c r="AE7" s="500"/>
    </row>
    <row r="8" spans="1:31" ht="132" customHeight="1" hidden="1">
      <c r="A8" s="652"/>
      <c r="B8" s="640"/>
      <c r="C8" s="643"/>
      <c r="D8" s="643"/>
      <c r="E8" s="643"/>
      <c r="F8" s="643"/>
      <c r="G8" s="650"/>
      <c r="H8" s="131" t="s">
        <v>283</v>
      </c>
      <c r="I8" s="131" t="s">
        <v>284</v>
      </c>
      <c r="J8" s="131" t="s">
        <v>285</v>
      </c>
      <c r="K8" s="131" t="s">
        <v>286</v>
      </c>
      <c r="L8" s="131" t="s">
        <v>287</v>
      </c>
      <c r="M8" s="19" t="s">
        <v>288</v>
      </c>
      <c r="N8" s="131" t="s">
        <v>289</v>
      </c>
      <c r="O8" s="131" t="s">
        <v>290</v>
      </c>
      <c r="P8" s="650"/>
      <c r="Q8" s="659"/>
      <c r="R8" s="650"/>
      <c r="S8" s="518"/>
      <c r="T8" s="6"/>
      <c r="U8" s="135" t="s">
        <v>152</v>
      </c>
      <c r="V8" s="131" t="s">
        <v>151</v>
      </c>
      <c r="W8" s="137" t="s">
        <v>293</v>
      </c>
      <c r="X8" s="136"/>
      <c r="Y8" s="131" t="s">
        <v>294</v>
      </c>
      <c r="Z8" s="135" t="s">
        <v>295</v>
      </c>
      <c r="AA8" s="134" t="s">
        <v>297</v>
      </c>
      <c r="AB8" s="133"/>
      <c r="AC8" s="132"/>
      <c r="AD8" s="131" t="s">
        <v>297</v>
      </c>
      <c r="AE8" s="131" t="s">
        <v>297</v>
      </c>
    </row>
    <row r="9" spans="1:31" ht="37.5" customHeight="1" hidden="1">
      <c r="A9" s="652"/>
      <c r="B9" s="640"/>
      <c r="C9" s="643"/>
      <c r="D9" s="643"/>
      <c r="E9" s="643"/>
      <c r="F9" s="643"/>
      <c r="G9" s="500"/>
      <c r="H9" s="130">
        <v>0.025</v>
      </c>
      <c r="I9" s="130">
        <v>0.00504</v>
      </c>
      <c r="J9" s="130">
        <v>0.03</v>
      </c>
      <c r="K9" s="130">
        <v>0.006</v>
      </c>
      <c r="L9" s="130">
        <v>0.0005</v>
      </c>
      <c r="M9" s="21">
        <f>'[1]ПИР'!L194+0.2%</f>
        <v>0.0659</v>
      </c>
      <c r="N9" s="130">
        <v>0.0214</v>
      </c>
      <c r="O9" s="129">
        <v>0.03</v>
      </c>
      <c r="P9" s="500"/>
      <c r="Q9" s="660"/>
      <c r="R9" s="500"/>
      <c r="S9" s="519"/>
      <c r="T9" s="6"/>
      <c r="U9" s="128"/>
      <c r="V9" s="127"/>
      <c r="W9" s="2" t="s">
        <v>150</v>
      </c>
      <c r="X9" s="2" t="s">
        <v>149</v>
      </c>
      <c r="Y9" s="127"/>
      <c r="Z9" s="127"/>
      <c r="AA9" s="126"/>
      <c r="AB9" s="125"/>
      <c r="AC9" s="124"/>
      <c r="AD9" s="123"/>
      <c r="AE9" s="123"/>
    </row>
    <row r="10" spans="1:31" ht="19.5" customHeight="1">
      <c r="A10" s="653"/>
      <c r="B10" s="641"/>
      <c r="C10" s="644"/>
      <c r="D10" s="644"/>
      <c r="E10" s="644"/>
      <c r="F10" s="644"/>
      <c r="G10" s="24" t="s">
        <v>300</v>
      </c>
      <c r="H10" s="24" t="s">
        <v>300</v>
      </c>
      <c r="I10" s="24" t="s">
        <v>300</v>
      </c>
      <c r="J10" s="24" t="s">
        <v>300</v>
      </c>
      <c r="K10" s="24" t="s">
        <v>300</v>
      </c>
      <c r="L10" s="24" t="s">
        <v>300</v>
      </c>
      <c r="M10" s="24" t="s">
        <v>300</v>
      </c>
      <c r="N10" s="24" t="s">
        <v>300</v>
      </c>
      <c r="O10" s="24" t="s">
        <v>300</v>
      </c>
      <c r="P10" s="24" t="s">
        <v>301</v>
      </c>
      <c r="Q10" s="122" t="s">
        <v>301</v>
      </c>
      <c r="R10" s="24" t="s">
        <v>301</v>
      </c>
      <c r="S10" s="121" t="s">
        <v>301</v>
      </c>
      <c r="T10" s="117"/>
      <c r="U10" s="521" t="s">
        <v>148</v>
      </c>
      <c r="V10" s="522"/>
      <c r="W10" s="522"/>
      <c r="X10" s="522"/>
      <c r="Y10" s="522"/>
      <c r="Z10" s="522"/>
      <c r="AA10" s="522"/>
      <c r="AB10" s="522"/>
      <c r="AC10" s="522"/>
      <c r="AD10" s="522"/>
      <c r="AE10" s="523"/>
    </row>
    <row r="11" spans="1:31" ht="15.75">
      <c r="A11" s="120">
        <v>1</v>
      </c>
      <c r="B11" s="119">
        <v>2</v>
      </c>
      <c r="C11" s="118">
        <f aca="true" t="shared" si="0" ref="C11:S11">B11+1</f>
        <v>3</v>
      </c>
      <c r="D11" s="118">
        <f t="shared" si="0"/>
        <v>4</v>
      </c>
      <c r="E11" s="118">
        <f t="shared" si="0"/>
        <v>5</v>
      </c>
      <c r="F11" s="118">
        <f t="shared" si="0"/>
        <v>6</v>
      </c>
      <c r="G11" s="118">
        <f t="shared" si="0"/>
        <v>7</v>
      </c>
      <c r="H11" s="118">
        <f t="shared" si="0"/>
        <v>8</v>
      </c>
      <c r="I11" s="118">
        <f t="shared" si="0"/>
        <v>9</v>
      </c>
      <c r="J11" s="118">
        <f t="shared" si="0"/>
        <v>10</v>
      </c>
      <c r="K11" s="118">
        <f t="shared" si="0"/>
        <v>11</v>
      </c>
      <c r="L11" s="118">
        <f t="shared" si="0"/>
        <v>12</v>
      </c>
      <c r="M11" s="118">
        <f t="shared" si="0"/>
        <v>13</v>
      </c>
      <c r="N11" s="118">
        <f t="shared" si="0"/>
        <v>14</v>
      </c>
      <c r="O11" s="118">
        <f t="shared" si="0"/>
        <v>15</v>
      </c>
      <c r="P11" s="118">
        <f t="shared" si="0"/>
        <v>16</v>
      </c>
      <c r="Q11" s="118">
        <f t="shared" si="0"/>
        <v>17</v>
      </c>
      <c r="R11" s="118">
        <f t="shared" si="0"/>
        <v>18</v>
      </c>
      <c r="S11" s="118">
        <f t="shared" si="0"/>
        <v>19</v>
      </c>
      <c r="T11" s="117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</row>
    <row r="12" spans="1:31" s="101" customFormat="1" ht="26.25" customHeight="1">
      <c r="A12" s="110" t="s">
        <v>147</v>
      </c>
      <c r="B12" s="109" t="s">
        <v>146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15"/>
      <c r="Q12" s="108"/>
      <c r="R12" s="115"/>
      <c r="S12" s="114"/>
      <c r="T12" s="113"/>
      <c r="U12" s="104">
        <f>(U15+U21+U27+U33+U39+U45+U51+U57)/8</f>
        <v>197480.13250000004</v>
      </c>
      <c r="V12" s="104">
        <f>(V13+V15+V20+V21+V26+V27+V32+V33+V38+V39+V44+V45)/12</f>
        <v>394927.87833333336</v>
      </c>
      <c r="W12" s="104">
        <f>(W21+W27+W33+W39+W45+W51+W57)/7</f>
        <v>329978.71428571426</v>
      </c>
      <c r="X12" s="104">
        <f>(X21+X27+X33+X39+X45+X51+X57)/7</f>
        <v>427057.14285714284</v>
      </c>
      <c r="Y12" s="103">
        <v>213423.67</v>
      </c>
      <c r="Z12" s="103">
        <v>375850</v>
      </c>
      <c r="AA12" s="104">
        <f>(AA13+AA15+AA20+AA21+AA26+AA27+AA32+AA33+AA38+AA39+AA44+AA45+AA50+AA51+AA56+AA57)/16</f>
        <v>273091.9375</v>
      </c>
      <c r="AB12" s="104"/>
      <c r="AC12" s="104">
        <f>(AC13+AC15+AC20+AC21+AC26+AC27+AC32+AC33+AC38+AC39+AC44+AC45+AC50+AC51+AC56+AC57)/4</f>
        <v>568343.75</v>
      </c>
      <c r="AD12" s="102"/>
      <c r="AE12" s="102"/>
    </row>
    <row r="13" spans="1:31" s="90" customFormat="1" ht="36" customHeight="1">
      <c r="A13" s="100" t="s">
        <v>145</v>
      </c>
      <c r="B13" s="99" t="s">
        <v>144</v>
      </c>
      <c r="C13" s="98" t="s">
        <v>470</v>
      </c>
      <c r="D13" s="98">
        <v>35</v>
      </c>
      <c r="E13" s="98">
        <v>1</v>
      </c>
      <c r="F13" s="98">
        <v>0.4</v>
      </c>
      <c r="G13" s="93">
        <v>144845.96</v>
      </c>
      <c r="H13" s="93">
        <f aca="true" t="shared" si="1" ref="H13:O13">ROUND(PRODUCT($G$13*H9),2)</f>
        <v>3621.15</v>
      </c>
      <c r="I13" s="93">
        <f t="shared" si="1"/>
        <v>730.02</v>
      </c>
      <c r="J13" s="93">
        <f t="shared" si="1"/>
        <v>4345.38</v>
      </c>
      <c r="K13" s="93">
        <f t="shared" si="1"/>
        <v>869.08</v>
      </c>
      <c r="L13" s="93">
        <f t="shared" si="1"/>
        <v>72.42</v>
      </c>
      <c r="M13" s="93">
        <f t="shared" si="1"/>
        <v>9545.35</v>
      </c>
      <c r="N13" s="93">
        <f t="shared" si="1"/>
        <v>3099.7</v>
      </c>
      <c r="O13" s="93">
        <f t="shared" si="1"/>
        <v>4345.38</v>
      </c>
      <c r="P13" s="93">
        <f aca="true" t="shared" si="2" ref="P13:P60">G13+H13+I13+J13+K13+L13+M13+N13+O13</f>
        <v>171474.44</v>
      </c>
      <c r="Q13" s="146">
        <f>ROUND(PRODUCT(P13*'[1]индексы'!$L$16),2)</f>
        <v>186255.54</v>
      </c>
      <c r="R13" s="93">
        <f>ROUND(PRODUCT(P13*'[1]индексы'!$H$16),2)</f>
        <v>855657.46</v>
      </c>
      <c r="S13" s="96">
        <f>ROUND(PRODUCT(Q13*'[1]индексы'!$D$16),2)</f>
        <v>1009505.03</v>
      </c>
      <c r="T13" s="92"/>
      <c r="U13" s="91"/>
      <c r="V13" s="111">
        <v>285690.9</v>
      </c>
      <c r="W13" s="91"/>
      <c r="X13" s="91"/>
      <c r="Y13" s="91"/>
      <c r="Z13" s="91"/>
      <c r="AA13" s="111">
        <v>172051</v>
      </c>
      <c r="AB13" s="111"/>
      <c r="AC13" s="111"/>
      <c r="AD13" s="91"/>
      <c r="AE13" s="91"/>
    </row>
    <row r="14" spans="1:31" s="90" customFormat="1" ht="36" customHeight="1">
      <c r="A14" s="100" t="s">
        <v>143</v>
      </c>
      <c r="B14" s="99" t="s">
        <v>142</v>
      </c>
      <c r="C14" s="98" t="s">
        <v>470</v>
      </c>
      <c r="D14" s="98">
        <v>35</v>
      </c>
      <c r="E14" s="98">
        <v>1</v>
      </c>
      <c r="F14" s="98">
        <v>0.4</v>
      </c>
      <c r="G14" s="93">
        <v>159942.05</v>
      </c>
      <c r="H14" s="93">
        <f>ROUND(PRODUCT(G14*$H$9),2)</f>
        <v>3998.55</v>
      </c>
      <c r="I14" s="93">
        <f>ROUND(PRODUCT(G14*$I$9),2)</f>
        <v>806.11</v>
      </c>
      <c r="J14" s="93">
        <f>ROUND(PRODUCT(G14*$J$9),2)</f>
        <v>4798.26</v>
      </c>
      <c r="K14" s="93">
        <f>ROUND(PRODUCT(G14*$K$9),2)</f>
        <v>959.65</v>
      </c>
      <c r="L14" s="93">
        <f>ROUND(PRODUCT(G14*$L$9),2)</f>
        <v>79.97</v>
      </c>
      <c r="M14" s="93">
        <f>ROUND(PRODUCT(G14*$M$9),2)</f>
        <v>10540.18</v>
      </c>
      <c r="N14" s="93">
        <f>ROUND(PRODUCT(G14*$N$9),2)</f>
        <v>3422.76</v>
      </c>
      <c r="O14" s="93">
        <f>ROUND(PRODUCT(G14*$O$9),2)</f>
        <v>4798.26</v>
      </c>
      <c r="P14" s="93">
        <f t="shared" si="2"/>
        <v>189345.78999999998</v>
      </c>
      <c r="Q14" s="146">
        <f>ROUND(PRODUCT(P14*'[1]индексы'!$L$16),2)</f>
        <v>205667.4</v>
      </c>
      <c r="R14" s="93">
        <f>ROUND(PRODUCT(P14*'[1]индексы'!$H$16),2)</f>
        <v>944835.49</v>
      </c>
      <c r="S14" s="96">
        <f>ROUND(PRODUCT(Q14*'[1]индексы'!$D$16),2)</f>
        <v>1114717.31</v>
      </c>
      <c r="T14" s="92"/>
      <c r="U14" s="91"/>
      <c r="V14" s="111">
        <v>285690.9</v>
      </c>
      <c r="W14" s="91"/>
      <c r="X14" s="91"/>
      <c r="Y14" s="91"/>
      <c r="Z14" s="91"/>
      <c r="AA14" s="111">
        <v>172051</v>
      </c>
      <c r="AB14" s="111"/>
      <c r="AC14" s="111"/>
      <c r="AD14" s="91"/>
      <c r="AE14" s="91"/>
    </row>
    <row r="15" spans="1:31" s="90" customFormat="1" ht="48.75" customHeight="1">
      <c r="A15" s="100" t="s">
        <v>141</v>
      </c>
      <c r="B15" s="99" t="s">
        <v>140</v>
      </c>
      <c r="C15" s="98" t="s">
        <v>470</v>
      </c>
      <c r="D15" s="98">
        <v>35</v>
      </c>
      <c r="E15" s="98">
        <v>1</v>
      </c>
      <c r="F15" s="98">
        <v>0.4</v>
      </c>
      <c r="G15" s="93">
        <v>169919.65</v>
      </c>
      <c r="H15" s="93">
        <f aca="true" t="shared" si="3" ref="H15:O15">ROUND(PRODUCT($G$15*H9),2)</f>
        <v>4247.99</v>
      </c>
      <c r="I15" s="93">
        <f t="shared" si="3"/>
        <v>856.4</v>
      </c>
      <c r="J15" s="93">
        <f t="shared" si="3"/>
        <v>5097.59</v>
      </c>
      <c r="K15" s="93">
        <f t="shared" si="3"/>
        <v>1019.52</v>
      </c>
      <c r="L15" s="93">
        <f t="shared" si="3"/>
        <v>84.96</v>
      </c>
      <c r="M15" s="93">
        <f t="shared" si="3"/>
        <v>11197.7</v>
      </c>
      <c r="N15" s="93">
        <f t="shared" si="3"/>
        <v>3636.28</v>
      </c>
      <c r="O15" s="93">
        <f t="shared" si="3"/>
        <v>5097.59</v>
      </c>
      <c r="P15" s="93">
        <f t="shared" si="2"/>
        <v>201157.67999999996</v>
      </c>
      <c r="Q15" s="146">
        <f>ROUND(PRODUCT(P15*'[1]индексы'!$L$16),2)</f>
        <v>218497.47</v>
      </c>
      <c r="R15" s="93">
        <f>ROUND(PRODUCT(P15*'[1]индексы'!$H$16),2)</f>
        <v>1003776.82</v>
      </c>
      <c r="S15" s="96">
        <f>ROUND(PRODUCT(Q15*'[1]индексы'!$D$16),2)</f>
        <v>1184256.29</v>
      </c>
      <c r="T15" s="92"/>
      <c r="U15" s="91">
        <v>159858.02</v>
      </c>
      <c r="V15" s="111">
        <v>413962.63</v>
      </c>
      <c r="W15" s="91"/>
      <c r="X15" s="91"/>
      <c r="Y15" s="91"/>
      <c r="Z15" s="91"/>
      <c r="AA15" s="111">
        <v>250788</v>
      </c>
      <c r="AB15" s="111"/>
      <c r="AC15" s="111"/>
      <c r="AD15" s="91"/>
      <c r="AE15" s="91"/>
    </row>
    <row r="16" spans="1:31" s="90" customFormat="1" ht="69" customHeight="1">
      <c r="A16" s="100" t="s">
        <v>139</v>
      </c>
      <c r="B16" s="94" t="s">
        <v>138</v>
      </c>
      <c r="C16" s="98" t="s">
        <v>470</v>
      </c>
      <c r="D16" s="98">
        <v>35</v>
      </c>
      <c r="E16" s="98">
        <v>1</v>
      </c>
      <c r="F16" s="98">
        <v>0.4</v>
      </c>
      <c r="G16" s="44">
        <v>195832.98</v>
      </c>
      <c r="H16" s="93">
        <f aca="true" t="shared" si="4" ref="H16:O16">ROUND(PRODUCT(($G$16)*H9),2)</f>
        <v>4895.82</v>
      </c>
      <c r="I16" s="93">
        <f t="shared" si="4"/>
        <v>987</v>
      </c>
      <c r="J16" s="93">
        <f t="shared" si="4"/>
        <v>5874.99</v>
      </c>
      <c r="K16" s="93">
        <f t="shared" si="4"/>
        <v>1175</v>
      </c>
      <c r="L16" s="93">
        <f t="shared" si="4"/>
        <v>97.92</v>
      </c>
      <c r="M16" s="93">
        <f t="shared" si="4"/>
        <v>12905.39</v>
      </c>
      <c r="N16" s="93">
        <f t="shared" si="4"/>
        <v>4190.83</v>
      </c>
      <c r="O16" s="93">
        <f t="shared" si="4"/>
        <v>5874.99</v>
      </c>
      <c r="P16" s="93">
        <f t="shared" si="2"/>
        <v>231834.92</v>
      </c>
      <c r="Q16" s="146">
        <f>ROUND(PRODUCT(P16*'[1]индексы'!$L$16),2)</f>
        <v>251819.09</v>
      </c>
      <c r="R16" s="93">
        <f>ROUND(PRODUCT(P16*'[1]индексы'!$H$16),2)</f>
        <v>1156856.25</v>
      </c>
      <c r="S16" s="96">
        <f>ROUND(PRODUCT(Q16*'[1]индексы'!$D$16),2)</f>
        <v>1364859.47</v>
      </c>
      <c r="T16" s="92"/>
      <c r="U16" s="91"/>
      <c r="V16" s="111"/>
      <c r="W16" s="91"/>
      <c r="X16" s="91"/>
      <c r="Y16" s="91"/>
      <c r="Z16" s="91"/>
      <c r="AA16" s="111"/>
      <c r="AB16" s="111"/>
      <c r="AC16" s="111"/>
      <c r="AD16" s="91"/>
      <c r="AE16" s="91"/>
    </row>
    <row r="17" spans="1:31" s="90" customFormat="1" ht="69" customHeight="1">
      <c r="A17" s="100" t="s">
        <v>137</v>
      </c>
      <c r="B17" s="94" t="s">
        <v>136</v>
      </c>
      <c r="C17" s="98" t="s">
        <v>470</v>
      </c>
      <c r="D17" s="98">
        <v>35</v>
      </c>
      <c r="E17" s="98">
        <v>1</v>
      </c>
      <c r="F17" s="98">
        <v>0.4</v>
      </c>
      <c r="G17" s="44">
        <v>219488.08</v>
      </c>
      <c r="H17" s="93">
        <f aca="true" t="shared" si="5" ref="H17:O17">ROUND(PRODUCT($G$17*H9),2)</f>
        <v>5487.2</v>
      </c>
      <c r="I17" s="93">
        <f t="shared" si="5"/>
        <v>1106.22</v>
      </c>
      <c r="J17" s="93">
        <f t="shared" si="5"/>
        <v>6584.64</v>
      </c>
      <c r="K17" s="93">
        <f t="shared" si="5"/>
        <v>1316.93</v>
      </c>
      <c r="L17" s="93">
        <f t="shared" si="5"/>
        <v>109.74</v>
      </c>
      <c r="M17" s="93">
        <f t="shared" si="5"/>
        <v>14464.26</v>
      </c>
      <c r="N17" s="93">
        <f t="shared" si="5"/>
        <v>4697.04</v>
      </c>
      <c r="O17" s="93">
        <f t="shared" si="5"/>
        <v>6584.64</v>
      </c>
      <c r="P17" s="93">
        <f t="shared" si="2"/>
        <v>259838.75000000003</v>
      </c>
      <c r="Q17" s="146">
        <f>ROUND(PRODUCT(P17*'[1]индексы'!$L$16),2)</f>
        <v>282236.85</v>
      </c>
      <c r="R17" s="93">
        <f>ROUND(PRODUCT(P17*'[1]индексы'!$H$16),2)</f>
        <v>1296595.36</v>
      </c>
      <c r="S17" s="96">
        <f>ROUND(PRODUCT(Q17*'[1]индексы'!$D$16),2)</f>
        <v>1529723.73</v>
      </c>
      <c r="T17" s="92"/>
      <c r="U17" s="91"/>
      <c r="V17" s="111"/>
      <c r="W17" s="91"/>
      <c r="X17" s="91"/>
      <c r="Y17" s="91"/>
      <c r="Z17" s="91"/>
      <c r="AA17" s="111"/>
      <c r="AB17" s="111"/>
      <c r="AC17" s="111"/>
      <c r="AD17" s="91"/>
      <c r="AE17" s="91"/>
    </row>
    <row r="18" spans="1:31" s="90" customFormat="1" ht="69" customHeight="1">
      <c r="A18" s="100" t="s">
        <v>135</v>
      </c>
      <c r="B18" s="94" t="s">
        <v>134</v>
      </c>
      <c r="C18" s="98" t="s">
        <v>470</v>
      </c>
      <c r="D18" s="98">
        <v>35</v>
      </c>
      <c r="E18" s="98">
        <v>1</v>
      </c>
      <c r="F18" s="98">
        <v>0.4</v>
      </c>
      <c r="G18" s="44">
        <v>243143.18</v>
      </c>
      <c r="H18" s="93">
        <f aca="true" t="shared" si="6" ref="H18:O18">ROUND(PRODUCT($G$18*H9),2)</f>
        <v>6078.58</v>
      </c>
      <c r="I18" s="93">
        <f t="shared" si="6"/>
        <v>1225.44</v>
      </c>
      <c r="J18" s="93">
        <f t="shared" si="6"/>
        <v>7294.3</v>
      </c>
      <c r="K18" s="93">
        <f t="shared" si="6"/>
        <v>1458.86</v>
      </c>
      <c r="L18" s="93">
        <f t="shared" si="6"/>
        <v>121.57</v>
      </c>
      <c r="M18" s="93">
        <f t="shared" si="6"/>
        <v>16023.14</v>
      </c>
      <c r="N18" s="93">
        <f t="shared" si="6"/>
        <v>5203.26</v>
      </c>
      <c r="O18" s="93">
        <f t="shared" si="6"/>
        <v>7294.3</v>
      </c>
      <c r="P18" s="93">
        <f t="shared" si="2"/>
        <v>287842.62999999995</v>
      </c>
      <c r="Q18" s="146">
        <f>ROUND(PRODUCT(P18*'[1]индексы'!$L$16),2)</f>
        <v>312654.66</v>
      </c>
      <c r="R18" s="93">
        <f>ROUND(PRODUCT(P18*'[1]индексы'!$H$16),2)</f>
        <v>1436334.72</v>
      </c>
      <c r="S18" s="96">
        <f>ROUND(PRODUCT(Q18*'[1]индексы'!$D$16),2)</f>
        <v>1694588.26</v>
      </c>
      <c r="T18" s="92"/>
      <c r="U18" s="91"/>
      <c r="V18" s="111"/>
      <c r="W18" s="91"/>
      <c r="X18" s="91"/>
      <c r="Y18" s="91"/>
      <c r="Z18" s="91"/>
      <c r="AA18" s="111"/>
      <c r="AB18" s="111"/>
      <c r="AC18" s="111"/>
      <c r="AD18" s="91"/>
      <c r="AE18" s="91"/>
    </row>
    <row r="19" spans="1:31" s="90" customFormat="1" ht="36" customHeight="1">
      <c r="A19" s="100" t="s">
        <v>133</v>
      </c>
      <c r="B19" s="94" t="s">
        <v>132</v>
      </c>
      <c r="C19" s="98" t="s">
        <v>470</v>
      </c>
      <c r="D19" s="98">
        <v>50</v>
      </c>
      <c r="E19" s="98">
        <v>1</v>
      </c>
      <c r="F19" s="98">
        <v>0.4</v>
      </c>
      <c r="G19" s="93">
        <v>154105.36</v>
      </c>
      <c r="H19" s="93">
        <f>ROUND(PRODUCT(G19*$H$9),2)</f>
        <v>3852.63</v>
      </c>
      <c r="I19" s="93">
        <f>ROUND(PRODUCT(G19*$I$9),2)</f>
        <v>776.69</v>
      </c>
      <c r="J19" s="93">
        <f>ROUND(PRODUCT(G19*$J$9),2)</f>
        <v>4623.16</v>
      </c>
      <c r="K19" s="93">
        <f>ROUND(PRODUCT(G19*$K$9),2)</f>
        <v>924.63</v>
      </c>
      <c r="L19" s="93">
        <f>ROUND(PRODUCT(G19*$L$9),2)</f>
        <v>77.05</v>
      </c>
      <c r="M19" s="93">
        <f>ROUND(PRODUCT(G19*$M$9),2)</f>
        <v>10155.54</v>
      </c>
      <c r="N19" s="93">
        <f>ROUND(PRODUCT(G19*$N$9),2)</f>
        <v>3297.85</v>
      </c>
      <c r="O19" s="93">
        <f>ROUND(PRODUCT(G19*$O$9),2)</f>
        <v>4623.16</v>
      </c>
      <c r="P19" s="93">
        <f t="shared" si="2"/>
        <v>182436.07</v>
      </c>
      <c r="Q19" s="146">
        <f>ROUND(PRODUCT(P19*'[1]индексы'!$L$16),2)</f>
        <v>198162.06</v>
      </c>
      <c r="R19" s="93">
        <f>ROUND(PRODUCT(P19*'[1]индексы'!$H$16),2)</f>
        <v>910355.99</v>
      </c>
      <c r="S19" s="96">
        <f>ROUND(PRODUCT(Q19*'[1]индексы'!$D$16),2)</f>
        <v>1074038.37</v>
      </c>
      <c r="T19" s="92"/>
      <c r="U19" s="91"/>
      <c r="V19" s="111">
        <v>308062.28</v>
      </c>
      <c r="W19" s="91"/>
      <c r="X19" s="91"/>
      <c r="Y19" s="91"/>
      <c r="Z19" s="91"/>
      <c r="AA19" s="111">
        <v>175789</v>
      </c>
      <c r="AB19" s="111"/>
      <c r="AC19" s="111"/>
      <c r="AD19" s="91"/>
      <c r="AE19" s="91"/>
    </row>
    <row r="20" spans="1:31" s="90" customFormat="1" ht="36" customHeight="1">
      <c r="A20" s="100" t="s">
        <v>131</v>
      </c>
      <c r="B20" s="94" t="s">
        <v>130</v>
      </c>
      <c r="C20" s="98" t="s">
        <v>470</v>
      </c>
      <c r="D20" s="98">
        <v>50</v>
      </c>
      <c r="E20" s="98">
        <v>1</v>
      </c>
      <c r="F20" s="98">
        <v>0.4</v>
      </c>
      <c r="G20" s="93">
        <v>169201.45</v>
      </c>
      <c r="H20" s="93">
        <f aca="true" t="shared" si="7" ref="H20:O20">ROUND(PRODUCT($G$20*H9),2)</f>
        <v>4230.04</v>
      </c>
      <c r="I20" s="93">
        <f t="shared" si="7"/>
        <v>852.78</v>
      </c>
      <c r="J20" s="93">
        <f t="shared" si="7"/>
        <v>5076.04</v>
      </c>
      <c r="K20" s="93">
        <f t="shared" si="7"/>
        <v>1015.21</v>
      </c>
      <c r="L20" s="93">
        <f t="shared" si="7"/>
        <v>84.6</v>
      </c>
      <c r="M20" s="93">
        <f t="shared" si="7"/>
        <v>11150.38</v>
      </c>
      <c r="N20" s="93">
        <f t="shared" si="7"/>
        <v>3620.91</v>
      </c>
      <c r="O20" s="93">
        <f t="shared" si="7"/>
        <v>5076.04</v>
      </c>
      <c r="P20" s="93">
        <f t="shared" si="2"/>
        <v>200307.45000000004</v>
      </c>
      <c r="Q20" s="146">
        <f>ROUND(PRODUCT(P20*'[1]индексы'!$L$16),2)</f>
        <v>217573.95</v>
      </c>
      <c r="R20" s="93">
        <f>ROUND(PRODUCT(P20*'[1]индексы'!$H$16),2)</f>
        <v>999534.18</v>
      </c>
      <c r="S20" s="96">
        <f>ROUND(PRODUCT(Q20*'[1]индексы'!$D$16),2)</f>
        <v>1179250.81</v>
      </c>
      <c r="T20" s="92"/>
      <c r="U20" s="91"/>
      <c r="V20" s="111">
        <v>308062.28</v>
      </c>
      <c r="W20" s="91"/>
      <c r="X20" s="91"/>
      <c r="Y20" s="91"/>
      <c r="Z20" s="91"/>
      <c r="AA20" s="111">
        <v>175789</v>
      </c>
      <c r="AB20" s="111"/>
      <c r="AC20" s="111"/>
      <c r="AD20" s="91"/>
      <c r="AE20" s="91"/>
    </row>
    <row r="21" spans="1:31" s="90" customFormat="1" ht="48.75" customHeight="1">
      <c r="A21" s="100" t="s">
        <v>129</v>
      </c>
      <c r="B21" s="94" t="s">
        <v>128</v>
      </c>
      <c r="C21" s="98" t="s">
        <v>470</v>
      </c>
      <c r="D21" s="98">
        <v>50</v>
      </c>
      <c r="E21" s="98">
        <v>1</v>
      </c>
      <c r="F21" s="98">
        <v>0.4</v>
      </c>
      <c r="G21" s="93">
        <v>179230.51</v>
      </c>
      <c r="H21" s="93">
        <f aca="true" t="shared" si="8" ref="H21:O21">ROUND(PRODUCT($G$21*H9),2)</f>
        <v>4480.76</v>
      </c>
      <c r="I21" s="93">
        <f t="shared" si="8"/>
        <v>903.32</v>
      </c>
      <c r="J21" s="93">
        <f t="shared" si="8"/>
        <v>5376.92</v>
      </c>
      <c r="K21" s="93">
        <f t="shared" si="8"/>
        <v>1075.38</v>
      </c>
      <c r="L21" s="93">
        <f t="shared" si="8"/>
        <v>89.62</v>
      </c>
      <c r="M21" s="93">
        <f t="shared" si="8"/>
        <v>11811.29</v>
      </c>
      <c r="N21" s="93">
        <f t="shared" si="8"/>
        <v>3835.53</v>
      </c>
      <c r="O21" s="93">
        <f t="shared" si="8"/>
        <v>5376.92</v>
      </c>
      <c r="P21" s="93">
        <f t="shared" si="2"/>
        <v>212180.25000000006</v>
      </c>
      <c r="Q21" s="146">
        <f>ROUND(PRODUCT(P21*'[1]индексы'!$L$16),2)</f>
        <v>230470.19</v>
      </c>
      <c r="R21" s="93">
        <f>ROUND(PRODUCT(P21*'[1]индексы'!$H$16),2)</f>
        <v>1058779.45</v>
      </c>
      <c r="S21" s="96">
        <f>ROUND(PRODUCT(Q21*'[1]индексы'!$D$16),2)</f>
        <v>1249148.43</v>
      </c>
      <c r="T21" s="92"/>
      <c r="U21" s="91">
        <v>169412.57</v>
      </c>
      <c r="V21" s="111">
        <v>436334.02</v>
      </c>
      <c r="W21" s="91">
        <v>289758</v>
      </c>
      <c r="X21" s="91">
        <v>346614</v>
      </c>
      <c r="Y21" s="91"/>
      <c r="Z21" s="91"/>
      <c r="AA21" s="111">
        <v>254916</v>
      </c>
      <c r="AB21" s="111"/>
      <c r="AC21" s="111"/>
      <c r="AD21" s="91"/>
      <c r="AE21" s="91"/>
    </row>
    <row r="22" spans="1:31" s="90" customFormat="1" ht="69" customHeight="1">
      <c r="A22" s="100" t="s">
        <v>127</v>
      </c>
      <c r="B22" s="94" t="s">
        <v>126</v>
      </c>
      <c r="C22" s="98" t="s">
        <v>470</v>
      </c>
      <c r="D22" s="98">
        <v>50</v>
      </c>
      <c r="E22" s="98">
        <v>1</v>
      </c>
      <c r="F22" s="98">
        <v>0.4</v>
      </c>
      <c r="G22" s="44">
        <v>205143.84</v>
      </c>
      <c r="H22" s="93">
        <f aca="true" t="shared" si="9" ref="H22:O22">ROUND(PRODUCT(($G$22)*H9),2)</f>
        <v>5128.6</v>
      </c>
      <c r="I22" s="93">
        <f t="shared" si="9"/>
        <v>1033.92</v>
      </c>
      <c r="J22" s="93">
        <f t="shared" si="9"/>
        <v>6154.32</v>
      </c>
      <c r="K22" s="93">
        <f t="shared" si="9"/>
        <v>1230.86</v>
      </c>
      <c r="L22" s="93">
        <f t="shared" si="9"/>
        <v>102.57</v>
      </c>
      <c r="M22" s="93">
        <f t="shared" si="9"/>
        <v>13518.98</v>
      </c>
      <c r="N22" s="93">
        <f t="shared" si="9"/>
        <v>4390.08</v>
      </c>
      <c r="O22" s="93">
        <f t="shared" si="9"/>
        <v>6154.32</v>
      </c>
      <c r="P22" s="93">
        <f t="shared" si="2"/>
        <v>242857.49000000002</v>
      </c>
      <c r="Q22" s="146">
        <f>ROUND(PRODUCT(P22*'[1]индексы'!$L$16),2)</f>
        <v>263791.81</v>
      </c>
      <c r="R22" s="93">
        <f>ROUND(PRODUCT(P22*'[1]индексы'!$H$16),2)</f>
        <v>1211858.88</v>
      </c>
      <c r="S22" s="96">
        <f>ROUND(PRODUCT(Q22*'[1]индексы'!$D$16),2)</f>
        <v>1429751.61</v>
      </c>
      <c r="T22" s="92"/>
      <c r="U22" s="91"/>
      <c r="V22" s="111"/>
      <c r="W22" s="91"/>
      <c r="X22" s="91"/>
      <c r="Y22" s="91"/>
      <c r="Z22" s="91"/>
      <c r="AA22" s="111"/>
      <c r="AB22" s="111"/>
      <c r="AC22" s="111"/>
      <c r="AD22" s="91"/>
      <c r="AE22" s="91"/>
    </row>
    <row r="23" spans="1:31" s="90" customFormat="1" ht="69" customHeight="1">
      <c r="A23" s="100" t="s">
        <v>125</v>
      </c>
      <c r="B23" s="94" t="s">
        <v>124</v>
      </c>
      <c r="C23" s="98" t="s">
        <v>470</v>
      </c>
      <c r="D23" s="98">
        <v>50</v>
      </c>
      <c r="E23" s="98">
        <v>1</v>
      </c>
      <c r="F23" s="98">
        <v>0.4</v>
      </c>
      <c r="G23" s="44">
        <v>228798.94</v>
      </c>
      <c r="H23" s="93">
        <f aca="true" t="shared" si="10" ref="H23:O23">ROUND(PRODUCT($G$23*H9),2)</f>
        <v>5719.97</v>
      </c>
      <c r="I23" s="93">
        <f t="shared" si="10"/>
        <v>1153.15</v>
      </c>
      <c r="J23" s="93">
        <f t="shared" si="10"/>
        <v>6863.97</v>
      </c>
      <c r="K23" s="93">
        <f t="shared" si="10"/>
        <v>1372.79</v>
      </c>
      <c r="L23" s="93">
        <f t="shared" si="10"/>
        <v>114.4</v>
      </c>
      <c r="M23" s="93">
        <f t="shared" si="10"/>
        <v>15077.85</v>
      </c>
      <c r="N23" s="93">
        <f t="shared" si="10"/>
        <v>4896.3</v>
      </c>
      <c r="O23" s="93">
        <f t="shared" si="10"/>
        <v>6863.97</v>
      </c>
      <c r="P23" s="93">
        <f t="shared" si="2"/>
        <v>270861.33999999997</v>
      </c>
      <c r="Q23" s="146">
        <f>ROUND(PRODUCT(P23*'[1]индексы'!$L$16),2)</f>
        <v>294209.59</v>
      </c>
      <c r="R23" s="93">
        <f>ROUND(PRODUCT(P23*'[1]индексы'!$H$16),2)</f>
        <v>1351598.09</v>
      </c>
      <c r="S23" s="96">
        <f>ROUND(PRODUCT(Q23*'[1]индексы'!$D$16),2)</f>
        <v>1594615.98</v>
      </c>
      <c r="T23" s="92"/>
      <c r="U23" s="91"/>
      <c r="V23" s="111"/>
      <c r="W23" s="91"/>
      <c r="X23" s="91"/>
      <c r="Y23" s="91"/>
      <c r="Z23" s="91"/>
      <c r="AA23" s="111"/>
      <c r="AB23" s="111"/>
      <c r="AC23" s="111"/>
      <c r="AD23" s="91"/>
      <c r="AE23" s="91"/>
    </row>
    <row r="24" spans="1:31" s="90" customFormat="1" ht="69" customHeight="1">
      <c r="A24" s="100" t="s">
        <v>123</v>
      </c>
      <c r="B24" s="94" t="s">
        <v>122</v>
      </c>
      <c r="C24" s="98" t="s">
        <v>470</v>
      </c>
      <c r="D24" s="98">
        <v>50</v>
      </c>
      <c r="E24" s="98">
        <v>1</v>
      </c>
      <c r="F24" s="98">
        <v>0.4</v>
      </c>
      <c r="G24" s="44">
        <v>252454.04</v>
      </c>
      <c r="H24" s="93">
        <f aca="true" t="shared" si="11" ref="H24:O24">ROUND(PRODUCT($G$24*H9),2)</f>
        <v>6311.35</v>
      </c>
      <c r="I24" s="93">
        <f t="shared" si="11"/>
        <v>1272.37</v>
      </c>
      <c r="J24" s="93">
        <f t="shared" si="11"/>
        <v>7573.62</v>
      </c>
      <c r="K24" s="93">
        <f t="shared" si="11"/>
        <v>1514.72</v>
      </c>
      <c r="L24" s="93">
        <f t="shared" si="11"/>
        <v>126.23</v>
      </c>
      <c r="M24" s="93">
        <f t="shared" si="11"/>
        <v>16636.72</v>
      </c>
      <c r="N24" s="93">
        <f t="shared" si="11"/>
        <v>5402.52</v>
      </c>
      <c r="O24" s="93">
        <f t="shared" si="11"/>
        <v>7573.62</v>
      </c>
      <c r="P24" s="93">
        <f t="shared" si="2"/>
        <v>298865.18999999994</v>
      </c>
      <c r="Q24" s="146">
        <f>ROUND(PRODUCT(P24*'[1]индексы'!$L$16),2)</f>
        <v>324627.37</v>
      </c>
      <c r="R24" s="93">
        <f>ROUND(PRODUCT(P24*'[1]индексы'!$H$16),2)</f>
        <v>1491337.3</v>
      </c>
      <c r="S24" s="96">
        <f>ROUND(PRODUCT(Q24*'[1]индексы'!$D$16),2)</f>
        <v>1759480.35</v>
      </c>
      <c r="T24" s="92"/>
      <c r="U24" s="91"/>
      <c r="V24" s="111"/>
      <c r="W24" s="91"/>
      <c r="X24" s="91"/>
      <c r="Y24" s="91"/>
      <c r="Z24" s="91"/>
      <c r="AA24" s="111"/>
      <c r="AB24" s="111"/>
      <c r="AC24" s="111"/>
      <c r="AD24" s="91"/>
      <c r="AE24" s="91"/>
    </row>
    <row r="25" spans="1:31" s="90" customFormat="1" ht="36" customHeight="1">
      <c r="A25" s="100" t="s">
        <v>121</v>
      </c>
      <c r="B25" s="99" t="s">
        <v>120</v>
      </c>
      <c r="C25" s="98" t="s">
        <v>470</v>
      </c>
      <c r="D25" s="98">
        <v>70</v>
      </c>
      <c r="E25" s="98">
        <v>1</v>
      </c>
      <c r="F25" s="98">
        <v>0.4</v>
      </c>
      <c r="G25" s="93">
        <v>168131.39</v>
      </c>
      <c r="H25" s="93">
        <f>ROUND(PRODUCT(G25*$H$9),2)</f>
        <v>4203.28</v>
      </c>
      <c r="I25" s="93">
        <f>ROUND(PRODUCT(G25*$I$9),2)</f>
        <v>847.38</v>
      </c>
      <c r="J25" s="93">
        <f>ROUND(PRODUCT(G25*$J$9),2)</f>
        <v>5043.94</v>
      </c>
      <c r="K25" s="93">
        <f>ROUND(PRODUCT(G25*$K$9),2)</f>
        <v>1008.79</v>
      </c>
      <c r="L25" s="93">
        <f>ROUND(PRODUCT(G25*$L$9),2)</f>
        <v>84.07</v>
      </c>
      <c r="M25" s="93">
        <f>ROUND(PRODUCT(G25*$M$9),2)</f>
        <v>11079.86</v>
      </c>
      <c r="N25" s="93">
        <f>ROUND(PRODUCT(G25*$N$9),2)</f>
        <v>3598.01</v>
      </c>
      <c r="O25" s="93">
        <f>ROUND(PRODUCT(G25*$O$9),2)</f>
        <v>5043.94</v>
      </c>
      <c r="P25" s="93">
        <f t="shared" si="2"/>
        <v>199040.66000000003</v>
      </c>
      <c r="Q25" s="146">
        <f>ROUND(PRODUCT(P25*'[1]индексы'!$L$16),2)</f>
        <v>216197.96</v>
      </c>
      <c r="R25" s="93">
        <f>ROUND(PRODUCT(P25*'[1]индексы'!$H$16),2)</f>
        <v>993212.89</v>
      </c>
      <c r="S25" s="96">
        <f>ROUND(PRODUCT(Q25*'[1]индексы'!$D$16),2)</f>
        <v>1171792.94</v>
      </c>
      <c r="T25" s="92"/>
      <c r="U25" s="91"/>
      <c r="V25" s="111">
        <v>324968.38</v>
      </c>
      <c r="W25" s="91"/>
      <c r="X25" s="91"/>
      <c r="Y25" s="91"/>
      <c r="Z25" s="91"/>
      <c r="AA25" s="111">
        <v>186717</v>
      </c>
      <c r="AB25" s="111"/>
      <c r="AC25" s="111"/>
      <c r="AD25" s="91"/>
      <c r="AE25" s="91"/>
    </row>
    <row r="26" spans="1:31" s="90" customFormat="1" ht="36" customHeight="1">
      <c r="A26" s="100" t="s">
        <v>119</v>
      </c>
      <c r="B26" s="99" t="s">
        <v>118</v>
      </c>
      <c r="C26" s="98" t="s">
        <v>470</v>
      </c>
      <c r="D26" s="98">
        <v>70</v>
      </c>
      <c r="E26" s="98">
        <v>1</v>
      </c>
      <c r="F26" s="98">
        <v>0.4</v>
      </c>
      <c r="G26" s="93">
        <v>183227.48</v>
      </c>
      <c r="H26" s="93">
        <f aca="true" t="shared" si="12" ref="H26:O26">ROUND(PRODUCT($G$26*H9),2)</f>
        <v>4580.69</v>
      </c>
      <c r="I26" s="93">
        <f t="shared" si="12"/>
        <v>923.47</v>
      </c>
      <c r="J26" s="93">
        <f t="shared" si="12"/>
        <v>5496.82</v>
      </c>
      <c r="K26" s="93">
        <f t="shared" si="12"/>
        <v>1099.36</v>
      </c>
      <c r="L26" s="93">
        <f t="shared" si="12"/>
        <v>91.61</v>
      </c>
      <c r="M26" s="93">
        <f t="shared" si="12"/>
        <v>12074.69</v>
      </c>
      <c r="N26" s="93">
        <f t="shared" si="12"/>
        <v>3921.07</v>
      </c>
      <c r="O26" s="93">
        <f t="shared" si="12"/>
        <v>5496.82</v>
      </c>
      <c r="P26" s="93">
        <f t="shared" si="2"/>
        <v>216912.01</v>
      </c>
      <c r="Q26" s="146">
        <f>ROUND(PRODUCT(P26*'[1]индексы'!$L$16),2)</f>
        <v>235609.83</v>
      </c>
      <c r="R26" s="93">
        <f>ROUND(PRODUCT(P26*'[1]индексы'!$H$16),2)</f>
        <v>1082390.93</v>
      </c>
      <c r="S26" s="96">
        <f>ROUND(PRODUCT(Q26*'[1]индексы'!$D$16),2)</f>
        <v>1277005.28</v>
      </c>
      <c r="T26" s="92"/>
      <c r="U26" s="91"/>
      <c r="V26" s="111">
        <v>324968.38</v>
      </c>
      <c r="W26" s="91"/>
      <c r="X26" s="91"/>
      <c r="Y26" s="91"/>
      <c r="Z26" s="91"/>
      <c r="AA26" s="111">
        <v>186717</v>
      </c>
      <c r="AB26" s="111"/>
      <c r="AC26" s="111"/>
      <c r="AD26" s="91"/>
      <c r="AE26" s="91"/>
    </row>
    <row r="27" spans="1:31" s="90" customFormat="1" ht="48.75" customHeight="1">
      <c r="A27" s="100" t="s">
        <v>117</v>
      </c>
      <c r="B27" s="99" t="s">
        <v>116</v>
      </c>
      <c r="C27" s="98" t="s">
        <v>470</v>
      </c>
      <c r="D27" s="98">
        <v>70</v>
      </c>
      <c r="E27" s="98">
        <v>1</v>
      </c>
      <c r="F27" s="98">
        <v>0.4</v>
      </c>
      <c r="G27" s="93">
        <v>193256.54</v>
      </c>
      <c r="H27" s="93">
        <f aca="true" t="shared" si="13" ref="H27:O27">ROUND(PRODUCT($G$27*H9),2)</f>
        <v>4831.41</v>
      </c>
      <c r="I27" s="93">
        <f t="shared" si="13"/>
        <v>974.01</v>
      </c>
      <c r="J27" s="93">
        <f t="shared" si="13"/>
        <v>5797.7</v>
      </c>
      <c r="K27" s="93">
        <f t="shared" si="13"/>
        <v>1159.54</v>
      </c>
      <c r="L27" s="93">
        <f t="shared" si="13"/>
        <v>96.63</v>
      </c>
      <c r="M27" s="93">
        <f t="shared" si="13"/>
        <v>12735.61</v>
      </c>
      <c r="N27" s="93">
        <f t="shared" si="13"/>
        <v>4135.69</v>
      </c>
      <c r="O27" s="93">
        <f t="shared" si="13"/>
        <v>5797.7</v>
      </c>
      <c r="P27" s="93">
        <f t="shared" si="2"/>
        <v>228784.83000000007</v>
      </c>
      <c r="Q27" s="146">
        <f>ROUND(PRODUCT(P27*'[1]индексы'!$L$16),2)</f>
        <v>248506.08</v>
      </c>
      <c r="R27" s="93">
        <f>ROUND(PRODUCT(P27*'[1]индексы'!$H$16),2)</f>
        <v>1141636.3</v>
      </c>
      <c r="S27" s="96">
        <f>ROUND(PRODUCT(Q27*'[1]индексы'!$D$16),2)</f>
        <v>1346902.95</v>
      </c>
      <c r="T27" s="92"/>
      <c r="U27" s="91">
        <v>174125.18</v>
      </c>
      <c r="V27" s="111">
        <v>453240.12</v>
      </c>
      <c r="W27" s="91">
        <v>299005</v>
      </c>
      <c r="X27" s="91">
        <v>365109</v>
      </c>
      <c r="Y27" s="91"/>
      <c r="Z27" s="91"/>
      <c r="AA27" s="111">
        <v>265844</v>
      </c>
      <c r="AB27" s="111"/>
      <c r="AC27" s="111"/>
      <c r="AD27" s="91"/>
      <c r="AE27" s="91"/>
    </row>
    <row r="28" spans="1:31" s="90" customFormat="1" ht="69" customHeight="1">
      <c r="A28" s="100" t="s">
        <v>115</v>
      </c>
      <c r="B28" s="94" t="s">
        <v>114</v>
      </c>
      <c r="C28" s="98" t="s">
        <v>470</v>
      </c>
      <c r="D28" s="98">
        <v>70</v>
      </c>
      <c r="E28" s="98">
        <v>1</v>
      </c>
      <c r="F28" s="98">
        <v>0.4</v>
      </c>
      <c r="G28" s="44">
        <v>219169.87</v>
      </c>
      <c r="H28" s="93">
        <f aca="true" t="shared" si="14" ref="H28:O28">ROUND(PRODUCT(($G$28)*H9),2)</f>
        <v>5479.25</v>
      </c>
      <c r="I28" s="93">
        <f t="shared" si="14"/>
        <v>1104.62</v>
      </c>
      <c r="J28" s="93">
        <f t="shared" si="14"/>
        <v>6575.1</v>
      </c>
      <c r="K28" s="93">
        <f t="shared" si="14"/>
        <v>1315.02</v>
      </c>
      <c r="L28" s="93">
        <f t="shared" si="14"/>
        <v>109.58</v>
      </c>
      <c r="M28" s="93">
        <f t="shared" si="14"/>
        <v>14443.29</v>
      </c>
      <c r="N28" s="93">
        <f t="shared" si="14"/>
        <v>4690.24</v>
      </c>
      <c r="O28" s="93">
        <f t="shared" si="14"/>
        <v>6575.1</v>
      </c>
      <c r="P28" s="93">
        <f t="shared" si="2"/>
        <v>259462.06999999998</v>
      </c>
      <c r="Q28" s="146">
        <f>ROUND(PRODUCT(P28*'[1]индексы'!$L$16),2)</f>
        <v>281827.7</v>
      </c>
      <c r="R28" s="93">
        <f>ROUND(PRODUCT(P28*'[1]индексы'!$H$16),2)</f>
        <v>1294715.73</v>
      </c>
      <c r="S28" s="96">
        <f>ROUND(PRODUCT(Q28*'[1]индексы'!$D$16),2)</f>
        <v>1527506.13</v>
      </c>
      <c r="T28" s="92"/>
      <c r="U28" s="91"/>
      <c r="V28" s="111"/>
      <c r="W28" s="91"/>
      <c r="X28" s="91"/>
      <c r="Y28" s="91"/>
      <c r="Z28" s="91"/>
      <c r="AA28" s="111"/>
      <c r="AB28" s="111"/>
      <c r="AC28" s="111"/>
      <c r="AD28" s="91"/>
      <c r="AE28" s="91"/>
    </row>
    <row r="29" spans="1:31" s="90" customFormat="1" ht="69" customHeight="1">
      <c r="A29" s="100" t="s">
        <v>113</v>
      </c>
      <c r="B29" s="94" t="s">
        <v>112</v>
      </c>
      <c r="C29" s="98" t="s">
        <v>470</v>
      </c>
      <c r="D29" s="98">
        <v>70</v>
      </c>
      <c r="E29" s="98">
        <v>1</v>
      </c>
      <c r="F29" s="98">
        <v>0.4</v>
      </c>
      <c r="G29" s="44">
        <v>242824.97</v>
      </c>
      <c r="H29" s="93">
        <f aca="true" t="shared" si="15" ref="H29:O29">ROUND(PRODUCT($G$29*H9),2)</f>
        <v>6070.62</v>
      </c>
      <c r="I29" s="93">
        <f t="shared" si="15"/>
        <v>1223.84</v>
      </c>
      <c r="J29" s="93">
        <f t="shared" si="15"/>
        <v>7284.75</v>
      </c>
      <c r="K29" s="93">
        <f t="shared" si="15"/>
        <v>1456.95</v>
      </c>
      <c r="L29" s="93">
        <f t="shared" si="15"/>
        <v>121.41</v>
      </c>
      <c r="M29" s="93">
        <f t="shared" si="15"/>
        <v>16002.17</v>
      </c>
      <c r="N29" s="93">
        <f t="shared" si="15"/>
        <v>5196.45</v>
      </c>
      <c r="O29" s="93">
        <f t="shared" si="15"/>
        <v>7284.75</v>
      </c>
      <c r="P29" s="93">
        <f t="shared" si="2"/>
        <v>287465.91000000003</v>
      </c>
      <c r="Q29" s="146">
        <f>ROUND(PRODUCT(P29*'[1]индексы'!$L$16),2)</f>
        <v>312245.47</v>
      </c>
      <c r="R29" s="93">
        <f>ROUND(PRODUCT(P29*'[1]индексы'!$H$16),2)</f>
        <v>1434454.89</v>
      </c>
      <c r="S29" s="96">
        <f>ROUND(PRODUCT(Q29*'[1]индексы'!$D$16),2)</f>
        <v>1692370.45</v>
      </c>
      <c r="T29" s="92"/>
      <c r="U29" s="91"/>
      <c r="V29" s="111"/>
      <c r="W29" s="91"/>
      <c r="X29" s="91"/>
      <c r="Y29" s="91"/>
      <c r="Z29" s="91"/>
      <c r="AA29" s="111"/>
      <c r="AB29" s="111"/>
      <c r="AC29" s="111"/>
      <c r="AD29" s="91"/>
      <c r="AE29" s="91"/>
    </row>
    <row r="30" spans="1:31" s="90" customFormat="1" ht="69" customHeight="1">
      <c r="A30" s="100" t="s">
        <v>111</v>
      </c>
      <c r="B30" s="94" t="s">
        <v>110</v>
      </c>
      <c r="C30" s="98" t="s">
        <v>470</v>
      </c>
      <c r="D30" s="98">
        <v>70</v>
      </c>
      <c r="E30" s="98">
        <v>1</v>
      </c>
      <c r="F30" s="98">
        <v>0.4</v>
      </c>
      <c r="G30" s="44">
        <v>266480.07</v>
      </c>
      <c r="H30" s="93">
        <f aca="true" t="shared" si="16" ref="H30:O30">ROUND(PRODUCT($G$30*H9),2)</f>
        <v>6662</v>
      </c>
      <c r="I30" s="93">
        <f t="shared" si="16"/>
        <v>1343.06</v>
      </c>
      <c r="J30" s="93">
        <f t="shared" si="16"/>
        <v>7994.4</v>
      </c>
      <c r="K30" s="93">
        <f t="shared" si="16"/>
        <v>1598.88</v>
      </c>
      <c r="L30" s="93">
        <f t="shared" si="16"/>
        <v>133.24</v>
      </c>
      <c r="M30" s="93">
        <f t="shared" si="16"/>
        <v>17561.04</v>
      </c>
      <c r="N30" s="93">
        <f t="shared" si="16"/>
        <v>5702.67</v>
      </c>
      <c r="O30" s="93">
        <f t="shared" si="16"/>
        <v>7994.4</v>
      </c>
      <c r="P30" s="93">
        <f t="shared" si="2"/>
        <v>315469.76</v>
      </c>
      <c r="Q30" s="146">
        <f>ROUND(PRODUCT(P30*'[1]индексы'!$L$16),2)</f>
        <v>342663.25</v>
      </c>
      <c r="R30" s="93">
        <f>ROUND(PRODUCT(P30*'[1]индексы'!$H$16),2)</f>
        <v>1574194.1</v>
      </c>
      <c r="S30" s="96">
        <f>ROUND(PRODUCT(Q30*'[1]индексы'!$D$16),2)</f>
        <v>1857234.82</v>
      </c>
      <c r="T30" s="92"/>
      <c r="U30" s="91"/>
      <c r="V30" s="111"/>
      <c r="W30" s="91"/>
      <c r="X30" s="91"/>
      <c r="Y30" s="91"/>
      <c r="Z30" s="91"/>
      <c r="AA30" s="111"/>
      <c r="AB30" s="111"/>
      <c r="AC30" s="111"/>
      <c r="AD30" s="91"/>
      <c r="AE30" s="91"/>
    </row>
    <row r="31" spans="1:31" s="90" customFormat="1" ht="36" customHeight="1">
      <c r="A31" s="100" t="s">
        <v>109</v>
      </c>
      <c r="B31" s="99" t="s">
        <v>108</v>
      </c>
      <c r="C31" s="98" t="s">
        <v>470</v>
      </c>
      <c r="D31" s="98">
        <v>95</v>
      </c>
      <c r="E31" s="98">
        <v>1</v>
      </c>
      <c r="F31" s="98">
        <v>0.4</v>
      </c>
      <c r="G31" s="93">
        <v>190555.38</v>
      </c>
      <c r="H31" s="93">
        <f>ROUND(PRODUCT(G31*$H$9),2)</f>
        <v>4763.88</v>
      </c>
      <c r="I31" s="93">
        <f>ROUND(PRODUCT(G31*$I$9),2)</f>
        <v>960.4</v>
      </c>
      <c r="J31" s="93">
        <f>ROUND(PRODUCT(G31*$J$9),2)</f>
        <v>5716.66</v>
      </c>
      <c r="K31" s="93">
        <f>ROUND(PRODUCT(G31*$K$9),2)</f>
        <v>1143.33</v>
      </c>
      <c r="L31" s="93">
        <f>ROUND(PRODUCT(G31*$L$9),2)</f>
        <v>95.28</v>
      </c>
      <c r="M31" s="93">
        <f>ROUND(PRODUCT(G31*$M$9),2)</f>
        <v>12557.6</v>
      </c>
      <c r="N31" s="93">
        <f>ROUND(PRODUCT(G31*$N$9),2)</f>
        <v>4077.89</v>
      </c>
      <c r="O31" s="93">
        <f>ROUND(PRODUCT(G31*$O$9),2)</f>
        <v>5716.66</v>
      </c>
      <c r="P31" s="93">
        <f t="shared" si="2"/>
        <v>225587.08000000002</v>
      </c>
      <c r="Q31" s="146">
        <f>ROUND(PRODUCT(P31*'[1]индексы'!$L$16),2)</f>
        <v>245032.69</v>
      </c>
      <c r="R31" s="93">
        <f>ROUND(PRODUCT(P31*'[1]индексы'!$H$16),2)</f>
        <v>1125679.53</v>
      </c>
      <c r="S31" s="96">
        <f>ROUND(PRODUCT(Q31*'[1]индексы'!$D$16),2)</f>
        <v>1328077.18</v>
      </c>
      <c r="T31" s="92"/>
      <c r="U31" s="91"/>
      <c r="V31" s="111">
        <v>333470.67</v>
      </c>
      <c r="W31" s="91"/>
      <c r="X31" s="91"/>
      <c r="Y31" s="91"/>
      <c r="Z31" s="91"/>
      <c r="AA31" s="111">
        <v>203609</v>
      </c>
      <c r="AB31" s="111"/>
      <c r="AC31" s="111"/>
      <c r="AD31" s="91"/>
      <c r="AE31" s="91"/>
    </row>
    <row r="32" spans="1:31" s="90" customFormat="1" ht="36" customHeight="1">
      <c r="A32" s="100" t="s">
        <v>107</v>
      </c>
      <c r="B32" s="99" t="s">
        <v>106</v>
      </c>
      <c r="C32" s="98" t="s">
        <v>470</v>
      </c>
      <c r="D32" s="98">
        <v>95</v>
      </c>
      <c r="E32" s="98">
        <v>1</v>
      </c>
      <c r="F32" s="98">
        <v>0.4</v>
      </c>
      <c r="G32" s="93">
        <v>205651.47</v>
      </c>
      <c r="H32" s="93">
        <f aca="true" t="shared" si="17" ref="H32:O32">ROUND(PRODUCT($G$32*H9),2)</f>
        <v>5141.29</v>
      </c>
      <c r="I32" s="93">
        <f t="shared" si="17"/>
        <v>1036.48</v>
      </c>
      <c r="J32" s="93">
        <f t="shared" si="17"/>
        <v>6169.54</v>
      </c>
      <c r="K32" s="93">
        <f t="shared" si="17"/>
        <v>1233.91</v>
      </c>
      <c r="L32" s="93">
        <f t="shared" si="17"/>
        <v>102.83</v>
      </c>
      <c r="M32" s="93">
        <f t="shared" si="17"/>
        <v>13552.43</v>
      </c>
      <c r="N32" s="93">
        <f t="shared" si="17"/>
        <v>4400.94</v>
      </c>
      <c r="O32" s="93">
        <f t="shared" si="17"/>
        <v>6169.54</v>
      </c>
      <c r="P32" s="93">
        <f t="shared" si="2"/>
        <v>243458.43000000002</v>
      </c>
      <c r="Q32" s="146">
        <f>ROUND(PRODUCT(P32*'[1]индексы'!$L$16),2)</f>
        <v>264444.55</v>
      </c>
      <c r="R32" s="93">
        <f>ROUND(PRODUCT(P32*'[1]индексы'!$H$16),2)</f>
        <v>1214857.57</v>
      </c>
      <c r="S32" s="96">
        <f>ROUND(PRODUCT(Q32*'[1]индексы'!$D$16),2)</f>
        <v>1433289.46</v>
      </c>
      <c r="T32" s="92"/>
      <c r="U32" s="91"/>
      <c r="V32" s="111">
        <v>333470.67</v>
      </c>
      <c r="W32" s="91"/>
      <c r="X32" s="91"/>
      <c r="Y32" s="91"/>
      <c r="Z32" s="91"/>
      <c r="AA32" s="111">
        <v>203609</v>
      </c>
      <c r="AB32" s="111"/>
      <c r="AC32" s="111"/>
      <c r="AD32" s="91"/>
      <c r="AE32" s="91"/>
    </row>
    <row r="33" spans="1:31" s="90" customFormat="1" ht="48.75" customHeight="1">
      <c r="A33" s="100" t="s">
        <v>105</v>
      </c>
      <c r="B33" s="99" t="s">
        <v>104</v>
      </c>
      <c r="C33" s="98" t="s">
        <v>470</v>
      </c>
      <c r="D33" s="98">
        <v>95</v>
      </c>
      <c r="E33" s="98">
        <v>1</v>
      </c>
      <c r="F33" s="98">
        <v>0.4</v>
      </c>
      <c r="G33" s="93">
        <v>215773.26</v>
      </c>
      <c r="H33" s="93">
        <f aca="true" t="shared" si="18" ref="H33:O33">ROUND(PRODUCT($G$33*H9),2)</f>
        <v>5394.33</v>
      </c>
      <c r="I33" s="93">
        <f t="shared" si="18"/>
        <v>1087.5</v>
      </c>
      <c r="J33" s="93">
        <f t="shared" si="18"/>
        <v>6473.2</v>
      </c>
      <c r="K33" s="93">
        <f t="shared" si="18"/>
        <v>1294.64</v>
      </c>
      <c r="L33" s="93">
        <f t="shared" si="18"/>
        <v>107.89</v>
      </c>
      <c r="M33" s="93">
        <f t="shared" si="18"/>
        <v>14219.46</v>
      </c>
      <c r="N33" s="93">
        <f t="shared" si="18"/>
        <v>4617.55</v>
      </c>
      <c r="O33" s="93">
        <f t="shared" si="18"/>
        <v>6473.2</v>
      </c>
      <c r="P33" s="93">
        <f t="shared" si="2"/>
        <v>255441.03000000003</v>
      </c>
      <c r="Q33" s="146">
        <f>ROUND(PRODUCT(P33*'[1]индексы'!$L$16),2)</f>
        <v>277460.05</v>
      </c>
      <c r="R33" s="93">
        <f>ROUND(PRODUCT(P33*'[1]индексы'!$H$16),2)</f>
        <v>1274650.74</v>
      </c>
      <c r="S33" s="96">
        <f>ROUND(PRODUCT(Q33*'[1]индексы'!$D$16),2)</f>
        <v>1503833.47</v>
      </c>
      <c r="T33" s="92"/>
      <c r="U33" s="91">
        <v>180669.75</v>
      </c>
      <c r="V33" s="111">
        <v>461742.41</v>
      </c>
      <c r="W33" s="91">
        <v>312694</v>
      </c>
      <c r="X33" s="91">
        <v>392489</v>
      </c>
      <c r="Y33" s="91"/>
      <c r="Z33" s="91"/>
      <c r="AA33" s="111">
        <v>283518</v>
      </c>
      <c r="AB33" s="111"/>
      <c r="AC33" s="111"/>
      <c r="AD33" s="91"/>
      <c r="AE33" s="91"/>
    </row>
    <row r="34" spans="1:31" s="90" customFormat="1" ht="69" customHeight="1">
      <c r="A34" s="100" t="s">
        <v>103</v>
      </c>
      <c r="B34" s="94" t="s">
        <v>102</v>
      </c>
      <c r="C34" s="98" t="s">
        <v>470</v>
      </c>
      <c r="D34" s="98">
        <v>95</v>
      </c>
      <c r="E34" s="98">
        <v>1</v>
      </c>
      <c r="F34" s="98">
        <v>0.4</v>
      </c>
      <c r="G34" s="44">
        <v>241686.59</v>
      </c>
      <c r="H34" s="93">
        <f aca="true" t="shared" si="19" ref="H34:O34">ROUND(PRODUCT($G$34*H9),2)</f>
        <v>6042.16</v>
      </c>
      <c r="I34" s="93">
        <f t="shared" si="19"/>
        <v>1218.1</v>
      </c>
      <c r="J34" s="93">
        <f t="shared" si="19"/>
        <v>7250.6</v>
      </c>
      <c r="K34" s="93">
        <f t="shared" si="19"/>
        <v>1450.12</v>
      </c>
      <c r="L34" s="93">
        <f t="shared" si="19"/>
        <v>120.84</v>
      </c>
      <c r="M34" s="93">
        <f t="shared" si="19"/>
        <v>15927.15</v>
      </c>
      <c r="N34" s="93">
        <f t="shared" si="19"/>
        <v>5172.09</v>
      </c>
      <c r="O34" s="93">
        <f t="shared" si="19"/>
        <v>7250.6</v>
      </c>
      <c r="P34" s="93">
        <f t="shared" si="2"/>
        <v>286118.25</v>
      </c>
      <c r="Q34" s="146">
        <f>ROUND(PRODUCT(P34*'[1]индексы'!$L$16),2)</f>
        <v>310781.64</v>
      </c>
      <c r="R34" s="93">
        <f>ROUND(PRODUCT(P34*'[1]индексы'!$H$16),2)</f>
        <v>1427730.07</v>
      </c>
      <c r="S34" s="96">
        <f>ROUND(PRODUCT(Q34*'[1]индексы'!$D$16),2)</f>
        <v>1684436.49</v>
      </c>
      <c r="T34" s="92"/>
      <c r="U34" s="91"/>
      <c r="V34" s="111"/>
      <c r="W34" s="91"/>
      <c r="X34" s="91"/>
      <c r="Y34" s="91"/>
      <c r="Z34" s="91"/>
      <c r="AA34" s="111"/>
      <c r="AB34" s="111"/>
      <c r="AC34" s="111"/>
      <c r="AD34" s="91"/>
      <c r="AE34" s="91"/>
    </row>
    <row r="35" spans="1:31" s="90" customFormat="1" ht="69" customHeight="1">
      <c r="A35" s="100" t="s">
        <v>101</v>
      </c>
      <c r="B35" s="94" t="s">
        <v>100</v>
      </c>
      <c r="C35" s="98" t="s">
        <v>470</v>
      </c>
      <c r="D35" s="98">
        <v>95</v>
      </c>
      <c r="E35" s="98">
        <v>1</v>
      </c>
      <c r="F35" s="98">
        <v>0.4</v>
      </c>
      <c r="G35" s="44">
        <v>265341.69</v>
      </c>
      <c r="H35" s="93">
        <f aca="true" t="shared" si="20" ref="H35:O35">ROUND(PRODUCT($G$35*H9),2)</f>
        <v>6633.54</v>
      </c>
      <c r="I35" s="93">
        <f t="shared" si="20"/>
        <v>1337.32</v>
      </c>
      <c r="J35" s="93">
        <f t="shared" si="20"/>
        <v>7960.25</v>
      </c>
      <c r="K35" s="93">
        <f t="shared" si="20"/>
        <v>1592.05</v>
      </c>
      <c r="L35" s="93">
        <f t="shared" si="20"/>
        <v>132.67</v>
      </c>
      <c r="M35" s="93">
        <f t="shared" si="20"/>
        <v>17486.02</v>
      </c>
      <c r="N35" s="93">
        <f t="shared" si="20"/>
        <v>5678.31</v>
      </c>
      <c r="O35" s="93">
        <f t="shared" si="20"/>
        <v>7960.25</v>
      </c>
      <c r="P35" s="93">
        <f t="shared" si="2"/>
        <v>314122.1</v>
      </c>
      <c r="Q35" s="146">
        <f>ROUND(PRODUCT(P35*'[1]индексы'!$L$16),2)</f>
        <v>341199.43</v>
      </c>
      <c r="R35" s="93">
        <f>ROUND(PRODUCT(P35*'[1]индексы'!$H$16),2)</f>
        <v>1567469.28</v>
      </c>
      <c r="S35" s="96">
        <f>ROUND(PRODUCT(Q35*'[1]индексы'!$D$16),2)</f>
        <v>1849300.91</v>
      </c>
      <c r="T35" s="92"/>
      <c r="U35" s="91"/>
      <c r="V35" s="111"/>
      <c r="W35" s="91"/>
      <c r="X35" s="91"/>
      <c r="Y35" s="91"/>
      <c r="Z35" s="91"/>
      <c r="AA35" s="111"/>
      <c r="AB35" s="111"/>
      <c r="AC35" s="111"/>
      <c r="AD35" s="91"/>
      <c r="AE35" s="91"/>
    </row>
    <row r="36" spans="1:31" s="90" customFormat="1" ht="69" customHeight="1">
      <c r="A36" s="100" t="s">
        <v>521</v>
      </c>
      <c r="B36" s="94" t="s">
        <v>520</v>
      </c>
      <c r="C36" s="98" t="s">
        <v>470</v>
      </c>
      <c r="D36" s="98">
        <v>95</v>
      </c>
      <c r="E36" s="98">
        <v>1</v>
      </c>
      <c r="F36" s="98">
        <v>0.4</v>
      </c>
      <c r="G36" s="44">
        <v>288996.79</v>
      </c>
      <c r="H36" s="93">
        <f aca="true" t="shared" si="21" ref="H36:O36">ROUND(PRODUCT($G$36*H9),2)</f>
        <v>7224.92</v>
      </c>
      <c r="I36" s="93">
        <f t="shared" si="21"/>
        <v>1456.54</v>
      </c>
      <c r="J36" s="93">
        <f t="shared" si="21"/>
        <v>8669.9</v>
      </c>
      <c r="K36" s="93">
        <f t="shared" si="21"/>
        <v>1733.98</v>
      </c>
      <c r="L36" s="93">
        <f t="shared" si="21"/>
        <v>144.5</v>
      </c>
      <c r="M36" s="93">
        <f t="shared" si="21"/>
        <v>19044.89</v>
      </c>
      <c r="N36" s="93">
        <f t="shared" si="21"/>
        <v>6184.53</v>
      </c>
      <c r="O36" s="93">
        <f t="shared" si="21"/>
        <v>8669.9</v>
      </c>
      <c r="P36" s="93">
        <f t="shared" si="2"/>
        <v>342125.95</v>
      </c>
      <c r="Q36" s="146">
        <f>ROUND(PRODUCT(P36*'[1]индексы'!$L$16),2)</f>
        <v>371617.21</v>
      </c>
      <c r="R36" s="93">
        <f>ROUND(PRODUCT(P36*'[1]индексы'!$H$16),2)</f>
        <v>1707208.49</v>
      </c>
      <c r="S36" s="96">
        <f>ROUND(PRODUCT(Q36*'[1]индексы'!$D$16),2)</f>
        <v>2014165.28</v>
      </c>
      <c r="T36" s="92"/>
      <c r="U36" s="91"/>
      <c r="V36" s="111"/>
      <c r="W36" s="91"/>
      <c r="X36" s="91"/>
      <c r="Y36" s="91"/>
      <c r="Z36" s="91"/>
      <c r="AA36" s="111"/>
      <c r="AB36" s="111"/>
      <c r="AC36" s="111"/>
      <c r="AD36" s="91"/>
      <c r="AE36" s="91"/>
    </row>
    <row r="37" spans="1:31" s="90" customFormat="1" ht="36" customHeight="1">
      <c r="A37" s="100" t="s">
        <v>519</v>
      </c>
      <c r="B37" s="99" t="s">
        <v>518</v>
      </c>
      <c r="C37" s="98" t="s">
        <v>470</v>
      </c>
      <c r="D37" s="98">
        <v>120</v>
      </c>
      <c r="E37" s="98">
        <v>1</v>
      </c>
      <c r="F37" s="98">
        <v>0.4</v>
      </c>
      <c r="G37" s="93">
        <v>210021.2</v>
      </c>
      <c r="H37" s="93">
        <f>ROUND(PRODUCT(G37*$H$9),2)</f>
        <v>5250.53</v>
      </c>
      <c r="I37" s="93">
        <f>ROUND(PRODUCT(G37*$I$9),2)</f>
        <v>1058.51</v>
      </c>
      <c r="J37" s="93">
        <f>ROUND(PRODUCT(G37*$J$9),2)</f>
        <v>6300.64</v>
      </c>
      <c r="K37" s="93">
        <f>ROUND(PRODUCT(G37*$K$9),2)</f>
        <v>1260.13</v>
      </c>
      <c r="L37" s="93">
        <f>ROUND(PRODUCT(G37*$L$9),2)</f>
        <v>105.01</v>
      </c>
      <c r="M37" s="93">
        <f>ROUND(PRODUCT(G37*$M$9),2)</f>
        <v>13840.4</v>
      </c>
      <c r="N37" s="93">
        <f>ROUND(PRODUCT(G37*$N$9),2)</f>
        <v>4494.45</v>
      </c>
      <c r="O37" s="93">
        <f>ROUND(PRODUCT(G37*$O$9),2)</f>
        <v>6300.64</v>
      </c>
      <c r="P37" s="93">
        <f t="shared" si="2"/>
        <v>248631.51000000007</v>
      </c>
      <c r="Q37" s="146">
        <f>ROUND(PRODUCT(P37*'[1]индексы'!$L$16),2)</f>
        <v>270063.55</v>
      </c>
      <c r="R37" s="93">
        <f>ROUND(PRODUCT(P37*'[1]индексы'!$H$16),2)</f>
        <v>1240671.23</v>
      </c>
      <c r="S37" s="96">
        <f>ROUND(PRODUCT(Q37*'[1]индексы'!$D$16),2)</f>
        <v>1463744.44</v>
      </c>
      <c r="T37" s="92"/>
      <c r="U37" s="91"/>
      <c r="V37" s="111">
        <v>350272.31</v>
      </c>
      <c r="W37" s="91"/>
      <c r="X37" s="91"/>
      <c r="Y37" s="91"/>
      <c r="Z37" s="91"/>
      <c r="AA37" s="111">
        <v>216519</v>
      </c>
      <c r="AB37" s="112" t="s">
        <v>477</v>
      </c>
      <c r="AC37" s="111">
        <v>385551</v>
      </c>
      <c r="AD37" s="91"/>
      <c r="AE37" s="91"/>
    </row>
    <row r="38" spans="1:31" s="90" customFormat="1" ht="36" customHeight="1">
      <c r="A38" s="100" t="s">
        <v>517</v>
      </c>
      <c r="B38" s="99" t="s">
        <v>516</v>
      </c>
      <c r="C38" s="98" t="s">
        <v>470</v>
      </c>
      <c r="D38" s="98">
        <v>120</v>
      </c>
      <c r="E38" s="98">
        <v>1</v>
      </c>
      <c r="F38" s="98">
        <v>0.4</v>
      </c>
      <c r="G38" s="93">
        <v>225117.29</v>
      </c>
      <c r="H38" s="93">
        <f aca="true" t="shared" si="22" ref="H38:O38">ROUND(PRODUCT($G$38*H9),2)</f>
        <v>5627.93</v>
      </c>
      <c r="I38" s="93">
        <f t="shared" si="22"/>
        <v>1134.59</v>
      </c>
      <c r="J38" s="93">
        <f t="shared" si="22"/>
        <v>6753.52</v>
      </c>
      <c r="K38" s="93">
        <f t="shared" si="22"/>
        <v>1350.7</v>
      </c>
      <c r="L38" s="93">
        <f t="shared" si="22"/>
        <v>112.56</v>
      </c>
      <c r="M38" s="93">
        <f t="shared" si="22"/>
        <v>14835.23</v>
      </c>
      <c r="N38" s="93">
        <f t="shared" si="22"/>
        <v>4817.51</v>
      </c>
      <c r="O38" s="93">
        <f t="shared" si="22"/>
        <v>6753.52</v>
      </c>
      <c r="P38" s="93">
        <f t="shared" si="2"/>
        <v>266502.85000000003</v>
      </c>
      <c r="Q38" s="146">
        <f>ROUND(PRODUCT(P38*'[1]индексы'!$L$16),2)</f>
        <v>289475.4</v>
      </c>
      <c r="R38" s="93">
        <f>ROUND(PRODUCT(P38*'[1]индексы'!$H$16),2)</f>
        <v>1329849.22</v>
      </c>
      <c r="S38" s="96">
        <f>ROUND(PRODUCT(Q38*'[1]индексы'!$D$16),2)</f>
        <v>1568956.67</v>
      </c>
      <c r="T38" s="92"/>
      <c r="U38" s="91"/>
      <c r="V38" s="111">
        <v>350272.31</v>
      </c>
      <c r="W38" s="91"/>
      <c r="X38" s="91"/>
      <c r="Y38" s="91"/>
      <c r="Z38" s="91"/>
      <c r="AA38" s="111">
        <v>216519</v>
      </c>
      <c r="AB38" s="112" t="s">
        <v>477</v>
      </c>
      <c r="AC38" s="111">
        <v>385551</v>
      </c>
      <c r="AD38" s="91"/>
      <c r="AE38" s="91"/>
    </row>
    <row r="39" spans="1:31" s="90" customFormat="1" ht="48.75" customHeight="1">
      <c r="A39" s="100" t="s">
        <v>515</v>
      </c>
      <c r="B39" s="99" t="s">
        <v>514</v>
      </c>
      <c r="C39" s="98" t="s">
        <v>470</v>
      </c>
      <c r="D39" s="98">
        <v>120</v>
      </c>
      <c r="E39" s="98">
        <v>1</v>
      </c>
      <c r="F39" s="98">
        <v>0.4</v>
      </c>
      <c r="G39" s="93">
        <v>235239.08</v>
      </c>
      <c r="H39" s="93">
        <f aca="true" t="shared" si="23" ref="H39:O39">ROUND(PRODUCT($G$39*H9),2)</f>
        <v>5880.98</v>
      </c>
      <c r="I39" s="93">
        <f t="shared" si="23"/>
        <v>1185.6</v>
      </c>
      <c r="J39" s="93">
        <f t="shared" si="23"/>
        <v>7057.17</v>
      </c>
      <c r="K39" s="93">
        <f t="shared" si="23"/>
        <v>1411.43</v>
      </c>
      <c r="L39" s="93">
        <f t="shared" si="23"/>
        <v>117.62</v>
      </c>
      <c r="M39" s="93">
        <f t="shared" si="23"/>
        <v>15502.26</v>
      </c>
      <c r="N39" s="93">
        <f t="shared" si="23"/>
        <v>5034.12</v>
      </c>
      <c r="O39" s="93">
        <f t="shared" si="23"/>
        <v>7057.17</v>
      </c>
      <c r="P39" s="93">
        <f t="shared" si="2"/>
        <v>278485.43</v>
      </c>
      <c r="Q39" s="146">
        <f>ROUND(PRODUCT(P39*'[1]индексы'!$L$16),2)</f>
        <v>302490.87</v>
      </c>
      <c r="R39" s="93">
        <f>ROUND(PRODUCT(P39*'[1]индексы'!$H$16),2)</f>
        <v>1389642.3</v>
      </c>
      <c r="S39" s="96">
        <f>ROUND(PRODUCT(Q39*'[1]индексы'!$D$16),2)</f>
        <v>1639500.52</v>
      </c>
      <c r="T39" s="92"/>
      <c r="U39" s="91">
        <v>195447.55</v>
      </c>
      <c r="V39" s="111">
        <v>478544.05</v>
      </c>
      <c r="W39" s="91">
        <v>322988</v>
      </c>
      <c r="X39" s="91">
        <v>413076</v>
      </c>
      <c r="Y39" s="91"/>
      <c r="Z39" s="91"/>
      <c r="AA39" s="111">
        <v>296427</v>
      </c>
      <c r="AB39" s="112" t="s">
        <v>477</v>
      </c>
      <c r="AC39" s="111">
        <v>460949</v>
      </c>
      <c r="AD39" s="91"/>
      <c r="AE39" s="91"/>
    </row>
    <row r="40" spans="1:31" s="90" customFormat="1" ht="69" customHeight="1">
      <c r="A40" s="100" t="s">
        <v>513</v>
      </c>
      <c r="B40" s="94" t="s">
        <v>512</v>
      </c>
      <c r="C40" s="98" t="s">
        <v>470</v>
      </c>
      <c r="D40" s="98">
        <v>120</v>
      </c>
      <c r="E40" s="98">
        <v>1</v>
      </c>
      <c r="F40" s="98">
        <v>0.4</v>
      </c>
      <c r="G40" s="44">
        <v>261152.41</v>
      </c>
      <c r="H40" s="93">
        <f aca="true" t="shared" si="24" ref="H40:O40">ROUND(PRODUCT($G$40*H9),2)</f>
        <v>6528.81</v>
      </c>
      <c r="I40" s="93">
        <f t="shared" si="24"/>
        <v>1316.21</v>
      </c>
      <c r="J40" s="93">
        <f t="shared" si="24"/>
        <v>7834.57</v>
      </c>
      <c r="K40" s="93">
        <f t="shared" si="24"/>
        <v>1566.91</v>
      </c>
      <c r="L40" s="93">
        <f t="shared" si="24"/>
        <v>130.58</v>
      </c>
      <c r="M40" s="93">
        <f t="shared" si="24"/>
        <v>17209.94</v>
      </c>
      <c r="N40" s="93">
        <f t="shared" si="24"/>
        <v>5588.66</v>
      </c>
      <c r="O40" s="93">
        <f t="shared" si="24"/>
        <v>7834.57</v>
      </c>
      <c r="P40" s="93">
        <f t="shared" si="2"/>
        <v>309162.66000000003</v>
      </c>
      <c r="Q40" s="146">
        <f>ROUND(PRODUCT(P40*'[1]индексы'!$L$16),2)</f>
        <v>335812.48</v>
      </c>
      <c r="R40" s="93">
        <f>ROUND(PRODUCT(P40*'[1]индексы'!$H$16),2)</f>
        <v>1542721.67</v>
      </c>
      <c r="S40" s="96">
        <f>ROUND(PRODUCT(Q40*'[1]индексы'!$D$16),2)</f>
        <v>1820103.64</v>
      </c>
      <c r="T40" s="92"/>
      <c r="U40" s="91"/>
      <c r="V40" s="111"/>
      <c r="W40" s="91"/>
      <c r="X40" s="91"/>
      <c r="Y40" s="91"/>
      <c r="Z40" s="91"/>
      <c r="AA40" s="111"/>
      <c r="AB40" s="111"/>
      <c r="AC40" s="111"/>
      <c r="AD40" s="91"/>
      <c r="AE40" s="91"/>
    </row>
    <row r="41" spans="1:31" s="90" customFormat="1" ht="69" customHeight="1">
      <c r="A41" s="100" t="s">
        <v>511</v>
      </c>
      <c r="B41" s="94" t="s">
        <v>510</v>
      </c>
      <c r="C41" s="98" t="s">
        <v>470</v>
      </c>
      <c r="D41" s="98">
        <v>120</v>
      </c>
      <c r="E41" s="98">
        <v>1</v>
      </c>
      <c r="F41" s="98">
        <v>0.4</v>
      </c>
      <c r="G41" s="44">
        <v>284807.51</v>
      </c>
      <c r="H41" s="93">
        <f aca="true" t="shared" si="25" ref="H41:O41">ROUND(PRODUCT($G$41*H9),2)</f>
        <v>7120.19</v>
      </c>
      <c r="I41" s="93">
        <f t="shared" si="25"/>
        <v>1435.43</v>
      </c>
      <c r="J41" s="93">
        <f t="shared" si="25"/>
        <v>8544.23</v>
      </c>
      <c r="K41" s="93">
        <f t="shared" si="25"/>
        <v>1708.85</v>
      </c>
      <c r="L41" s="93">
        <f t="shared" si="25"/>
        <v>142.4</v>
      </c>
      <c r="M41" s="93">
        <f t="shared" si="25"/>
        <v>18768.81</v>
      </c>
      <c r="N41" s="93">
        <f t="shared" si="25"/>
        <v>6094.88</v>
      </c>
      <c r="O41" s="93">
        <f t="shared" si="25"/>
        <v>8544.23</v>
      </c>
      <c r="P41" s="93">
        <f t="shared" si="2"/>
        <v>337166.52999999997</v>
      </c>
      <c r="Q41" s="146">
        <f>ROUND(PRODUCT(P41*'[1]индексы'!$L$16),2)</f>
        <v>366230.28</v>
      </c>
      <c r="R41" s="93">
        <f>ROUND(PRODUCT(P41*'[1]индексы'!$H$16),2)</f>
        <v>1682460.98</v>
      </c>
      <c r="S41" s="96">
        <f>ROUND(PRODUCT(Q41*'[1]индексы'!$D$16),2)</f>
        <v>1984968.12</v>
      </c>
      <c r="T41" s="92"/>
      <c r="U41" s="91"/>
      <c r="V41" s="111"/>
      <c r="W41" s="91"/>
      <c r="X41" s="91"/>
      <c r="Y41" s="91"/>
      <c r="Z41" s="91"/>
      <c r="AA41" s="111"/>
      <c r="AB41" s="111"/>
      <c r="AC41" s="111"/>
      <c r="AD41" s="91"/>
      <c r="AE41" s="91"/>
    </row>
    <row r="42" spans="1:31" s="90" customFormat="1" ht="69" customHeight="1">
      <c r="A42" s="100" t="s">
        <v>509</v>
      </c>
      <c r="B42" s="94" t="s">
        <v>508</v>
      </c>
      <c r="C42" s="98" t="s">
        <v>470</v>
      </c>
      <c r="D42" s="98">
        <v>120</v>
      </c>
      <c r="E42" s="98">
        <v>1</v>
      </c>
      <c r="F42" s="98">
        <v>0.4</v>
      </c>
      <c r="G42" s="44">
        <v>308462.61</v>
      </c>
      <c r="H42" s="93">
        <f aca="true" t="shared" si="26" ref="H42:O42">ROUND(PRODUCT($G$42*H9),2)</f>
        <v>7711.57</v>
      </c>
      <c r="I42" s="93">
        <f t="shared" si="26"/>
        <v>1554.65</v>
      </c>
      <c r="J42" s="93">
        <f t="shared" si="26"/>
        <v>9253.88</v>
      </c>
      <c r="K42" s="93">
        <f t="shared" si="26"/>
        <v>1850.78</v>
      </c>
      <c r="L42" s="93">
        <f t="shared" si="26"/>
        <v>154.23</v>
      </c>
      <c r="M42" s="93">
        <f t="shared" si="26"/>
        <v>20327.69</v>
      </c>
      <c r="N42" s="93">
        <f t="shared" si="26"/>
        <v>6601.1</v>
      </c>
      <c r="O42" s="93">
        <f t="shared" si="26"/>
        <v>9253.88</v>
      </c>
      <c r="P42" s="93">
        <f t="shared" si="2"/>
        <v>365170.39</v>
      </c>
      <c r="Q42" s="146">
        <f>ROUND(PRODUCT(P42*'[1]индексы'!$L$16),2)</f>
        <v>396648.08</v>
      </c>
      <c r="R42" s="93">
        <f>ROUND(PRODUCT(P42*'[1]индексы'!$H$16),2)</f>
        <v>1822200.25</v>
      </c>
      <c r="S42" s="96">
        <f>ROUND(PRODUCT(Q42*'[1]индексы'!$D$16),2)</f>
        <v>2149832.59</v>
      </c>
      <c r="T42" s="92"/>
      <c r="U42" s="91"/>
      <c r="V42" s="111"/>
      <c r="W42" s="91"/>
      <c r="X42" s="91"/>
      <c r="Y42" s="91"/>
      <c r="Z42" s="91"/>
      <c r="AA42" s="111"/>
      <c r="AB42" s="111"/>
      <c r="AC42" s="111"/>
      <c r="AD42" s="91"/>
      <c r="AE42" s="91"/>
    </row>
    <row r="43" spans="1:31" s="90" customFormat="1" ht="36" customHeight="1">
      <c r="A43" s="100" t="s">
        <v>507</v>
      </c>
      <c r="B43" s="99" t="s">
        <v>506</v>
      </c>
      <c r="C43" s="98" t="s">
        <v>470</v>
      </c>
      <c r="D43" s="98">
        <v>150</v>
      </c>
      <c r="E43" s="98">
        <v>1</v>
      </c>
      <c r="F43" s="98">
        <v>0.4</v>
      </c>
      <c r="G43" s="93">
        <v>228508.69</v>
      </c>
      <c r="H43" s="93">
        <f>ROUND(PRODUCT(G43*$H$9),2)</f>
        <v>5712.72</v>
      </c>
      <c r="I43" s="93">
        <f>ROUND(PRODUCT(G43*$I$9),2)</f>
        <v>1151.68</v>
      </c>
      <c r="J43" s="93">
        <f>ROUND(PRODUCT(G43*$J$9),2)</f>
        <v>6855.26</v>
      </c>
      <c r="K43" s="93">
        <f>ROUND(PRODUCT(G43*$K$9),2)</f>
        <v>1371.05</v>
      </c>
      <c r="L43" s="93">
        <f>ROUND(PRODUCT(G43*$L$9),2)</f>
        <v>114.25</v>
      </c>
      <c r="M43" s="93">
        <f>ROUND(PRODUCT(G43*$M$9),2)</f>
        <v>15058.72</v>
      </c>
      <c r="N43" s="93">
        <f>ROUND(PRODUCT(G43*$N$9),2)</f>
        <v>4890.09</v>
      </c>
      <c r="O43" s="93">
        <f>ROUND(PRODUCT(G43*$O$9),2)</f>
        <v>6855.26</v>
      </c>
      <c r="P43" s="93">
        <f t="shared" si="2"/>
        <v>270517.72000000003</v>
      </c>
      <c r="Q43" s="146">
        <f>ROUND(PRODUCT(P43*'[1]индексы'!$L$16),2)</f>
        <v>293836.35</v>
      </c>
      <c r="R43" s="93">
        <f>ROUND(PRODUCT(P43*'[1]индексы'!$H$16),2)</f>
        <v>1349883.42</v>
      </c>
      <c r="S43" s="96">
        <f>ROUND(PRODUCT(Q43*'[1]индексы'!$D$16),2)</f>
        <v>1592593.02</v>
      </c>
      <c r="T43" s="92"/>
      <c r="U43" s="91"/>
      <c r="V43" s="111">
        <v>382287.52</v>
      </c>
      <c r="W43" s="91"/>
      <c r="X43" s="91"/>
      <c r="Y43" s="91"/>
      <c r="Z43" s="91"/>
      <c r="AA43" s="111">
        <v>259600</v>
      </c>
      <c r="AB43" s="111"/>
      <c r="AC43" s="111"/>
      <c r="AD43" s="91"/>
      <c r="AE43" s="91"/>
    </row>
    <row r="44" spans="1:31" s="90" customFormat="1" ht="36" customHeight="1">
      <c r="A44" s="100" t="s">
        <v>505</v>
      </c>
      <c r="B44" s="99" t="s">
        <v>504</v>
      </c>
      <c r="C44" s="98" t="s">
        <v>470</v>
      </c>
      <c r="D44" s="98">
        <v>150</v>
      </c>
      <c r="E44" s="98">
        <v>1</v>
      </c>
      <c r="F44" s="98">
        <v>0.4</v>
      </c>
      <c r="G44" s="93">
        <v>243604.78</v>
      </c>
      <c r="H44" s="93">
        <f aca="true" t="shared" si="27" ref="H44:O44">ROUND(PRODUCT($G$44*H9),2)</f>
        <v>6090.12</v>
      </c>
      <c r="I44" s="93">
        <f t="shared" si="27"/>
        <v>1227.77</v>
      </c>
      <c r="J44" s="93">
        <f t="shared" si="27"/>
        <v>7308.14</v>
      </c>
      <c r="K44" s="93">
        <f t="shared" si="27"/>
        <v>1461.63</v>
      </c>
      <c r="L44" s="93">
        <f t="shared" si="27"/>
        <v>121.8</v>
      </c>
      <c r="M44" s="93">
        <f t="shared" si="27"/>
        <v>16053.56</v>
      </c>
      <c r="N44" s="93">
        <f t="shared" si="27"/>
        <v>5213.14</v>
      </c>
      <c r="O44" s="93">
        <f t="shared" si="27"/>
        <v>7308.14</v>
      </c>
      <c r="P44" s="93">
        <f t="shared" si="2"/>
        <v>288389.08</v>
      </c>
      <c r="Q44" s="146">
        <f>ROUND(PRODUCT(P44*'[1]индексы'!$L$16),2)</f>
        <v>313248.22</v>
      </c>
      <c r="R44" s="93">
        <f>ROUND(PRODUCT(P44*'[1]индексы'!$H$16),2)</f>
        <v>1439061.51</v>
      </c>
      <c r="S44" s="96">
        <f>ROUND(PRODUCT(Q44*'[1]индексы'!$D$16),2)</f>
        <v>1697805.35</v>
      </c>
      <c r="T44" s="92"/>
      <c r="U44" s="91"/>
      <c r="V44" s="111">
        <v>382287.52</v>
      </c>
      <c r="W44" s="91"/>
      <c r="X44" s="91"/>
      <c r="Y44" s="91"/>
      <c r="Z44" s="91"/>
      <c r="AA44" s="111">
        <v>259600</v>
      </c>
      <c r="AB44" s="111"/>
      <c r="AC44" s="111"/>
      <c r="AD44" s="91"/>
      <c r="AE44" s="91"/>
    </row>
    <row r="45" spans="1:31" s="90" customFormat="1" ht="48.75" customHeight="1">
      <c r="A45" s="100" t="s">
        <v>503</v>
      </c>
      <c r="B45" s="99" t="s">
        <v>502</v>
      </c>
      <c r="C45" s="98" t="s">
        <v>470</v>
      </c>
      <c r="D45" s="98">
        <v>150</v>
      </c>
      <c r="E45" s="98">
        <v>1</v>
      </c>
      <c r="F45" s="98">
        <v>0.4</v>
      </c>
      <c r="G45" s="93">
        <v>254045.33</v>
      </c>
      <c r="H45" s="93">
        <f aca="true" t="shared" si="28" ref="H45:O45">ROUND(PRODUCT($G$45*H9),2)</f>
        <v>6351.13</v>
      </c>
      <c r="I45" s="93">
        <f t="shared" si="28"/>
        <v>1280.39</v>
      </c>
      <c r="J45" s="93">
        <f t="shared" si="28"/>
        <v>7621.36</v>
      </c>
      <c r="K45" s="93">
        <f t="shared" si="28"/>
        <v>1524.27</v>
      </c>
      <c r="L45" s="93">
        <f t="shared" si="28"/>
        <v>127.02</v>
      </c>
      <c r="M45" s="93">
        <f t="shared" si="28"/>
        <v>16741.59</v>
      </c>
      <c r="N45" s="93">
        <f t="shared" si="28"/>
        <v>5436.57</v>
      </c>
      <c r="O45" s="93">
        <f t="shared" si="28"/>
        <v>7621.36</v>
      </c>
      <c r="P45" s="93">
        <f t="shared" si="2"/>
        <v>300749.0200000001</v>
      </c>
      <c r="Q45" s="146">
        <f>ROUND(PRODUCT(P45*'[1]индексы'!$L$16),2)</f>
        <v>326673.59</v>
      </c>
      <c r="R45" s="93">
        <f>ROUND(PRODUCT(P45*'[1]индексы'!$H$16),2)</f>
        <v>1500737.61</v>
      </c>
      <c r="S45" s="96">
        <f>ROUND(PRODUCT(Q45*'[1]индексы'!$D$16),2)</f>
        <v>1770570.86</v>
      </c>
      <c r="T45" s="92"/>
      <c r="U45" s="91">
        <v>214561.38</v>
      </c>
      <c r="V45" s="111">
        <v>510559.25</v>
      </c>
      <c r="W45" s="91">
        <v>349929</v>
      </c>
      <c r="X45" s="91">
        <v>466958</v>
      </c>
      <c r="Y45" s="91"/>
      <c r="Z45" s="91"/>
      <c r="AA45" s="111">
        <v>341349</v>
      </c>
      <c r="AB45" s="111"/>
      <c r="AC45" s="111"/>
      <c r="AD45" s="91"/>
      <c r="AE45" s="91"/>
    </row>
    <row r="46" spans="1:31" s="90" customFormat="1" ht="69" customHeight="1">
      <c r="A46" s="100" t="s">
        <v>501</v>
      </c>
      <c r="B46" s="94" t="s">
        <v>500</v>
      </c>
      <c r="C46" s="98" t="s">
        <v>470</v>
      </c>
      <c r="D46" s="98">
        <v>150</v>
      </c>
      <c r="E46" s="98">
        <v>1</v>
      </c>
      <c r="F46" s="98">
        <v>0.4</v>
      </c>
      <c r="G46" s="44">
        <v>279958.66</v>
      </c>
      <c r="H46" s="93">
        <f aca="true" t="shared" si="29" ref="H46:O46">ROUND(PRODUCT($G$46*H9),2)</f>
        <v>6998.97</v>
      </c>
      <c r="I46" s="93">
        <f t="shared" si="29"/>
        <v>1410.99</v>
      </c>
      <c r="J46" s="93">
        <f t="shared" si="29"/>
        <v>8398.76</v>
      </c>
      <c r="K46" s="93">
        <f t="shared" si="29"/>
        <v>1679.75</v>
      </c>
      <c r="L46" s="93">
        <f t="shared" si="29"/>
        <v>139.98</v>
      </c>
      <c r="M46" s="93">
        <f t="shared" si="29"/>
        <v>18449.28</v>
      </c>
      <c r="N46" s="93">
        <f t="shared" si="29"/>
        <v>5991.12</v>
      </c>
      <c r="O46" s="93">
        <f t="shared" si="29"/>
        <v>8398.76</v>
      </c>
      <c r="P46" s="93">
        <f t="shared" si="2"/>
        <v>331426.2699999999</v>
      </c>
      <c r="Q46" s="146">
        <f>ROUND(PRODUCT(P46*'[1]индексы'!$L$16),2)</f>
        <v>359995.21</v>
      </c>
      <c r="R46" s="93">
        <f>ROUND(PRODUCT(P46*'[1]индексы'!$H$16),2)</f>
        <v>1653817.09</v>
      </c>
      <c r="S46" s="96">
        <f>ROUND(PRODUCT(Q46*'[1]индексы'!$D$16),2)</f>
        <v>1951174.04</v>
      </c>
      <c r="T46" s="92"/>
      <c r="U46" s="91"/>
      <c r="V46" s="111"/>
      <c r="W46" s="91"/>
      <c r="X46" s="91"/>
      <c r="Y46" s="91"/>
      <c r="Z46" s="91"/>
      <c r="AA46" s="111"/>
      <c r="AB46" s="111"/>
      <c r="AC46" s="111"/>
      <c r="AD46" s="91"/>
      <c r="AE46" s="91"/>
    </row>
    <row r="47" spans="1:31" s="90" customFormat="1" ht="69" customHeight="1">
      <c r="A47" s="100" t="s">
        <v>499</v>
      </c>
      <c r="B47" s="94" t="s">
        <v>498</v>
      </c>
      <c r="C47" s="98" t="s">
        <v>470</v>
      </c>
      <c r="D47" s="98">
        <v>150</v>
      </c>
      <c r="E47" s="98">
        <v>1</v>
      </c>
      <c r="F47" s="98">
        <v>0.4</v>
      </c>
      <c r="G47" s="44">
        <v>303613.76</v>
      </c>
      <c r="H47" s="93">
        <f aca="true" t="shared" si="30" ref="H47:O47">ROUND(PRODUCT($G$47*H9),2)</f>
        <v>7590.34</v>
      </c>
      <c r="I47" s="93">
        <f t="shared" si="30"/>
        <v>1530.21</v>
      </c>
      <c r="J47" s="93">
        <f t="shared" si="30"/>
        <v>9108.41</v>
      </c>
      <c r="K47" s="93">
        <f t="shared" si="30"/>
        <v>1821.68</v>
      </c>
      <c r="L47" s="93">
        <f t="shared" si="30"/>
        <v>151.81</v>
      </c>
      <c r="M47" s="93">
        <f t="shared" si="30"/>
        <v>20008.15</v>
      </c>
      <c r="N47" s="93">
        <f t="shared" si="30"/>
        <v>6497.33</v>
      </c>
      <c r="O47" s="93">
        <f t="shared" si="30"/>
        <v>9108.41</v>
      </c>
      <c r="P47" s="93">
        <f t="shared" si="2"/>
        <v>359430.10000000003</v>
      </c>
      <c r="Q47" s="146">
        <f>ROUND(PRODUCT(P47*'[1]индексы'!$L$16),2)</f>
        <v>390412.97</v>
      </c>
      <c r="R47" s="93">
        <f>ROUND(PRODUCT(P47*'[1]индексы'!$H$16),2)</f>
        <v>1793556.2</v>
      </c>
      <c r="S47" s="96">
        <f>ROUND(PRODUCT(Q47*'[1]индексы'!$D$16),2)</f>
        <v>2116038.3</v>
      </c>
      <c r="T47" s="92"/>
      <c r="U47" s="91"/>
      <c r="V47" s="111"/>
      <c r="W47" s="91"/>
      <c r="X47" s="91"/>
      <c r="Y47" s="91"/>
      <c r="Z47" s="91"/>
      <c r="AA47" s="111"/>
      <c r="AB47" s="111"/>
      <c r="AC47" s="111"/>
      <c r="AD47" s="91"/>
      <c r="AE47" s="91"/>
    </row>
    <row r="48" spans="1:31" s="90" customFormat="1" ht="69" customHeight="1">
      <c r="A48" s="100" t="s">
        <v>497</v>
      </c>
      <c r="B48" s="94" t="s">
        <v>496</v>
      </c>
      <c r="C48" s="98" t="s">
        <v>470</v>
      </c>
      <c r="D48" s="98">
        <v>150</v>
      </c>
      <c r="E48" s="98">
        <v>1</v>
      </c>
      <c r="F48" s="98">
        <v>0.4</v>
      </c>
      <c r="G48" s="44">
        <v>327268.86</v>
      </c>
      <c r="H48" s="93">
        <f aca="true" t="shared" si="31" ref="H48:O48">ROUND(PRODUCT($G$48*H9),2)</f>
        <v>8181.72</v>
      </c>
      <c r="I48" s="93">
        <f t="shared" si="31"/>
        <v>1649.44</v>
      </c>
      <c r="J48" s="93">
        <f t="shared" si="31"/>
        <v>9818.07</v>
      </c>
      <c r="K48" s="93">
        <f t="shared" si="31"/>
        <v>1963.61</v>
      </c>
      <c r="L48" s="93">
        <f t="shared" si="31"/>
        <v>163.63</v>
      </c>
      <c r="M48" s="93">
        <f t="shared" si="31"/>
        <v>21567.02</v>
      </c>
      <c r="N48" s="93">
        <f t="shared" si="31"/>
        <v>7003.55</v>
      </c>
      <c r="O48" s="93">
        <f t="shared" si="31"/>
        <v>9818.07</v>
      </c>
      <c r="P48" s="93">
        <f t="shared" si="2"/>
        <v>387433.97</v>
      </c>
      <c r="Q48" s="146">
        <f>ROUND(PRODUCT(P48*'[1]индексы'!$L$16),2)</f>
        <v>420830.78</v>
      </c>
      <c r="R48" s="93">
        <f>ROUND(PRODUCT(P48*'[1]индексы'!$H$16),2)</f>
        <v>1933295.51</v>
      </c>
      <c r="S48" s="96">
        <f>ROUND(PRODUCT(Q48*'[1]индексы'!$D$16),2)</f>
        <v>2280902.83</v>
      </c>
      <c r="T48" s="92"/>
      <c r="U48" s="91"/>
      <c r="V48" s="111"/>
      <c r="W48" s="91"/>
      <c r="X48" s="91"/>
      <c r="Y48" s="91"/>
      <c r="Z48" s="91"/>
      <c r="AA48" s="111"/>
      <c r="AB48" s="111"/>
      <c r="AC48" s="111"/>
      <c r="AD48" s="91"/>
      <c r="AE48" s="91"/>
    </row>
    <row r="49" spans="1:31" s="90" customFormat="1" ht="36" customHeight="1">
      <c r="A49" s="100" t="s">
        <v>495</v>
      </c>
      <c r="B49" s="99" t="s">
        <v>494</v>
      </c>
      <c r="C49" s="98" t="s">
        <v>470</v>
      </c>
      <c r="D49" s="98">
        <v>185</v>
      </c>
      <c r="E49" s="98">
        <v>1</v>
      </c>
      <c r="F49" s="98">
        <v>0.4</v>
      </c>
      <c r="G49" s="93">
        <v>264465.01</v>
      </c>
      <c r="H49" s="93">
        <f>ROUND(PRODUCT(G49*$H$9),2)</f>
        <v>6611.63</v>
      </c>
      <c r="I49" s="93">
        <f>ROUND(PRODUCT(G49*$I$9),2)</f>
        <v>1332.9</v>
      </c>
      <c r="J49" s="93">
        <f>ROUND(PRODUCT(G49*$J$9),2)</f>
        <v>7933.95</v>
      </c>
      <c r="K49" s="93">
        <f>ROUND(PRODUCT(G49*$K$9),2)</f>
        <v>1586.79</v>
      </c>
      <c r="L49" s="93">
        <f>ROUND(PRODUCT(G49*$L$9),2)</f>
        <v>132.23</v>
      </c>
      <c r="M49" s="93">
        <f>ROUND(PRODUCT(G49*$M$9),2)</f>
        <v>17428.24</v>
      </c>
      <c r="N49" s="93">
        <f>ROUND(PRODUCT(G49*$N$9),2)</f>
        <v>5659.55</v>
      </c>
      <c r="O49" s="93">
        <f>ROUND(PRODUCT(G49*$O$9),2)</f>
        <v>7933.95</v>
      </c>
      <c r="P49" s="93">
        <f t="shared" si="2"/>
        <v>313084.25</v>
      </c>
      <c r="Q49" s="146">
        <f>ROUND(PRODUCT(P49*'[1]индексы'!$L$16),2)</f>
        <v>340072.11</v>
      </c>
      <c r="R49" s="93">
        <f>ROUND(PRODUCT(P49*'[1]индексы'!$H$16),2)</f>
        <v>1562290.41</v>
      </c>
      <c r="S49" s="96">
        <f>ROUND(PRODUCT(Q49*'[1]индексы'!$D$16),2)</f>
        <v>1843190.84</v>
      </c>
      <c r="T49" s="92"/>
      <c r="U49" s="91"/>
      <c r="V49" s="91"/>
      <c r="W49" s="91"/>
      <c r="X49" s="91"/>
      <c r="Y49" s="91"/>
      <c r="Z49" s="91"/>
      <c r="AA49" s="111">
        <v>279120</v>
      </c>
      <c r="AB49" s="111"/>
      <c r="AC49" s="111"/>
      <c r="AD49" s="91"/>
      <c r="AE49" s="91"/>
    </row>
    <row r="50" spans="1:31" s="90" customFormat="1" ht="36" customHeight="1">
      <c r="A50" s="100" t="s">
        <v>493</v>
      </c>
      <c r="B50" s="99" t="s">
        <v>492</v>
      </c>
      <c r="C50" s="98" t="s">
        <v>470</v>
      </c>
      <c r="D50" s="98">
        <v>185</v>
      </c>
      <c r="E50" s="98">
        <v>1</v>
      </c>
      <c r="F50" s="98">
        <v>0.4</v>
      </c>
      <c r="G50" s="93">
        <v>279561.1</v>
      </c>
      <c r="H50" s="93">
        <f aca="true" t="shared" si="32" ref="H50:O50">ROUND(PRODUCT($G$50*H9),2)</f>
        <v>6989.03</v>
      </c>
      <c r="I50" s="93">
        <f t="shared" si="32"/>
        <v>1408.99</v>
      </c>
      <c r="J50" s="93">
        <f t="shared" si="32"/>
        <v>8386.83</v>
      </c>
      <c r="K50" s="93">
        <f t="shared" si="32"/>
        <v>1677.37</v>
      </c>
      <c r="L50" s="93">
        <f t="shared" si="32"/>
        <v>139.78</v>
      </c>
      <c r="M50" s="93">
        <f t="shared" si="32"/>
        <v>18423.08</v>
      </c>
      <c r="N50" s="93">
        <f t="shared" si="32"/>
        <v>5982.61</v>
      </c>
      <c r="O50" s="93">
        <f t="shared" si="32"/>
        <v>8386.83</v>
      </c>
      <c r="P50" s="93">
        <f t="shared" si="2"/>
        <v>330955.62000000005</v>
      </c>
      <c r="Q50" s="146">
        <f>ROUND(PRODUCT(P50*'[1]индексы'!$L$16),2)</f>
        <v>359483.99</v>
      </c>
      <c r="R50" s="93">
        <f>ROUND(PRODUCT(P50*'[1]индексы'!$H$16),2)</f>
        <v>1651468.54</v>
      </c>
      <c r="S50" s="96">
        <f>ROUND(PRODUCT(Q50*'[1]индексы'!$D$16),2)</f>
        <v>1948403.23</v>
      </c>
      <c r="T50" s="92"/>
      <c r="U50" s="91"/>
      <c r="V50" s="91"/>
      <c r="W50" s="91"/>
      <c r="X50" s="91"/>
      <c r="Y50" s="91"/>
      <c r="Z50" s="91"/>
      <c r="AA50" s="111">
        <v>279120</v>
      </c>
      <c r="AB50" s="111"/>
      <c r="AC50" s="111"/>
      <c r="AD50" s="91"/>
      <c r="AE50" s="91"/>
    </row>
    <row r="51" spans="1:31" s="90" customFormat="1" ht="48.75" customHeight="1">
      <c r="A51" s="100" t="s">
        <v>491</v>
      </c>
      <c r="B51" s="99" t="s">
        <v>490</v>
      </c>
      <c r="C51" s="98" t="s">
        <v>470</v>
      </c>
      <c r="D51" s="98">
        <v>185</v>
      </c>
      <c r="E51" s="98">
        <v>1</v>
      </c>
      <c r="F51" s="98">
        <v>0.4</v>
      </c>
      <c r="G51" s="93">
        <v>289714.41</v>
      </c>
      <c r="H51" s="93">
        <f aca="true" t="shared" si="33" ref="H51:O51">ROUND(PRODUCT($G$51*H9),2)</f>
        <v>7242.86</v>
      </c>
      <c r="I51" s="93">
        <f t="shared" si="33"/>
        <v>1460.16</v>
      </c>
      <c r="J51" s="93">
        <f t="shared" si="33"/>
        <v>8691.43</v>
      </c>
      <c r="K51" s="93">
        <f t="shared" si="33"/>
        <v>1738.29</v>
      </c>
      <c r="L51" s="93">
        <f t="shared" si="33"/>
        <v>144.86</v>
      </c>
      <c r="M51" s="93">
        <f t="shared" si="33"/>
        <v>19092.18</v>
      </c>
      <c r="N51" s="93">
        <f t="shared" si="33"/>
        <v>6199.89</v>
      </c>
      <c r="O51" s="93">
        <f t="shared" si="33"/>
        <v>8691.43</v>
      </c>
      <c r="P51" s="93">
        <f t="shared" si="2"/>
        <v>342975.5099999999</v>
      </c>
      <c r="Q51" s="146">
        <f>ROUND(PRODUCT(P51*'[1]индексы'!$L$16),2)</f>
        <v>372540</v>
      </c>
      <c r="R51" s="93">
        <f>ROUND(PRODUCT(P51*'[1]индексы'!$H$16),2)</f>
        <v>1711447.79</v>
      </c>
      <c r="S51" s="96">
        <f>ROUND(PRODUCT(Q51*'[1]индексы'!$D$16),2)</f>
        <v>2019166.8</v>
      </c>
      <c r="T51" s="92"/>
      <c r="U51" s="91">
        <v>231129.3</v>
      </c>
      <c r="V51" s="91"/>
      <c r="W51" s="91">
        <v>361139</v>
      </c>
      <c r="X51" s="91">
        <v>489378</v>
      </c>
      <c r="Y51" s="91"/>
      <c r="Z51" s="91"/>
      <c r="AA51" s="111">
        <v>360869</v>
      </c>
      <c r="AB51" s="111"/>
      <c r="AC51" s="111"/>
      <c r="AD51" s="91"/>
      <c r="AE51" s="91"/>
    </row>
    <row r="52" spans="1:31" s="90" customFormat="1" ht="69" customHeight="1">
      <c r="A52" s="100" t="s">
        <v>489</v>
      </c>
      <c r="B52" s="94" t="s">
        <v>488</v>
      </c>
      <c r="C52" s="98" t="s">
        <v>470</v>
      </c>
      <c r="D52" s="98">
        <v>185</v>
      </c>
      <c r="E52" s="98">
        <v>1</v>
      </c>
      <c r="F52" s="98">
        <v>0.4</v>
      </c>
      <c r="G52" s="44">
        <v>303496.43</v>
      </c>
      <c r="H52" s="93">
        <f aca="true" t="shared" si="34" ref="H52:O52">ROUND(PRODUCT(($G$52)*H9),2)</f>
        <v>7587.41</v>
      </c>
      <c r="I52" s="93">
        <f t="shared" si="34"/>
        <v>1529.62</v>
      </c>
      <c r="J52" s="93">
        <f t="shared" si="34"/>
        <v>9104.89</v>
      </c>
      <c r="K52" s="93">
        <f t="shared" si="34"/>
        <v>1820.98</v>
      </c>
      <c r="L52" s="93">
        <f t="shared" si="34"/>
        <v>151.75</v>
      </c>
      <c r="M52" s="93">
        <f t="shared" si="34"/>
        <v>20000.41</v>
      </c>
      <c r="N52" s="93">
        <f t="shared" si="34"/>
        <v>6494.82</v>
      </c>
      <c r="O52" s="93">
        <f t="shared" si="34"/>
        <v>9104.89</v>
      </c>
      <c r="P52" s="93">
        <f t="shared" si="2"/>
        <v>359291.19999999995</v>
      </c>
      <c r="Q52" s="146">
        <f>ROUND(PRODUCT(P52*'[1]индексы'!$L$16),2)</f>
        <v>390262.1</v>
      </c>
      <c r="R52" s="93">
        <f>ROUND(PRODUCT(P52*'[1]индексы'!$H$16),2)</f>
        <v>1792863.09</v>
      </c>
      <c r="S52" s="96">
        <f>ROUND(PRODUCT(Q52*'[1]индексы'!$D$16),2)</f>
        <v>2115220.58</v>
      </c>
      <c r="T52" s="92"/>
      <c r="U52" s="91"/>
      <c r="V52" s="91"/>
      <c r="W52" s="91"/>
      <c r="X52" s="91"/>
      <c r="Y52" s="91"/>
      <c r="Z52" s="91"/>
      <c r="AA52" s="111"/>
      <c r="AB52" s="111"/>
      <c r="AC52" s="111"/>
      <c r="AD52" s="91"/>
      <c r="AE52" s="91"/>
    </row>
    <row r="53" spans="1:31" s="90" customFormat="1" ht="69" customHeight="1">
      <c r="A53" s="100" t="s">
        <v>487</v>
      </c>
      <c r="B53" s="94" t="s">
        <v>486</v>
      </c>
      <c r="C53" s="98" t="s">
        <v>470</v>
      </c>
      <c r="D53" s="98">
        <v>185</v>
      </c>
      <c r="E53" s="98">
        <v>1</v>
      </c>
      <c r="F53" s="98">
        <v>0.4</v>
      </c>
      <c r="G53" s="44">
        <v>325447.83</v>
      </c>
      <c r="H53" s="93">
        <f aca="true" t="shared" si="35" ref="H53:O53">ROUND(PRODUCT($G$53*H9),2)</f>
        <v>8136.2</v>
      </c>
      <c r="I53" s="93">
        <f t="shared" si="35"/>
        <v>1640.26</v>
      </c>
      <c r="J53" s="93">
        <f t="shared" si="35"/>
        <v>9763.43</v>
      </c>
      <c r="K53" s="93">
        <f t="shared" si="35"/>
        <v>1952.69</v>
      </c>
      <c r="L53" s="93">
        <f t="shared" si="35"/>
        <v>162.72</v>
      </c>
      <c r="M53" s="93">
        <f t="shared" si="35"/>
        <v>21447.01</v>
      </c>
      <c r="N53" s="93">
        <f t="shared" si="35"/>
        <v>6964.58</v>
      </c>
      <c r="O53" s="93">
        <f t="shared" si="35"/>
        <v>9763.43</v>
      </c>
      <c r="P53" s="93">
        <f t="shared" si="2"/>
        <v>385278.15</v>
      </c>
      <c r="Q53" s="146">
        <f>ROUND(PRODUCT(P53*'[1]индексы'!$L$16),2)</f>
        <v>418489.13</v>
      </c>
      <c r="R53" s="93">
        <f>ROUND(PRODUCT(P53*'[1]индексы'!$H$16),2)</f>
        <v>1922537.97</v>
      </c>
      <c r="S53" s="96">
        <f>ROUND(PRODUCT(Q53*'[1]индексы'!$D$16),2)</f>
        <v>2268211.08</v>
      </c>
      <c r="T53" s="92"/>
      <c r="U53" s="91"/>
      <c r="V53" s="91"/>
      <c r="W53" s="91"/>
      <c r="X53" s="91"/>
      <c r="Y53" s="91"/>
      <c r="Z53" s="91"/>
      <c r="AA53" s="111"/>
      <c r="AB53" s="111"/>
      <c r="AC53" s="111"/>
      <c r="AD53" s="91"/>
      <c r="AE53" s="91"/>
    </row>
    <row r="54" spans="1:31" s="90" customFormat="1" ht="69" customHeight="1">
      <c r="A54" s="100" t="s">
        <v>485</v>
      </c>
      <c r="B54" s="94" t="s">
        <v>484</v>
      </c>
      <c r="C54" s="98" t="s">
        <v>470</v>
      </c>
      <c r="D54" s="98">
        <v>185</v>
      </c>
      <c r="E54" s="98">
        <v>1</v>
      </c>
      <c r="F54" s="98">
        <v>0.4</v>
      </c>
      <c r="G54" s="44">
        <v>347399.23</v>
      </c>
      <c r="H54" s="93">
        <f aca="true" t="shared" si="36" ref="H54:O54">ROUND(PRODUCT($G$54*H9),2)</f>
        <v>8684.98</v>
      </c>
      <c r="I54" s="93">
        <f t="shared" si="36"/>
        <v>1750.89</v>
      </c>
      <c r="J54" s="93">
        <f t="shared" si="36"/>
        <v>10421.98</v>
      </c>
      <c r="K54" s="93">
        <f t="shared" si="36"/>
        <v>2084.4</v>
      </c>
      <c r="L54" s="93">
        <f t="shared" si="36"/>
        <v>173.7</v>
      </c>
      <c r="M54" s="93">
        <f t="shared" si="36"/>
        <v>22893.61</v>
      </c>
      <c r="N54" s="93">
        <f t="shared" si="36"/>
        <v>7434.34</v>
      </c>
      <c r="O54" s="93">
        <f t="shared" si="36"/>
        <v>10421.98</v>
      </c>
      <c r="P54" s="93">
        <f t="shared" si="2"/>
        <v>411265.11</v>
      </c>
      <c r="Q54" s="146">
        <f>ROUND(PRODUCT(P54*'[1]индексы'!$L$16),2)</f>
        <v>446716.16</v>
      </c>
      <c r="R54" s="93">
        <f>ROUND(PRODUCT(P54*'[1]индексы'!$H$16),2)</f>
        <v>2052212.9</v>
      </c>
      <c r="S54" s="96">
        <f>ROUND(PRODUCT(Q54*'[1]индексы'!$D$16),2)</f>
        <v>2421201.59</v>
      </c>
      <c r="T54" s="92"/>
      <c r="U54" s="91"/>
      <c r="V54" s="91"/>
      <c r="W54" s="91"/>
      <c r="X54" s="91"/>
      <c r="Y54" s="91"/>
      <c r="Z54" s="91"/>
      <c r="AA54" s="111"/>
      <c r="AB54" s="111"/>
      <c r="AC54" s="111"/>
      <c r="AD54" s="91"/>
      <c r="AE54" s="91"/>
    </row>
    <row r="55" spans="1:31" s="90" customFormat="1" ht="36" customHeight="1">
      <c r="A55" s="100" t="s">
        <v>483</v>
      </c>
      <c r="B55" s="99" t="s">
        <v>482</v>
      </c>
      <c r="C55" s="98" t="s">
        <v>470</v>
      </c>
      <c r="D55" s="98">
        <v>240</v>
      </c>
      <c r="E55" s="98">
        <v>1</v>
      </c>
      <c r="F55" s="98">
        <v>0.4</v>
      </c>
      <c r="G55" s="93">
        <v>308674.35</v>
      </c>
      <c r="H55" s="93">
        <f>ROUND(PRODUCT(G55*$H$9),2)</f>
        <v>7716.86</v>
      </c>
      <c r="I55" s="93">
        <f>ROUND(PRODUCT(G55*$I$9),2)</f>
        <v>1555.72</v>
      </c>
      <c r="J55" s="93">
        <f>ROUND(PRODUCT(G55*$J$9),2)</f>
        <v>9260.23</v>
      </c>
      <c r="K55" s="93">
        <f>ROUND(PRODUCT(G55*$K$9),2)</f>
        <v>1852.05</v>
      </c>
      <c r="L55" s="93">
        <f>ROUND(PRODUCT(G55*$L$9),2)</f>
        <v>154.34</v>
      </c>
      <c r="M55" s="93">
        <f>ROUND(PRODUCT(G55*$M$9),2)</f>
        <v>20341.64</v>
      </c>
      <c r="N55" s="93">
        <f>ROUND(PRODUCT(G55*$N$9),2)</f>
        <v>6605.63</v>
      </c>
      <c r="O55" s="93">
        <f>ROUND(PRODUCT(G55*$O$9),2)</f>
        <v>9260.23</v>
      </c>
      <c r="P55" s="93">
        <f t="shared" si="2"/>
        <v>365421.04999999993</v>
      </c>
      <c r="Q55" s="146">
        <f>ROUND(PRODUCT(P55*'[1]индексы'!$L$16),2)</f>
        <v>396920.34</v>
      </c>
      <c r="R55" s="93">
        <f>ROUND(PRODUCT(P55*'[1]индексы'!$H$16),2)</f>
        <v>1823451.04</v>
      </c>
      <c r="S55" s="96">
        <f>ROUND(PRODUCT(Q55*'[1]индексы'!$D$16),2)</f>
        <v>2151308.24</v>
      </c>
      <c r="T55" s="92"/>
      <c r="U55" s="91"/>
      <c r="V55" s="91"/>
      <c r="W55" s="91"/>
      <c r="X55" s="91"/>
      <c r="Y55" s="91"/>
      <c r="Z55" s="91"/>
      <c r="AA55" s="111">
        <v>385865</v>
      </c>
      <c r="AB55" s="112" t="s">
        <v>477</v>
      </c>
      <c r="AC55" s="111">
        <v>687603</v>
      </c>
      <c r="AD55" s="91"/>
      <c r="AE55" s="91"/>
    </row>
    <row r="56" spans="1:31" s="90" customFormat="1" ht="36" customHeight="1">
      <c r="A56" s="100" t="s">
        <v>481</v>
      </c>
      <c r="B56" s="99" t="s">
        <v>480</v>
      </c>
      <c r="C56" s="98" t="s">
        <v>470</v>
      </c>
      <c r="D56" s="98">
        <v>240</v>
      </c>
      <c r="E56" s="98">
        <v>1</v>
      </c>
      <c r="F56" s="98">
        <v>0.4</v>
      </c>
      <c r="G56" s="93">
        <v>323770.44</v>
      </c>
      <c r="H56" s="93">
        <f aca="true" t="shared" si="37" ref="H56:O56">ROUND(PRODUCT($G$56*H9),2)</f>
        <v>8094.26</v>
      </c>
      <c r="I56" s="93">
        <f t="shared" si="37"/>
        <v>1631.8</v>
      </c>
      <c r="J56" s="93">
        <f t="shared" si="37"/>
        <v>9713.11</v>
      </c>
      <c r="K56" s="93">
        <f t="shared" si="37"/>
        <v>1942.62</v>
      </c>
      <c r="L56" s="93">
        <f t="shared" si="37"/>
        <v>161.89</v>
      </c>
      <c r="M56" s="93">
        <f t="shared" si="37"/>
        <v>21336.47</v>
      </c>
      <c r="N56" s="93">
        <f t="shared" si="37"/>
        <v>6928.69</v>
      </c>
      <c r="O56" s="93">
        <f t="shared" si="37"/>
        <v>9713.11</v>
      </c>
      <c r="P56" s="93">
        <f t="shared" si="2"/>
        <v>383292.38999999996</v>
      </c>
      <c r="Q56" s="146">
        <f>ROUND(PRODUCT(P56*'[1]индексы'!$L$16),2)</f>
        <v>416332.19</v>
      </c>
      <c r="R56" s="93">
        <f>ROUND(PRODUCT(P56*'[1]индексы'!$H$16),2)</f>
        <v>1912629.03</v>
      </c>
      <c r="S56" s="96">
        <f>ROUND(PRODUCT(Q56*'[1]индексы'!$D$16),2)</f>
        <v>2256520.47</v>
      </c>
      <c r="T56" s="92"/>
      <c r="U56" s="91"/>
      <c r="V56" s="91"/>
      <c r="W56" s="91"/>
      <c r="X56" s="91"/>
      <c r="Y56" s="91"/>
      <c r="Z56" s="91"/>
      <c r="AA56" s="111">
        <v>385865</v>
      </c>
      <c r="AB56" s="112" t="s">
        <v>477</v>
      </c>
      <c r="AC56" s="111">
        <v>687603</v>
      </c>
      <c r="AD56" s="91"/>
      <c r="AE56" s="91"/>
    </row>
    <row r="57" spans="1:31" s="90" customFormat="1" ht="48.75" customHeight="1">
      <c r="A57" s="100" t="s">
        <v>479</v>
      </c>
      <c r="B57" s="99" t="s">
        <v>478</v>
      </c>
      <c r="C57" s="98" t="s">
        <v>470</v>
      </c>
      <c r="D57" s="98">
        <v>240</v>
      </c>
      <c r="E57" s="98">
        <v>1</v>
      </c>
      <c r="F57" s="98">
        <v>0.4</v>
      </c>
      <c r="G57" s="93">
        <v>334092.23</v>
      </c>
      <c r="H57" s="93">
        <f aca="true" t="shared" si="38" ref="H57:O57">ROUND(PRODUCT($G$57*H9),2)</f>
        <v>8352.31</v>
      </c>
      <c r="I57" s="93">
        <f t="shared" si="38"/>
        <v>1683.82</v>
      </c>
      <c r="J57" s="93">
        <f t="shared" si="38"/>
        <v>10022.77</v>
      </c>
      <c r="K57" s="93">
        <f t="shared" si="38"/>
        <v>2004.55</v>
      </c>
      <c r="L57" s="93">
        <f t="shared" si="38"/>
        <v>167.05</v>
      </c>
      <c r="M57" s="93">
        <f t="shared" si="38"/>
        <v>22016.68</v>
      </c>
      <c r="N57" s="93">
        <f t="shared" si="38"/>
        <v>7149.57</v>
      </c>
      <c r="O57" s="93">
        <f t="shared" si="38"/>
        <v>10022.77</v>
      </c>
      <c r="P57" s="93">
        <f t="shared" si="2"/>
        <v>395511.75</v>
      </c>
      <c r="Q57" s="146">
        <f>ROUND(PRODUCT(P57*'[1]индексы'!$L$16),2)</f>
        <v>429604.86</v>
      </c>
      <c r="R57" s="93">
        <f>ROUND(PRODUCT(P57*'[1]индексы'!$H$16),2)</f>
        <v>1973603.63</v>
      </c>
      <c r="S57" s="96">
        <f>ROUND(PRODUCT(Q57*'[1]индексы'!$D$16),2)</f>
        <v>2328458.34</v>
      </c>
      <c r="T57" s="92"/>
      <c r="U57" s="91">
        <v>254637.31</v>
      </c>
      <c r="V57" s="91"/>
      <c r="W57" s="91">
        <v>374338</v>
      </c>
      <c r="X57" s="91">
        <v>515776</v>
      </c>
      <c r="Y57" s="91"/>
      <c r="Z57" s="91"/>
      <c r="AA57" s="111">
        <v>436490</v>
      </c>
      <c r="AB57" s="112" t="s">
        <v>477</v>
      </c>
      <c r="AC57" s="111">
        <v>739272</v>
      </c>
      <c r="AD57" s="91"/>
      <c r="AE57" s="91"/>
    </row>
    <row r="58" spans="1:31" s="90" customFormat="1" ht="69" customHeight="1">
      <c r="A58" s="100" t="s">
        <v>476</v>
      </c>
      <c r="B58" s="94" t="s">
        <v>475</v>
      </c>
      <c r="C58" s="98" t="s">
        <v>470</v>
      </c>
      <c r="D58" s="98">
        <v>240</v>
      </c>
      <c r="E58" s="98">
        <v>1</v>
      </c>
      <c r="F58" s="98">
        <v>0.4</v>
      </c>
      <c r="G58" s="44">
        <v>360005.56</v>
      </c>
      <c r="H58" s="93">
        <f aca="true" t="shared" si="39" ref="H58:O58">ROUND(PRODUCT(($G$58)*H9),2)</f>
        <v>9000.14</v>
      </c>
      <c r="I58" s="93">
        <f t="shared" si="39"/>
        <v>1814.43</v>
      </c>
      <c r="J58" s="93">
        <f t="shared" si="39"/>
        <v>10800.17</v>
      </c>
      <c r="K58" s="93">
        <f t="shared" si="39"/>
        <v>2160.03</v>
      </c>
      <c r="L58" s="93">
        <f t="shared" si="39"/>
        <v>180</v>
      </c>
      <c r="M58" s="93">
        <f t="shared" si="39"/>
        <v>23724.37</v>
      </c>
      <c r="N58" s="93">
        <f t="shared" si="39"/>
        <v>7704.12</v>
      </c>
      <c r="O58" s="93">
        <f t="shared" si="39"/>
        <v>10800.17</v>
      </c>
      <c r="P58" s="93">
        <f t="shared" si="2"/>
        <v>426188.99</v>
      </c>
      <c r="Q58" s="146">
        <f>ROUND(PRODUCT(P58*'[1]индексы'!$L$16),2)</f>
        <v>462926.48</v>
      </c>
      <c r="R58" s="93">
        <f>ROUND(PRODUCT(P58*'[1]индексы'!$H$16),2)</f>
        <v>2126683.06</v>
      </c>
      <c r="S58" s="96">
        <f>ROUND(PRODUCT(Q58*'[1]индексы'!$D$16),2)</f>
        <v>2509061.52</v>
      </c>
      <c r="T58" s="92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</row>
    <row r="59" spans="1:31" s="90" customFormat="1" ht="69" customHeight="1">
      <c r="A59" s="100" t="s">
        <v>474</v>
      </c>
      <c r="B59" s="94" t="s">
        <v>473</v>
      </c>
      <c r="C59" s="98" t="s">
        <v>470</v>
      </c>
      <c r="D59" s="98">
        <v>240</v>
      </c>
      <c r="E59" s="98">
        <v>1</v>
      </c>
      <c r="F59" s="98">
        <v>0.4</v>
      </c>
      <c r="G59" s="44">
        <v>383660.66</v>
      </c>
      <c r="H59" s="93">
        <f aca="true" t="shared" si="40" ref="H59:O59">ROUND(PRODUCT($G$59*H9),2)</f>
        <v>9591.52</v>
      </c>
      <c r="I59" s="93">
        <f t="shared" si="40"/>
        <v>1933.65</v>
      </c>
      <c r="J59" s="93">
        <f t="shared" si="40"/>
        <v>11509.82</v>
      </c>
      <c r="K59" s="93">
        <f t="shared" si="40"/>
        <v>2301.96</v>
      </c>
      <c r="L59" s="93">
        <f t="shared" si="40"/>
        <v>191.83</v>
      </c>
      <c r="M59" s="93">
        <f t="shared" si="40"/>
        <v>25283.24</v>
      </c>
      <c r="N59" s="93">
        <f t="shared" si="40"/>
        <v>8210.34</v>
      </c>
      <c r="O59" s="93">
        <f t="shared" si="40"/>
        <v>11509.82</v>
      </c>
      <c r="P59" s="93">
        <f t="shared" si="2"/>
        <v>454192.8400000001</v>
      </c>
      <c r="Q59" s="146">
        <f>ROUND(PRODUCT(P59*'[1]индексы'!$L$16),2)</f>
        <v>493344.26</v>
      </c>
      <c r="R59" s="93">
        <f>ROUND(PRODUCT(P59*'[1]индексы'!$H$16),2)</f>
        <v>2266422.27</v>
      </c>
      <c r="S59" s="96">
        <f>ROUND(PRODUCT(Q59*'[1]индексы'!$D$16),2)</f>
        <v>2673925.89</v>
      </c>
      <c r="T59" s="92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</row>
    <row r="60" spans="1:31" s="90" customFormat="1" ht="69" customHeight="1">
      <c r="A60" s="100" t="s">
        <v>472</v>
      </c>
      <c r="B60" s="94" t="s">
        <v>471</v>
      </c>
      <c r="C60" s="98" t="s">
        <v>470</v>
      </c>
      <c r="D60" s="98">
        <v>240</v>
      </c>
      <c r="E60" s="98">
        <v>1</v>
      </c>
      <c r="F60" s="98">
        <v>0.4</v>
      </c>
      <c r="G60" s="44">
        <v>407315.76</v>
      </c>
      <c r="H60" s="93">
        <f aca="true" t="shared" si="41" ref="H60:O60">ROUND(PRODUCT($G$60*H9),2)</f>
        <v>10182.89</v>
      </c>
      <c r="I60" s="93">
        <f t="shared" si="41"/>
        <v>2052.87</v>
      </c>
      <c r="J60" s="93">
        <f t="shared" si="41"/>
        <v>12219.47</v>
      </c>
      <c r="K60" s="93">
        <f t="shared" si="41"/>
        <v>2443.89</v>
      </c>
      <c r="L60" s="93">
        <f t="shared" si="41"/>
        <v>203.66</v>
      </c>
      <c r="M60" s="93">
        <f t="shared" si="41"/>
        <v>26842.11</v>
      </c>
      <c r="N60" s="93">
        <f t="shared" si="41"/>
        <v>8716.56</v>
      </c>
      <c r="O60" s="93">
        <f t="shared" si="41"/>
        <v>12219.47</v>
      </c>
      <c r="P60" s="93">
        <f t="shared" si="2"/>
        <v>482196.67999999993</v>
      </c>
      <c r="Q60" s="146">
        <f>ROUND(PRODUCT(P60*'[1]индексы'!$L$16),2)</f>
        <v>523762.03</v>
      </c>
      <c r="R60" s="93">
        <f>ROUND(PRODUCT(P60*'[1]индексы'!$H$16),2)</f>
        <v>2406161.43</v>
      </c>
      <c r="S60" s="96">
        <f>ROUND(PRODUCT(Q60*'[1]индексы'!$D$16),2)</f>
        <v>2838790.2</v>
      </c>
      <c r="T60" s="92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</row>
    <row r="61" spans="1:31" s="101" customFormat="1" ht="29.25" customHeight="1">
      <c r="A61" s="110" t="s">
        <v>469</v>
      </c>
      <c r="B61" s="109" t="s">
        <v>468</v>
      </c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7"/>
      <c r="Q61" s="147"/>
      <c r="R61" s="107"/>
      <c r="S61" s="106"/>
      <c r="T61" s="105"/>
      <c r="U61" s="104">
        <f>(U64+U65+U70+U71+U76+U77+U82+U83+U88+U89+U94+U95+U100+U103)/14</f>
        <v>519120.3157142857</v>
      </c>
      <c r="V61" s="104">
        <f>(V75+V76+V81+V82+V87+V88)/6</f>
        <v>896772.7866666667</v>
      </c>
      <c r="W61" s="104"/>
      <c r="X61" s="104"/>
      <c r="Y61" s="103">
        <v>277134.32</v>
      </c>
      <c r="Z61" s="103">
        <v>479992</v>
      </c>
      <c r="AA61" s="102"/>
      <c r="AB61" s="102"/>
      <c r="AC61" s="102"/>
      <c r="AD61" s="102"/>
      <c r="AE61" s="102"/>
    </row>
    <row r="62" spans="1:31" s="90" customFormat="1" ht="36" customHeight="1">
      <c r="A62" s="100" t="s">
        <v>467</v>
      </c>
      <c r="B62" s="99" t="s">
        <v>466</v>
      </c>
      <c r="C62" s="98" t="s">
        <v>383</v>
      </c>
      <c r="D62" s="98">
        <v>50</v>
      </c>
      <c r="E62" s="98">
        <v>1</v>
      </c>
      <c r="F62" s="97" t="s">
        <v>330</v>
      </c>
      <c r="G62" s="93">
        <v>318197.18</v>
      </c>
      <c r="H62" s="93">
        <f aca="true" t="shared" si="42" ref="H62:O62">ROUND(PRODUCT($G$62*H9),2)</f>
        <v>7954.93</v>
      </c>
      <c r="I62" s="93">
        <f t="shared" si="42"/>
        <v>1603.71</v>
      </c>
      <c r="J62" s="93">
        <f t="shared" si="42"/>
        <v>9545.92</v>
      </c>
      <c r="K62" s="93">
        <f t="shared" si="42"/>
        <v>1909.18</v>
      </c>
      <c r="L62" s="93">
        <f t="shared" si="42"/>
        <v>159.1</v>
      </c>
      <c r="M62" s="93">
        <f t="shared" si="42"/>
        <v>20969.19</v>
      </c>
      <c r="N62" s="93">
        <f t="shared" si="42"/>
        <v>6809.42</v>
      </c>
      <c r="O62" s="93">
        <f t="shared" si="42"/>
        <v>9545.92</v>
      </c>
      <c r="P62" s="93">
        <f aca="true" t="shared" si="43" ref="P62:P103">G62+H62+I62+J62+K62+L62+M62+N62+O62</f>
        <v>376694.54999999993</v>
      </c>
      <c r="Q62" s="146">
        <f>ROUND(PRODUCT(P62*'[1]индексы'!$L$18),2)</f>
        <v>390368.56</v>
      </c>
      <c r="R62" s="93">
        <f>ROUND(PRODUCT(P62*'[1]индексы'!$H$18),2)</f>
        <v>1970112.5</v>
      </c>
      <c r="S62" s="96">
        <f>ROUND(PRODUCT(Q62*'[1]индексы'!$D$18),2)</f>
        <v>2115797.6</v>
      </c>
      <c r="T62" s="92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</row>
    <row r="63" spans="1:31" s="90" customFormat="1" ht="36" customHeight="1">
      <c r="A63" s="100" t="s">
        <v>465</v>
      </c>
      <c r="B63" s="99" t="s">
        <v>464</v>
      </c>
      <c r="C63" s="98" t="s">
        <v>383</v>
      </c>
      <c r="D63" s="98">
        <v>50</v>
      </c>
      <c r="E63" s="98">
        <v>1</v>
      </c>
      <c r="F63" s="97" t="s">
        <v>330</v>
      </c>
      <c r="G63" s="93">
        <v>333293.27</v>
      </c>
      <c r="H63" s="93">
        <f>ROUND(PRODUCT(G63*$H$9),2)</f>
        <v>8332.33</v>
      </c>
      <c r="I63" s="93">
        <f>ROUND(PRODUCT(G63*$I$9),2)</f>
        <v>1679.8</v>
      </c>
      <c r="J63" s="93">
        <f>ROUND(PRODUCT(G63*$J$9),2)</f>
        <v>9998.8</v>
      </c>
      <c r="K63" s="93">
        <f>ROUND(PRODUCT(G63*$K$9),2)</f>
        <v>1999.76</v>
      </c>
      <c r="L63" s="93">
        <f>ROUND(PRODUCT(G63*$L$9),2)</f>
        <v>166.65</v>
      </c>
      <c r="M63" s="93">
        <f>ROUND(PRODUCT(G63*$M$9),2)</f>
        <v>21964.03</v>
      </c>
      <c r="N63" s="93">
        <f>ROUND(PRODUCT(G63*$N$9),2)</f>
        <v>7132.48</v>
      </c>
      <c r="O63" s="93">
        <f>ROUND(PRODUCT(G63*$O$9),2)</f>
        <v>9998.8</v>
      </c>
      <c r="P63" s="93">
        <f t="shared" si="43"/>
        <v>394565.92</v>
      </c>
      <c r="Q63" s="146">
        <f>ROUND(PRODUCT(P63*'[1]индексы'!$L$18),2)</f>
        <v>408888.66</v>
      </c>
      <c r="R63" s="93">
        <f>ROUND(PRODUCT(P63*'[1]индексы'!$H$18),2)</f>
        <v>2063579.76</v>
      </c>
      <c r="S63" s="96">
        <f>ROUND(PRODUCT(Q63*'[1]индексы'!$D$18),2)</f>
        <v>2216176.54</v>
      </c>
      <c r="T63" s="92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</row>
    <row r="64" spans="1:31" s="90" customFormat="1" ht="53.25" customHeight="1">
      <c r="A64" s="100" t="s">
        <v>463</v>
      </c>
      <c r="B64" s="99" t="s">
        <v>462</v>
      </c>
      <c r="C64" s="98" t="s">
        <v>383</v>
      </c>
      <c r="D64" s="98">
        <v>50</v>
      </c>
      <c r="E64" s="98">
        <v>1</v>
      </c>
      <c r="F64" s="97" t="s">
        <v>330</v>
      </c>
      <c r="G64" s="93">
        <v>343355.12</v>
      </c>
      <c r="H64" s="93">
        <f aca="true" t="shared" si="44" ref="H64:O64">ROUND(PRODUCT($G$64*H9),2)</f>
        <v>8583.88</v>
      </c>
      <c r="I64" s="93">
        <f t="shared" si="44"/>
        <v>1730.51</v>
      </c>
      <c r="J64" s="93">
        <f t="shared" si="44"/>
        <v>10300.65</v>
      </c>
      <c r="K64" s="93">
        <f t="shared" si="44"/>
        <v>2060.13</v>
      </c>
      <c r="L64" s="93">
        <f t="shared" si="44"/>
        <v>171.68</v>
      </c>
      <c r="M64" s="93">
        <f t="shared" si="44"/>
        <v>22627.1</v>
      </c>
      <c r="N64" s="93">
        <f t="shared" si="44"/>
        <v>7347.8</v>
      </c>
      <c r="O64" s="93">
        <f t="shared" si="44"/>
        <v>10300.65</v>
      </c>
      <c r="P64" s="93">
        <f t="shared" si="43"/>
        <v>406477.52</v>
      </c>
      <c r="Q64" s="146">
        <f>ROUND(PRODUCT(P64*'[1]индексы'!$L$18),2)</f>
        <v>421232.65</v>
      </c>
      <c r="R64" s="93">
        <f>ROUND(PRODUCT(P64*'[1]индексы'!$H$18),2)</f>
        <v>2125877.43</v>
      </c>
      <c r="S64" s="96">
        <f>ROUND(PRODUCT(Q64*'[1]индексы'!$D$18),2)</f>
        <v>2283080.96</v>
      </c>
      <c r="T64" s="92"/>
      <c r="U64" s="91">
        <v>205056.09</v>
      </c>
      <c r="V64" s="91"/>
      <c r="W64" s="91"/>
      <c r="X64" s="91"/>
      <c r="Y64" s="91"/>
      <c r="Z64" s="91"/>
      <c r="AA64" s="91"/>
      <c r="AB64" s="91"/>
      <c r="AC64" s="91"/>
      <c r="AD64" s="91"/>
      <c r="AE64" s="91"/>
    </row>
    <row r="65" spans="1:31" s="90" customFormat="1" ht="65.25" customHeight="1">
      <c r="A65" s="100" t="s">
        <v>461</v>
      </c>
      <c r="B65" s="94" t="s">
        <v>460</v>
      </c>
      <c r="C65" s="98" t="s">
        <v>383</v>
      </c>
      <c r="D65" s="98">
        <v>50</v>
      </c>
      <c r="E65" s="98">
        <v>1</v>
      </c>
      <c r="F65" s="97" t="s">
        <v>330</v>
      </c>
      <c r="G65" s="44">
        <v>378535.07</v>
      </c>
      <c r="H65" s="93">
        <f aca="true" t="shared" si="45" ref="H65:O65">ROUND(PRODUCT(($G$65)*H9),2)</f>
        <v>9463.38</v>
      </c>
      <c r="I65" s="93">
        <f t="shared" si="45"/>
        <v>1907.82</v>
      </c>
      <c r="J65" s="93">
        <f t="shared" si="45"/>
        <v>11356.05</v>
      </c>
      <c r="K65" s="93">
        <f t="shared" si="45"/>
        <v>2271.21</v>
      </c>
      <c r="L65" s="93">
        <f t="shared" si="45"/>
        <v>189.27</v>
      </c>
      <c r="M65" s="93">
        <f t="shared" si="45"/>
        <v>24945.46</v>
      </c>
      <c r="N65" s="93">
        <f t="shared" si="45"/>
        <v>8100.65</v>
      </c>
      <c r="O65" s="93">
        <f t="shared" si="45"/>
        <v>11356.05</v>
      </c>
      <c r="P65" s="93">
        <f t="shared" si="43"/>
        <v>448124.9600000001</v>
      </c>
      <c r="Q65" s="146">
        <f>ROUND(PRODUCT(P65*'[1]индексы'!$L$18),2)</f>
        <v>464391.9</v>
      </c>
      <c r="R65" s="93">
        <f>ROUND(PRODUCT(P65*'[1]индексы'!$H$18),2)</f>
        <v>2343693.54</v>
      </c>
      <c r="S65" s="96">
        <f>ROUND(PRODUCT(Q65*'[1]индексы'!$D$18),2)</f>
        <v>2517004.1</v>
      </c>
      <c r="T65" s="92"/>
      <c r="U65" s="91">
        <v>734364.25</v>
      </c>
      <c r="V65" s="91"/>
      <c r="W65" s="91"/>
      <c r="X65" s="91"/>
      <c r="Y65" s="91"/>
      <c r="Z65" s="91"/>
      <c r="AA65" s="91"/>
      <c r="AB65" s="91"/>
      <c r="AC65" s="91"/>
      <c r="AD65" s="91"/>
      <c r="AE65" s="91"/>
    </row>
    <row r="66" spans="1:31" s="90" customFormat="1" ht="65.25" customHeight="1">
      <c r="A66" s="100" t="s">
        <v>459</v>
      </c>
      <c r="B66" s="94" t="s">
        <v>458</v>
      </c>
      <c r="C66" s="98" t="s">
        <v>383</v>
      </c>
      <c r="D66" s="98">
        <v>50</v>
      </c>
      <c r="E66" s="98">
        <v>1</v>
      </c>
      <c r="F66" s="97" t="s">
        <v>330</v>
      </c>
      <c r="G66" s="44">
        <v>411456.77</v>
      </c>
      <c r="H66" s="93">
        <f aca="true" t="shared" si="46" ref="H66:O66">ROUND(PRODUCT($G$66*H9),2)</f>
        <v>10286.42</v>
      </c>
      <c r="I66" s="93">
        <f t="shared" si="46"/>
        <v>2073.74</v>
      </c>
      <c r="J66" s="93">
        <f t="shared" si="46"/>
        <v>12343.7</v>
      </c>
      <c r="K66" s="93">
        <f t="shared" si="46"/>
        <v>2468.74</v>
      </c>
      <c r="L66" s="93">
        <f t="shared" si="46"/>
        <v>205.73</v>
      </c>
      <c r="M66" s="93">
        <f t="shared" si="46"/>
        <v>27115</v>
      </c>
      <c r="N66" s="93">
        <f t="shared" si="46"/>
        <v>8805.17</v>
      </c>
      <c r="O66" s="93">
        <f t="shared" si="46"/>
        <v>12343.7</v>
      </c>
      <c r="P66" s="93">
        <f t="shared" si="43"/>
        <v>487098.97</v>
      </c>
      <c r="Q66" s="146">
        <f>ROUND(PRODUCT(P66*'[1]индексы'!$L$18),2)</f>
        <v>504780.66</v>
      </c>
      <c r="R66" s="93">
        <f>ROUND(PRODUCT(P66*'[1]индексы'!$H$18),2)</f>
        <v>2547527.61</v>
      </c>
      <c r="S66" s="96">
        <f>ROUND(PRODUCT(Q66*'[1]индексы'!$D$18),2)</f>
        <v>2735911.18</v>
      </c>
      <c r="T66" s="92"/>
      <c r="U66" s="91">
        <v>734364.25</v>
      </c>
      <c r="V66" s="91"/>
      <c r="W66" s="91"/>
      <c r="X66" s="91"/>
      <c r="Y66" s="91"/>
      <c r="Z66" s="91"/>
      <c r="AA66" s="91"/>
      <c r="AB66" s="91"/>
      <c r="AC66" s="91"/>
      <c r="AD66" s="91"/>
      <c r="AE66" s="91"/>
    </row>
    <row r="67" spans="1:31" s="90" customFormat="1" ht="65.25" customHeight="1">
      <c r="A67" s="100" t="s">
        <v>457</v>
      </c>
      <c r="B67" s="94" t="s">
        <v>456</v>
      </c>
      <c r="C67" s="98" t="s">
        <v>383</v>
      </c>
      <c r="D67" s="98">
        <v>50</v>
      </c>
      <c r="E67" s="98">
        <v>1</v>
      </c>
      <c r="F67" s="97" t="s">
        <v>330</v>
      </c>
      <c r="G67" s="44">
        <v>444378.49</v>
      </c>
      <c r="H67" s="93">
        <f aca="true" t="shared" si="47" ref="H67:O67">ROUND(PRODUCT($G$67*H9),2)</f>
        <v>11109.46</v>
      </c>
      <c r="I67" s="93">
        <f t="shared" si="47"/>
        <v>2239.67</v>
      </c>
      <c r="J67" s="93">
        <f t="shared" si="47"/>
        <v>13331.35</v>
      </c>
      <c r="K67" s="93">
        <f t="shared" si="47"/>
        <v>2666.27</v>
      </c>
      <c r="L67" s="93">
        <f t="shared" si="47"/>
        <v>222.19</v>
      </c>
      <c r="M67" s="93">
        <f t="shared" si="47"/>
        <v>29284.54</v>
      </c>
      <c r="N67" s="93">
        <f t="shared" si="47"/>
        <v>9509.7</v>
      </c>
      <c r="O67" s="93">
        <f t="shared" si="47"/>
        <v>13331.35</v>
      </c>
      <c r="P67" s="93">
        <f t="shared" si="43"/>
        <v>526073.02</v>
      </c>
      <c r="Q67" s="146">
        <f>ROUND(PRODUCT(P67*'[1]индексы'!$L$18),2)</f>
        <v>545169.47</v>
      </c>
      <c r="R67" s="93">
        <f>ROUND(PRODUCT(P67*'[1]индексы'!$H$18),2)</f>
        <v>2751361.89</v>
      </c>
      <c r="S67" s="96">
        <f>ROUND(PRODUCT(Q67*'[1]индексы'!$D$18),2)</f>
        <v>2954818.53</v>
      </c>
      <c r="T67" s="92"/>
      <c r="U67" s="91">
        <v>734364.25</v>
      </c>
      <c r="V67" s="91"/>
      <c r="W67" s="91"/>
      <c r="X67" s="91"/>
      <c r="Y67" s="91"/>
      <c r="Z67" s="91"/>
      <c r="AA67" s="91"/>
      <c r="AB67" s="91"/>
      <c r="AC67" s="91"/>
      <c r="AD67" s="91"/>
      <c r="AE67" s="91"/>
    </row>
    <row r="68" spans="1:31" s="90" customFormat="1" ht="36" customHeight="1">
      <c r="A68" s="100" t="s">
        <v>455</v>
      </c>
      <c r="B68" s="99" t="s">
        <v>454</v>
      </c>
      <c r="C68" s="98" t="s">
        <v>383</v>
      </c>
      <c r="D68" s="98">
        <v>70</v>
      </c>
      <c r="E68" s="98">
        <v>1</v>
      </c>
      <c r="F68" s="97" t="s">
        <v>330</v>
      </c>
      <c r="G68" s="93">
        <v>497318.22</v>
      </c>
      <c r="H68" s="93">
        <f>ROUND(PRODUCT(G68*$H$9),2)</f>
        <v>12432.96</v>
      </c>
      <c r="I68" s="93">
        <f>ROUND(PRODUCT(G68*$I$9),2)</f>
        <v>2506.48</v>
      </c>
      <c r="J68" s="93">
        <f>ROUND(PRODUCT(G68*$J$9),2)</f>
        <v>14919.55</v>
      </c>
      <c r="K68" s="93">
        <f>ROUND(PRODUCT(G68*$K$9),2)</f>
        <v>2983.91</v>
      </c>
      <c r="L68" s="93">
        <f>ROUND(PRODUCT(G68*$L$9),2)</f>
        <v>248.66</v>
      </c>
      <c r="M68" s="93">
        <f>ROUND(PRODUCT(G68*$M$9),2)</f>
        <v>32773.27</v>
      </c>
      <c r="N68" s="93">
        <f>ROUND(PRODUCT(G68*$N$9),2)</f>
        <v>10642.61</v>
      </c>
      <c r="O68" s="93">
        <f>ROUND(PRODUCT(G68*$O$9),2)</f>
        <v>14919.55</v>
      </c>
      <c r="P68" s="93">
        <f t="shared" si="43"/>
        <v>588745.2100000001</v>
      </c>
      <c r="Q68" s="146">
        <f>ROUND(PRODUCT(P68*'[1]индексы'!$L$18),2)</f>
        <v>610116.66</v>
      </c>
      <c r="R68" s="93">
        <f>ROUND(PRODUCT(P68*'[1]индексы'!$H$18),2)</f>
        <v>3079137.45</v>
      </c>
      <c r="S68" s="96">
        <f>ROUND(PRODUCT(Q68*'[1]индексы'!$D$18),2)</f>
        <v>3306832.3</v>
      </c>
      <c r="T68" s="92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</row>
    <row r="69" spans="1:31" s="90" customFormat="1" ht="36" customHeight="1">
      <c r="A69" s="100" t="s">
        <v>453</v>
      </c>
      <c r="B69" s="99" t="s">
        <v>452</v>
      </c>
      <c r="C69" s="98" t="s">
        <v>383</v>
      </c>
      <c r="D69" s="98">
        <v>70</v>
      </c>
      <c r="E69" s="98">
        <v>1</v>
      </c>
      <c r="F69" s="97" t="s">
        <v>330</v>
      </c>
      <c r="G69" s="93">
        <v>512414.31</v>
      </c>
      <c r="H69" s="93">
        <f aca="true" t="shared" si="48" ref="H69:O69">ROUND(PRODUCT($G$69*H9),2)</f>
        <v>12810.36</v>
      </c>
      <c r="I69" s="93">
        <f t="shared" si="48"/>
        <v>2582.57</v>
      </c>
      <c r="J69" s="93">
        <f t="shared" si="48"/>
        <v>15372.43</v>
      </c>
      <c r="K69" s="93">
        <f t="shared" si="48"/>
        <v>3074.49</v>
      </c>
      <c r="L69" s="93">
        <f t="shared" si="48"/>
        <v>256.21</v>
      </c>
      <c r="M69" s="93">
        <f t="shared" si="48"/>
        <v>33768.1</v>
      </c>
      <c r="N69" s="93">
        <f t="shared" si="48"/>
        <v>10965.67</v>
      </c>
      <c r="O69" s="93">
        <f t="shared" si="48"/>
        <v>15372.43</v>
      </c>
      <c r="P69" s="93">
        <f t="shared" si="43"/>
        <v>606616.5700000001</v>
      </c>
      <c r="Q69" s="146">
        <f>ROUND(PRODUCT(P69*'[1]индексы'!$L$18),2)</f>
        <v>628636.75</v>
      </c>
      <c r="R69" s="93">
        <f>ROUND(PRODUCT(P69*'[1]индексы'!$H$18),2)</f>
        <v>3172604.66</v>
      </c>
      <c r="S69" s="96">
        <f>ROUND(PRODUCT(Q69*'[1]индексы'!$D$18),2)</f>
        <v>3407211.19</v>
      </c>
      <c r="T69" s="92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</row>
    <row r="70" spans="1:31" s="90" customFormat="1" ht="53.25" customHeight="1">
      <c r="A70" s="100" t="s">
        <v>451</v>
      </c>
      <c r="B70" s="99" t="s">
        <v>450</v>
      </c>
      <c r="C70" s="98" t="s">
        <v>383</v>
      </c>
      <c r="D70" s="98">
        <v>70</v>
      </c>
      <c r="E70" s="98">
        <v>1</v>
      </c>
      <c r="F70" s="97" t="s">
        <v>330</v>
      </c>
      <c r="G70" s="93">
        <v>522476.16</v>
      </c>
      <c r="H70" s="93">
        <f aca="true" t="shared" si="49" ref="H70:O70">ROUND(PRODUCT($G$70*H9),2)</f>
        <v>13061.9</v>
      </c>
      <c r="I70" s="93">
        <f t="shared" si="49"/>
        <v>2633.28</v>
      </c>
      <c r="J70" s="93">
        <f t="shared" si="49"/>
        <v>15674.28</v>
      </c>
      <c r="K70" s="93">
        <f t="shared" si="49"/>
        <v>3134.86</v>
      </c>
      <c r="L70" s="93">
        <f t="shared" si="49"/>
        <v>261.24</v>
      </c>
      <c r="M70" s="93">
        <f t="shared" si="49"/>
        <v>34431.18</v>
      </c>
      <c r="N70" s="93">
        <f t="shared" si="49"/>
        <v>11180.99</v>
      </c>
      <c r="O70" s="93">
        <f t="shared" si="49"/>
        <v>15674.28</v>
      </c>
      <c r="P70" s="93">
        <f t="shared" si="43"/>
        <v>618528.17</v>
      </c>
      <c r="Q70" s="146">
        <f>ROUND(PRODUCT(P70*'[1]индексы'!$L$18),2)</f>
        <v>640980.74</v>
      </c>
      <c r="R70" s="93">
        <f>ROUND(PRODUCT(P70*'[1]индексы'!$H$18),2)</f>
        <v>3234902.33</v>
      </c>
      <c r="S70" s="96">
        <f>ROUND(PRODUCT(Q70*'[1]индексы'!$D$18),2)</f>
        <v>3474115.61</v>
      </c>
      <c r="T70" s="92"/>
      <c r="U70" s="91">
        <v>231180.35</v>
      </c>
      <c r="V70" s="91"/>
      <c r="W70" s="91"/>
      <c r="X70" s="91"/>
      <c r="Y70" s="91"/>
      <c r="Z70" s="91"/>
      <c r="AA70" s="91"/>
      <c r="AB70" s="91"/>
      <c r="AC70" s="91"/>
      <c r="AD70" s="91"/>
      <c r="AE70" s="91"/>
    </row>
    <row r="71" spans="1:31" s="90" customFormat="1" ht="66.75" customHeight="1">
      <c r="A71" s="100" t="s">
        <v>449</v>
      </c>
      <c r="B71" s="94" t="s">
        <v>448</v>
      </c>
      <c r="C71" s="98" t="s">
        <v>383</v>
      </c>
      <c r="D71" s="98">
        <v>70</v>
      </c>
      <c r="E71" s="98">
        <v>1</v>
      </c>
      <c r="F71" s="97" t="s">
        <v>330</v>
      </c>
      <c r="G71" s="44">
        <v>557656.11</v>
      </c>
      <c r="H71" s="93">
        <f aca="true" t="shared" si="50" ref="H71:O71">ROUND(PRODUCT(($G$71)*H9),2)</f>
        <v>13941.4</v>
      </c>
      <c r="I71" s="93">
        <f t="shared" si="50"/>
        <v>2810.59</v>
      </c>
      <c r="J71" s="93">
        <f t="shared" si="50"/>
        <v>16729.68</v>
      </c>
      <c r="K71" s="93">
        <f t="shared" si="50"/>
        <v>3345.94</v>
      </c>
      <c r="L71" s="93">
        <f t="shared" si="50"/>
        <v>278.83</v>
      </c>
      <c r="M71" s="93">
        <f t="shared" si="50"/>
        <v>36749.54</v>
      </c>
      <c r="N71" s="93">
        <f t="shared" si="50"/>
        <v>11933.84</v>
      </c>
      <c r="O71" s="93">
        <f t="shared" si="50"/>
        <v>16729.68</v>
      </c>
      <c r="P71" s="93">
        <f t="shared" si="43"/>
        <v>660175.61</v>
      </c>
      <c r="Q71" s="146">
        <f>ROUND(PRODUCT(P71*'[1]индексы'!$L$18),2)</f>
        <v>684139.98</v>
      </c>
      <c r="R71" s="93">
        <f>ROUND(PRODUCT(P71*'[1]индексы'!$H$18),2)</f>
        <v>3452718.44</v>
      </c>
      <c r="S71" s="96">
        <f>ROUND(PRODUCT(Q71*'[1]индексы'!$D$18),2)</f>
        <v>3708038.69</v>
      </c>
      <c r="T71" s="92"/>
      <c r="U71" s="91">
        <v>739076.86</v>
      </c>
      <c r="V71" s="91"/>
      <c r="W71" s="91"/>
      <c r="X71" s="91"/>
      <c r="Y71" s="91"/>
      <c r="Z71" s="91"/>
      <c r="AA71" s="91"/>
      <c r="AB71" s="91"/>
      <c r="AC71" s="91"/>
      <c r="AD71" s="91"/>
      <c r="AE71" s="91"/>
    </row>
    <row r="72" spans="1:31" s="90" customFormat="1" ht="66.75" customHeight="1">
      <c r="A72" s="100" t="s">
        <v>447</v>
      </c>
      <c r="B72" s="94" t="s">
        <v>446</v>
      </c>
      <c r="C72" s="98" t="s">
        <v>383</v>
      </c>
      <c r="D72" s="98">
        <v>70</v>
      </c>
      <c r="E72" s="98">
        <v>1</v>
      </c>
      <c r="F72" s="97" t="s">
        <v>330</v>
      </c>
      <c r="G72" s="44">
        <v>590577.81</v>
      </c>
      <c r="H72" s="93">
        <f aca="true" t="shared" si="51" ref="H72:O72">ROUND(PRODUCT($G$72*H9),2)</f>
        <v>14764.45</v>
      </c>
      <c r="I72" s="93">
        <f t="shared" si="51"/>
        <v>2976.51</v>
      </c>
      <c r="J72" s="93">
        <f t="shared" si="51"/>
        <v>17717.33</v>
      </c>
      <c r="K72" s="93">
        <f t="shared" si="51"/>
        <v>3543.47</v>
      </c>
      <c r="L72" s="93">
        <f t="shared" si="51"/>
        <v>295.29</v>
      </c>
      <c r="M72" s="93">
        <f t="shared" si="51"/>
        <v>38919.08</v>
      </c>
      <c r="N72" s="93">
        <f t="shared" si="51"/>
        <v>12638.37</v>
      </c>
      <c r="O72" s="93">
        <f t="shared" si="51"/>
        <v>17717.33</v>
      </c>
      <c r="P72" s="93">
        <f t="shared" si="43"/>
        <v>699149.6399999999</v>
      </c>
      <c r="Q72" s="146">
        <f>ROUND(PRODUCT(P72*'[1]индексы'!$L$18),2)</f>
        <v>724528.77</v>
      </c>
      <c r="R72" s="93">
        <f>ROUND(PRODUCT(P72*'[1]индексы'!$H$18),2)</f>
        <v>3656552.62</v>
      </c>
      <c r="S72" s="96">
        <f>ROUND(PRODUCT(Q72*'[1]индексы'!$D$18),2)</f>
        <v>3926945.93</v>
      </c>
      <c r="T72" s="92"/>
      <c r="U72" s="91">
        <v>739076.86</v>
      </c>
      <c r="V72" s="91"/>
      <c r="W72" s="91"/>
      <c r="X72" s="91"/>
      <c r="Y72" s="91"/>
      <c r="Z72" s="91"/>
      <c r="AA72" s="91"/>
      <c r="AB72" s="91"/>
      <c r="AC72" s="91"/>
      <c r="AD72" s="91"/>
      <c r="AE72" s="91"/>
    </row>
    <row r="73" spans="1:31" s="90" customFormat="1" ht="66.75" customHeight="1">
      <c r="A73" s="100" t="s">
        <v>445</v>
      </c>
      <c r="B73" s="94" t="s">
        <v>444</v>
      </c>
      <c r="C73" s="98" t="s">
        <v>383</v>
      </c>
      <c r="D73" s="98">
        <v>70</v>
      </c>
      <c r="E73" s="98">
        <v>1</v>
      </c>
      <c r="F73" s="97" t="s">
        <v>330</v>
      </c>
      <c r="G73" s="44">
        <v>623499.53</v>
      </c>
      <c r="H73" s="93">
        <f aca="true" t="shared" si="52" ref="H73:O73">ROUND(PRODUCT($G$73*H9),2)</f>
        <v>15587.49</v>
      </c>
      <c r="I73" s="93">
        <f t="shared" si="52"/>
        <v>3142.44</v>
      </c>
      <c r="J73" s="93">
        <f t="shared" si="52"/>
        <v>18704.99</v>
      </c>
      <c r="K73" s="93">
        <f t="shared" si="52"/>
        <v>3741</v>
      </c>
      <c r="L73" s="93">
        <f t="shared" si="52"/>
        <v>311.75</v>
      </c>
      <c r="M73" s="93">
        <f t="shared" si="52"/>
        <v>41088.62</v>
      </c>
      <c r="N73" s="93">
        <f t="shared" si="52"/>
        <v>13342.89</v>
      </c>
      <c r="O73" s="93">
        <f t="shared" si="52"/>
        <v>18704.99</v>
      </c>
      <c r="P73" s="93">
        <f t="shared" si="43"/>
        <v>738123.7</v>
      </c>
      <c r="Q73" s="146">
        <f>ROUND(PRODUCT(P73*'[1]индексы'!$L$18),2)</f>
        <v>764917.59</v>
      </c>
      <c r="R73" s="93">
        <f>ROUND(PRODUCT(P73*'[1]индексы'!$H$18),2)</f>
        <v>3860386.95</v>
      </c>
      <c r="S73" s="96">
        <f>ROUND(PRODUCT(Q73*'[1]индексы'!$D$18),2)</f>
        <v>4145853.34</v>
      </c>
      <c r="T73" s="92"/>
      <c r="U73" s="91">
        <v>739076.86</v>
      </c>
      <c r="V73" s="91"/>
      <c r="W73" s="91"/>
      <c r="X73" s="91"/>
      <c r="Y73" s="91"/>
      <c r="Z73" s="91"/>
      <c r="AA73" s="91"/>
      <c r="AB73" s="91"/>
      <c r="AC73" s="91"/>
      <c r="AD73" s="91"/>
      <c r="AE73" s="91"/>
    </row>
    <row r="74" spans="1:31" s="90" customFormat="1" ht="36" customHeight="1">
      <c r="A74" s="100" t="s">
        <v>443</v>
      </c>
      <c r="B74" s="99" t="s">
        <v>442</v>
      </c>
      <c r="C74" s="98" t="s">
        <v>383</v>
      </c>
      <c r="D74" s="98">
        <v>95</v>
      </c>
      <c r="E74" s="98">
        <v>1</v>
      </c>
      <c r="F74" s="97" t="s">
        <v>330</v>
      </c>
      <c r="G74" s="93">
        <v>513258.57</v>
      </c>
      <c r="H74" s="93">
        <f>ROUND(PRODUCT(G74*$H$9),2)</f>
        <v>12831.46</v>
      </c>
      <c r="I74" s="93">
        <f>ROUND(PRODUCT(G74*$I$9),2)</f>
        <v>2586.82</v>
      </c>
      <c r="J74" s="93">
        <f>ROUND(PRODUCT(G74*$J$9),2)</f>
        <v>15397.76</v>
      </c>
      <c r="K74" s="93">
        <f>ROUND(PRODUCT(G74*$K$9),2)</f>
        <v>3079.55</v>
      </c>
      <c r="L74" s="93">
        <f>ROUND(PRODUCT(G74*$L$9),2)</f>
        <v>256.63</v>
      </c>
      <c r="M74" s="93">
        <f>ROUND(PRODUCT(G74*$M$9),2)</f>
        <v>33823.74</v>
      </c>
      <c r="N74" s="93">
        <f>ROUND(PRODUCT(G74*$N$9),2)</f>
        <v>10983.73</v>
      </c>
      <c r="O74" s="93">
        <f>ROUND(PRODUCT(G74*$O$9),2)</f>
        <v>15397.76</v>
      </c>
      <c r="P74" s="93">
        <f t="shared" si="43"/>
        <v>607616.02</v>
      </c>
      <c r="Q74" s="146">
        <f>ROUND(PRODUCT(P74*'[1]индексы'!$L$18),2)</f>
        <v>629672.48</v>
      </c>
      <c r="R74" s="93">
        <f>ROUND(PRODUCT(P74*'[1]индексы'!$H$18),2)</f>
        <v>3177831.78</v>
      </c>
      <c r="S74" s="96">
        <f>ROUND(PRODUCT(Q74*'[1]индексы'!$D$18),2)</f>
        <v>3412824.84</v>
      </c>
      <c r="T74" s="92"/>
      <c r="U74" s="91"/>
      <c r="V74" s="91">
        <v>669010.65</v>
      </c>
      <c r="W74" s="91"/>
      <c r="X74" s="91"/>
      <c r="Y74" s="91"/>
      <c r="Z74" s="91"/>
      <c r="AA74" s="91"/>
      <c r="AB74" s="91"/>
      <c r="AC74" s="91"/>
      <c r="AD74" s="91"/>
      <c r="AE74" s="91"/>
    </row>
    <row r="75" spans="1:31" s="90" customFormat="1" ht="36" customHeight="1">
      <c r="A75" s="100" t="s">
        <v>441</v>
      </c>
      <c r="B75" s="99" t="s">
        <v>440</v>
      </c>
      <c r="C75" s="98" t="s">
        <v>383</v>
      </c>
      <c r="D75" s="98">
        <v>95</v>
      </c>
      <c r="E75" s="98">
        <v>1</v>
      </c>
      <c r="F75" s="97" t="s">
        <v>330</v>
      </c>
      <c r="G75" s="93">
        <v>528354.66</v>
      </c>
      <c r="H75" s="93">
        <f aca="true" t="shared" si="53" ref="H75:O75">ROUND(PRODUCT($G$75*H9),2)</f>
        <v>13208.87</v>
      </c>
      <c r="I75" s="93">
        <f t="shared" si="53"/>
        <v>2662.91</v>
      </c>
      <c r="J75" s="93">
        <f t="shared" si="53"/>
        <v>15850.64</v>
      </c>
      <c r="K75" s="93">
        <f t="shared" si="53"/>
        <v>3170.13</v>
      </c>
      <c r="L75" s="93">
        <f t="shared" si="53"/>
        <v>264.18</v>
      </c>
      <c r="M75" s="93">
        <f t="shared" si="53"/>
        <v>34818.57</v>
      </c>
      <c r="N75" s="93">
        <f t="shared" si="53"/>
        <v>11306.79</v>
      </c>
      <c r="O75" s="93">
        <f t="shared" si="53"/>
        <v>15850.64</v>
      </c>
      <c r="P75" s="93">
        <f t="shared" si="43"/>
        <v>625487.3900000001</v>
      </c>
      <c r="Q75" s="146">
        <f>ROUND(PRODUCT(P75*'[1]индексы'!$L$18),2)</f>
        <v>648192.58</v>
      </c>
      <c r="R75" s="93">
        <f>ROUND(PRODUCT(P75*'[1]индексы'!$H$18),2)</f>
        <v>3271299.05</v>
      </c>
      <c r="S75" s="96">
        <f>ROUND(PRODUCT(Q75*'[1]индексы'!$D$18),2)</f>
        <v>3513203.78</v>
      </c>
      <c r="T75" s="92"/>
      <c r="U75" s="91"/>
      <c r="V75" s="91">
        <v>669010.65</v>
      </c>
      <c r="W75" s="91"/>
      <c r="X75" s="91"/>
      <c r="Y75" s="91"/>
      <c r="Z75" s="91"/>
      <c r="AA75" s="91"/>
      <c r="AB75" s="91"/>
      <c r="AC75" s="91"/>
      <c r="AD75" s="91"/>
      <c r="AE75" s="91"/>
    </row>
    <row r="76" spans="1:31" s="90" customFormat="1" ht="53.25" customHeight="1">
      <c r="A76" s="100" t="s">
        <v>439</v>
      </c>
      <c r="B76" s="99" t="s">
        <v>438</v>
      </c>
      <c r="C76" s="98" t="s">
        <v>383</v>
      </c>
      <c r="D76" s="98">
        <v>95</v>
      </c>
      <c r="E76" s="98">
        <v>1</v>
      </c>
      <c r="F76" s="97" t="s">
        <v>330</v>
      </c>
      <c r="G76" s="93">
        <v>538987.9</v>
      </c>
      <c r="H76" s="93">
        <f aca="true" t="shared" si="54" ref="H76:O76">ROUND(PRODUCT($G$76*H9),2)</f>
        <v>13474.7</v>
      </c>
      <c r="I76" s="93">
        <f t="shared" si="54"/>
        <v>2716.5</v>
      </c>
      <c r="J76" s="93">
        <f t="shared" si="54"/>
        <v>16169.64</v>
      </c>
      <c r="K76" s="93">
        <f t="shared" si="54"/>
        <v>3233.93</v>
      </c>
      <c r="L76" s="93">
        <f t="shared" si="54"/>
        <v>269.49</v>
      </c>
      <c r="M76" s="93">
        <f t="shared" si="54"/>
        <v>35519.3</v>
      </c>
      <c r="N76" s="93">
        <f t="shared" si="54"/>
        <v>11534.34</v>
      </c>
      <c r="O76" s="93">
        <f t="shared" si="54"/>
        <v>16169.64</v>
      </c>
      <c r="P76" s="93">
        <f t="shared" si="43"/>
        <v>638075.4400000001</v>
      </c>
      <c r="Q76" s="146">
        <f>ROUND(PRODUCT(P76*'[1]индексы'!$L$18),2)</f>
        <v>661237.58</v>
      </c>
      <c r="R76" s="93">
        <f>ROUND(PRODUCT(P76*'[1]индексы'!$H$18),2)</f>
        <v>3337134.55</v>
      </c>
      <c r="S76" s="96">
        <f>ROUND(PRODUCT(Q76*'[1]индексы'!$D$18),2)</f>
        <v>3583907.68</v>
      </c>
      <c r="T76" s="92"/>
      <c r="U76" s="91">
        <v>245705.51</v>
      </c>
      <c r="V76" s="91">
        <v>1100566.22</v>
      </c>
      <c r="W76" s="91"/>
      <c r="X76" s="91"/>
      <c r="Y76" s="91"/>
      <c r="Z76" s="91"/>
      <c r="AA76" s="91"/>
      <c r="AB76" s="91"/>
      <c r="AC76" s="91"/>
      <c r="AD76" s="91"/>
      <c r="AE76" s="91"/>
    </row>
    <row r="77" spans="1:31" s="90" customFormat="1" ht="68.25" customHeight="1">
      <c r="A77" s="100" t="s">
        <v>437</v>
      </c>
      <c r="B77" s="94" t="s">
        <v>436</v>
      </c>
      <c r="C77" s="42" t="s">
        <v>383</v>
      </c>
      <c r="D77" s="42">
        <v>95</v>
      </c>
      <c r="E77" s="42">
        <v>1</v>
      </c>
      <c r="F77" s="54" t="s">
        <v>330</v>
      </c>
      <c r="G77" s="44">
        <v>574167.85</v>
      </c>
      <c r="H77" s="93">
        <f aca="true" t="shared" si="55" ref="H77:O77">ROUND(PRODUCT(($G$77)*H9),2)</f>
        <v>14354.2</v>
      </c>
      <c r="I77" s="93">
        <f t="shared" si="55"/>
        <v>2893.81</v>
      </c>
      <c r="J77" s="93">
        <f t="shared" si="55"/>
        <v>17225.04</v>
      </c>
      <c r="K77" s="93">
        <f t="shared" si="55"/>
        <v>3445.01</v>
      </c>
      <c r="L77" s="93">
        <f t="shared" si="55"/>
        <v>287.08</v>
      </c>
      <c r="M77" s="93">
        <f t="shared" si="55"/>
        <v>37837.66</v>
      </c>
      <c r="N77" s="93">
        <f t="shared" si="55"/>
        <v>12287.19</v>
      </c>
      <c r="O77" s="93">
        <f t="shared" si="55"/>
        <v>17225.04</v>
      </c>
      <c r="P77" s="93">
        <f t="shared" si="43"/>
        <v>679722.88</v>
      </c>
      <c r="Q77" s="146">
        <f>ROUND(PRODUCT(P77*'[1]индексы'!$L$18),2)</f>
        <v>704396.82</v>
      </c>
      <c r="R77" s="93">
        <f>ROUND(PRODUCT(P77*'[1]индексы'!$H$18),2)</f>
        <v>3554950.66</v>
      </c>
      <c r="S77" s="96">
        <f>ROUND(PRODUCT(Q77*'[1]индексы'!$D$18),2)</f>
        <v>3817830.76</v>
      </c>
      <c r="T77" s="92"/>
      <c r="U77" s="91">
        <v>745621.43</v>
      </c>
      <c r="V77" s="91"/>
      <c r="W77" s="91"/>
      <c r="X77" s="91"/>
      <c r="Y77" s="91"/>
      <c r="Z77" s="91"/>
      <c r="AA77" s="91"/>
      <c r="AB77" s="91"/>
      <c r="AC77" s="91"/>
      <c r="AD77" s="91"/>
      <c r="AE77" s="91"/>
    </row>
    <row r="78" spans="1:31" s="90" customFormat="1" ht="68.25" customHeight="1">
      <c r="A78" s="100" t="s">
        <v>435</v>
      </c>
      <c r="B78" s="94" t="s">
        <v>434</v>
      </c>
      <c r="C78" s="42" t="s">
        <v>383</v>
      </c>
      <c r="D78" s="42">
        <v>95</v>
      </c>
      <c r="E78" s="42">
        <v>1</v>
      </c>
      <c r="F78" s="54" t="s">
        <v>330</v>
      </c>
      <c r="G78" s="44">
        <v>607089.55</v>
      </c>
      <c r="H78" s="93">
        <f aca="true" t="shared" si="56" ref="H78:O78">ROUND(PRODUCT($G$78*H9),2)</f>
        <v>15177.24</v>
      </c>
      <c r="I78" s="93">
        <f t="shared" si="56"/>
        <v>3059.73</v>
      </c>
      <c r="J78" s="93">
        <f t="shared" si="56"/>
        <v>18212.69</v>
      </c>
      <c r="K78" s="93">
        <f t="shared" si="56"/>
        <v>3642.54</v>
      </c>
      <c r="L78" s="93">
        <f t="shared" si="56"/>
        <v>303.54</v>
      </c>
      <c r="M78" s="93">
        <f t="shared" si="56"/>
        <v>40007.2</v>
      </c>
      <c r="N78" s="93">
        <f t="shared" si="56"/>
        <v>12991.72</v>
      </c>
      <c r="O78" s="93">
        <f t="shared" si="56"/>
        <v>18212.69</v>
      </c>
      <c r="P78" s="93">
        <f t="shared" si="43"/>
        <v>718696.8999999999</v>
      </c>
      <c r="Q78" s="146">
        <f>ROUND(PRODUCT(P78*'[1]индексы'!$L$18),2)</f>
        <v>744785.6</v>
      </c>
      <c r="R78" s="93">
        <f>ROUND(PRODUCT(P78*'[1]индексы'!$H$18),2)</f>
        <v>3758784.79</v>
      </c>
      <c r="S78" s="96">
        <f>ROUND(PRODUCT(Q78*'[1]индексы'!$D$18),2)</f>
        <v>4036737.95</v>
      </c>
      <c r="T78" s="92"/>
      <c r="U78" s="91">
        <v>745621.43</v>
      </c>
      <c r="V78" s="91"/>
      <c r="W78" s="91"/>
      <c r="X78" s="91"/>
      <c r="Y78" s="91"/>
      <c r="Z78" s="91"/>
      <c r="AA78" s="91"/>
      <c r="AB78" s="91"/>
      <c r="AC78" s="91"/>
      <c r="AD78" s="91"/>
      <c r="AE78" s="91"/>
    </row>
    <row r="79" spans="1:31" s="90" customFormat="1" ht="68.25" customHeight="1">
      <c r="A79" s="100" t="s">
        <v>433</v>
      </c>
      <c r="B79" s="94" t="s">
        <v>432</v>
      </c>
      <c r="C79" s="42" t="s">
        <v>383</v>
      </c>
      <c r="D79" s="42">
        <v>95</v>
      </c>
      <c r="E79" s="42">
        <v>1</v>
      </c>
      <c r="F79" s="54" t="s">
        <v>330</v>
      </c>
      <c r="G79" s="44">
        <v>640011.27</v>
      </c>
      <c r="H79" s="93">
        <f aca="true" t="shared" si="57" ref="H79:O79">ROUND(PRODUCT($G$79*H9),2)</f>
        <v>16000.28</v>
      </c>
      <c r="I79" s="93">
        <f t="shared" si="57"/>
        <v>3225.66</v>
      </c>
      <c r="J79" s="93">
        <f t="shared" si="57"/>
        <v>19200.34</v>
      </c>
      <c r="K79" s="93">
        <f t="shared" si="57"/>
        <v>3840.07</v>
      </c>
      <c r="L79" s="93">
        <f t="shared" si="57"/>
        <v>320.01</v>
      </c>
      <c r="M79" s="93">
        <f t="shared" si="57"/>
        <v>42176.74</v>
      </c>
      <c r="N79" s="93">
        <f t="shared" si="57"/>
        <v>13696.24</v>
      </c>
      <c r="O79" s="93">
        <f t="shared" si="57"/>
        <v>19200.34</v>
      </c>
      <c r="P79" s="93">
        <f t="shared" si="43"/>
        <v>757670.95</v>
      </c>
      <c r="Q79" s="146">
        <f>ROUND(PRODUCT(P79*'[1]индексы'!$L$18),2)</f>
        <v>785174.41</v>
      </c>
      <c r="R79" s="93">
        <f>ROUND(PRODUCT(P79*'[1]индексы'!$H$18),2)</f>
        <v>3962619.07</v>
      </c>
      <c r="S79" s="96">
        <f>ROUND(PRODUCT(Q79*'[1]индексы'!$D$18),2)</f>
        <v>4255645.3</v>
      </c>
      <c r="T79" s="92"/>
      <c r="U79" s="91">
        <v>745621.43</v>
      </c>
      <c r="V79" s="91"/>
      <c r="W79" s="91"/>
      <c r="X79" s="91"/>
      <c r="Y79" s="91"/>
      <c r="Z79" s="91"/>
      <c r="AA79" s="91"/>
      <c r="AB79" s="91"/>
      <c r="AC79" s="91"/>
      <c r="AD79" s="91"/>
      <c r="AE79" s="91"/>
    </row>
    <row r="80" spans="1:31" s="90" customFormat="1" ht="36" customHeight="1">
      <c r="A80" s="100" t="s">
        <v>431</v>
      </c>
      <c r="B80" s="99" t="s">
        <v>430</v>
      </c>
      <c r="C80" s="98" t="s">
        <v>383</v>
      </c>
      <c r="D80" s="98">
        <v>120</v>
      </c>
      <c r="E80" s="98">
        <v>1</v>
      </c>
      <c r="F80" s="97" t="s">
        <v>330</v>
      </c>
      <c r="G80" s="93">
        <v>519502.72</v>
      </c>
      <c r="H80" s="93">
        <f>ROUND(PRODUCT(G80*$H$9),2)</f>
        <v>12987.57</v>
      </c>
      <c r="I80" s="93">
        <f>ROUND(PRODUCT(G80*$I$9),2)</f>
        <v>2618.29</v>
      </c>
      <c r="J80" s="93">
        <f>ROUND(PRODUCT(G80*$J$9),2)</f>
        <v>15585.08</v>
      </c>
      <c r="K80" s="93">
        <f>ROUND(PRODUCT(G80*$K$9),2)</f>
        <v>3117.02</v>
      </c>
      <c r="L80" s="93">
        <f>ROUND(PRODUCT(G80*$L$9),2)</f>
        <v>259.75</v>
      </c>
      <c r="M80" s="93">
        <f>ROUND(PRODUCT(G80*$M$9),2)</f>
        <v>34235.23</v>
      </c>
      <c r="N80" s="93">
        <f>ROUND(PRODUCT(G80*$N$9),2)</f>
        <v>11117.36</v>
      </c>
      <c r="O80" s="93">
        <f>ROUND(PRODUCT(G80*$O$9),2)</f>
        <v>15585.08</v>
      </c>
      <c r="P80" s="93">
        <f t="shared" si="43"/>
        <v>615008.0999999999</v>
      </c>
      <c r="Q80" s="146">
        <f>ROUND(PRODUCT(P80*'[1]индексы'!$L$18),2)</f>
        <v>637332.89</v>
      </c>
      <c r="R80" s="93">
        <f>ROUND(PRODUCT(P80*'[1]индексы'!$H$18),2)</f>
        <v>3216492.36</v>
      </c>
      <c r="S80" s="96">
        <f>ROUND(PRODUCT(Q80*'[1]индексы'!$D$18),2)</f>
        <v>3454344.26</v>
      </c>
      <c r="T80" s="92"/>
      <c r="U80" s="91"/>
      <c r="V80" s="91">
        <v>652417.29</v>
      </c>
      <c r="W80" s="91"/>
      <c r="X80" s="91"/>
      <c r="Y80" s="91"/>
      <c r="Z80" s="91"/>
      <c r="AA80" s="91"/>
      <c r="AB80" s="91"/>
      <c r="AC80" s="91"/>
      <c r="AD80" s="91"/>
      <c r="AE80" s="91"/>
    </row>
    <row r="81" spans="1:31" s="90" customFormat="1" ht="36" customHeight="1">
      <c r="A81" s="100" t="s">
        <v>429</v>
      </c>
      <c r="B81" s="99" t="s">
        <v>428</v>
      </c>
      <c r="C81" s="98" t="s">
        <v>383</v>
      </c>
      <c r="D81" s="98">
        <v>120</v>
      </c>
      <c r="E81" s="98">
        <v>1</v>
      </c>
      <c r="F81" s="97" t="s">
        <v>330</v>
      </c>
      <c r="G81" s="93">
        <v>534598.81</v>
      </c>
      <c r="H81" s="93">
        <f aca="true" t="shared" si="58" ref="H81:O81">ROUND(PRODUCT($G$81*H9),2)</f>
        <v>13364.97</v>
      </c>
      <c r="I81" s="93">
        <f t="shared" si="58"/>
        <v>2694.38</v>
      </c>
      <c r="J81" s="93">
        <f t="shared" si="58"/>
        <v>16037.96</v>
      </c>
      <c r="K81" s="93">
        <f t="shared" si="58"/>
        <v>3207.59</v>
      </c>
      <c r="L81" s="93">
        <f t="shared" si="58"/>
        <v>267.3</v>
      </c>
      <c r="M81" s="93">
        <f t="shared" si="58"/>
        <v>35230.06</v>
      </c>
      <c r="N81" s="93">
        <f t="shared" si="58"/>
        <v>11440.41</v>
      </c>
      <c r="O81" s="93">
        <f t="shared" si="58"/>
        <v>16037.96</v>
      </c>
      <c r="P81" s="93">
        <f t="shared" si="43"/>
        <v>632879.4400000001</v>
      </c>
      <c r="Q81" s="146">
        <f>ROUND(PRODUCT(P81*'[1]индексы'!$L$18),2)</f>
        <v>655852.96</v>
      </c>
      <c r="R81" s="93">
        <f>ROUND(PRODUCT(P81*'[1]индексы'!$H$18),2)</f>
        <v>3309959.47</v>
      </c>
      <c r="S81" s="96">
        <f>ROUND(PRODUCT(Q81*'[1]индексы'!$D$18),2)</f>
        <v>3554723.04</v>
      </c>
      <c r="T81" s="92"/>
      <c r="U81" s="91"/>
      <c r="V81" s="91">
        <v>652417.29</v>
      </c>
      <c r="W81" s="91"/>
      <c r="X81" s="91"/>
      <c r="Y81" s="91"/>
      <c r="Z81" s="91"/>
      <c r="AA81" s="91"/>
      <c r="AB81" s="91"/>
      <c r="AC81" s="91"/>
      <c r="AD81" s="91"/>
      <c r="AE81" s="91"/>
    </row>
    <row r="82" spans="1:31" s="90" customFormat="1" ht="53.25" customHeight="1">
      <c r="A82" s="100" t="s">
        <v>427</v>
      </c>
      <c r="B82" s="99" t="s">
        <v>426</v>
      </c>
      <c r="C82" s="98" t="s">
        <v>383</v>
      </c>
      <c r="D82" s="98">
        <v>120</v>
      </c>
      <c r="E82" s="98">
        <v>1</v>
      </c>
      <c r="F82" s="97" t="s">
        <v>330</v>
      </c>
      <c r="G82" s="93">
        <v>544747.23</v>
      </c>
      <c r="H82" s="93">
        <f aca="true" t="shared" si="59" ref="H82:O82">ROUND(PRODUCT($G$82*H9),2)</f>
        <v>13618.68</v>
      </c>
      <c r="I82" s="93">
        <f t="shared" si="59"/>
        <v>2745.53</v>
      </c>
      <c r="J82" s="93">
        <f t="shared" si="59"/>
        <v>16342.42</v>
      </c>
      <c r="K82" s="93">
        <f t="shared" si="59"/>
        <v>3268.48</v>
      </c>
      <c r="L82" s="93">
        <f t="shared" si="59"/>
        <v>272.37</v>
      </c>
      <c r="M82" s="93">
        <f t="shared" si="59"/>
        <v>35898.84</v>
      </c>
      <c r="N82" s="93">
        <f t="shared" si="59"/>
        <v>11657.59</v>
      </c>
      <c r="O82" s="93">
        <f t="shared" si="59"/>
        <v>16342.42</v>
      </c>
      <c r="P82" s="93">
        <f t="shared" si="43"/>
        <v>644893.56</v>
      </c>
      <c r="Q82" s="146">
        <f>ROUND(PRODUCT(P82*'[1]индексы'!$L$18),2)</f>
        <v>668303.2</v>
      </c>
      <c r="R82" s="93">
        <f>ROUND(PRODUCT(P82*'[1]индексы'!$H$18),2)</f>
        <v>3372793.32</v>
      </c>
      <c r="S82" s="96">
        <f>ROUND(PRODUCT(Q82*'[1]индексы'!$D$18),2)</f>
        <v>3622203.34</v>
      </c>
      <c r="T82" s="92"/>
      <c r="U82" s="91">
        <v>265832.02</v>
      </c>
      <c r="V82" s="91">
        <v>1092947.24</v>
      </c>
      <c r="W82" s="91"/>
      <c r="X82" s="91"/>
      <c r="Y82" s="91"/>
      <c r="Z82" s="91"/>
      <c r="AA82" s="91"/>
      <c r="AB82" s="91"/>
      <c r="AC82" s="91"/>
      <c r="AD82" s="91"/>
      <c r="AE82" s="91"/>
    </row>
    <row r="83" spans="1:31" s="90" customFormat="1" ht="68.25" customHeight="1">
      <c r="A83" s="100" t="s">
        <v>425</v>
      </c>
      <c r="B83" s="94" t="s">
        <v>424</v>
      </c>
      <c r="C83" s="42" t="s">
        <v>383</v>
      </c>
      <c r="D83" s="42">
        <v>120</v>
      </c>
      <c r="E83" s="42">
        <v>1</v>
      </c>
      <c r="F83" s="54" t="s">
        <v>330</v>
      </c>
      <c r="G83" s="44">
        <v>579927.18</v>
      </c>
      <c r="H83" s="93">
        <f aca="true" t="shared" si="60" ref="H83:O83">ROUND(PRODUCT(($G$83)*H9),2)</f>
        <v>14498.18</v>
      </c>
      <c r="I83" s="93">
        <f t="shared" si="60"/>
        <v>2922.83</v>
      </c>
      <c r="J83" s="93">
        <f t="shared" si="60"/>
        <v>17397.82</v>
      </c>
      <c r="K83" s="93">
        <f t="shared" si="60"/>
        <v>3479.56</v>
      </c>
      <c r="L83" s="93">
        <f t="shared" si="60"/>
        <v>289.96</v>
      </c>
      <c r="M83" s="93">
        <f t="shared" si="60"/>
        <v>38217.2</v>
      </c>
      <c r="N83" s="93">
        <f t="shared" si="60"/>
        <v>12410.44</v>
      </c>
      <c r="O83" s="93">
        <f t="shared" si="60"/>
        <v>17397.82</v>
      </c>
      <c r="P83" s="93">
        <f t="shared" si="43"/>
        <v>686540.9899999999</v>
      </c>
      <c r="Q83" s="146">
        <f>ROUND(PRODUCT(P83*'[1]индексы'!$L$18),2)</f>
        <v>711462.43</v>
      </c>
      <c r="R83" s="93">
        <f>ROUND(PRODUCT(P83*'[1]индексы'!$H$18),2)</f>
        <v>3590609.38</v>
      </c>
      <c r="S83" s="96">
        <f>ROUND(PRODUCT(Q83*'[1]индексы'!$D$18),2)</f>
        <v>3856126.37</v>
      </c>
      <c r="T83" s="92"/>
      <c r="U83" s="91">
        <v>760399.23</v>
      </c>
      <c r="V83" s="91"/>
      <c r="W83" s="91"/>
      <c r="X83" s="91"/>
      <c r="Y83" s="91"/>
      <c r="Z83" s="91"/>
      <c r="AA83" s="91"/>
      <c r="AB83" s="91"/>
      <c r="AC83" s="91"/>
      <c r="AD83" s="91"/>
      <c r="AE83" s="91"/>
    </row>
    <row r="84" spans="1:31" s="90" customFormat="1" ht="68.25" customHeight="1">
      <c r="A84" s="100" t="s">
        <v>423</v>
      </c>
      <c r="B84" s="94" t="s">
        <v>422</v>
      </c>
      <c r="C84" s="42" t="s">
        <v>383</v>
      </c>
      <c r="D84" s="42">
        <v>120</v>
      </c>
      <c r="E84" s="42">
        <v>1</v>
      </c>
      <c r="F84" s="54" t="s">
        <v>330</v>
      </c>
      <c r="G84" s="44">
        <v>612848.88</v>
      </c>
      <c r="H84" s="93">
        <f aca="true" t="shared" si="61" ref="H84:O84">ROUND(PRODUCT($G$84*H9),2)</f>
        <v>15321.22</v>
      </c>
      <c r="I84" s="93">
        <f t="shared" si="61"/>
        <v>3088.76</v>
      </c>
      <c r="J84" s="93">
        <f t="shared" si="61"/>
        <v>18385.47</v>
      </c>
      <c r="K84" s="93">
        <f t="shared" si="61"/>
        <v>3677.09</v>
      </c>
      <c r="L84" s="93">
        <f t="shared" si="61"/>
        <v>306.42</v>
      </c>
      <c r="M84" s="93">
        <f t="shared" si="61"/>
        <v>40386.74</v>
      </c>
      <c r="N84" s="93">
        <f t="shared" si="61"/>
        <v>13114.97</v>
      </c>
      <c r="O84" s="93">
        <f t="shared" si="61"/>
        <v>18385.47</v>
      </c>
      <c r="P84" s="93">
        <f t="shared" si="43"/>
        <v>725515.0199999999</v>
      </c>
      <c r="Q84" s="146">
        <f>ROUND(PRODUCT(P84*'[1]индексы'!$L$18),2)</f>
        <v>751851.22</v>
      </c>
      <c r="R84" s="93">
        <f>ROUND(PRODUCT(P84*'[1]индексы'!$H$18),2)</f>
        <v>3794443.55</v>
      </c>
      <c r="S84" s="96">
        <f>ROUND(PRODUCT(Q84*'[1]индексы'!$D$18),2)</f>
        <v>4075033.61</v>
      </c>
      <c r="T84" s="92"/>
      <c r="U84" s="91">
        <v>760399.23</v>
      </c>
      <c r="V84" s="91"/>
      <c r="W84" s="91"/>
      <c r="X84" s="91"/>
      <c r="Y84" s="91"/>
      <c r="Z84" s="91"/>
      <c r="AA84" s="91"/>
      <c r="AB84" s="91"/>
      <c r="AC84" s="91"/>
      <c r="AD84" s="91"/>
      <c r="AE84" s="91"/>
    </row>
    <row r="85" spans="1:31" s="90" customFormat="1" ht="68.25" customHeight="1">
      <c r="A85" s="100" t="s">
        <v>421</v>
      </c>
      <c r="B85" s="94" t="s">
        <v>420</v>
      </c>
      <c r="C85" s="42" t="s">
        <v>383</v>
      </c>
      <c r="D85" s="42">
        <v>120</v>
      </c>
      <c r="E85" s="42">
        <v>1</v>
      </c>
      <c r="F85" s="54" t="s">
        <v>330</v>
      </c>
      <c r="G85" s="44">
        <v>645770.6</v>
      </c>
      <c r="H85" s="93">
        <f aca="true" t="shared" si="62" ref="H85:O85">ROUND(PRODUCT($G$85*H9),2)</f>
        <v>16144.27</v>
      </c>
      <c r="I85" s="93">
        <f t="shared" si="62"/>
        <v>3254.68</v>
      </c>
      <c r="J85" s="93">
        <f t="shared" si="62"/>
        <v>19373.12</v>
      </c>
      <c r="K85" s="93">
        <f t="shared" si="62"/>
        <v>3874.62</v>
      </c>
      <c r="L85" s="93">
        <f t="shared" si="62"/>
        <v>322.89</v>
      </c>
      <c r="M85" s="93">
        <f t="shared" si="62"/>
        <v>42556.28</v>
      </c>
      <c r="N85" s="93">
        <f t="shared" si="62"/>
        <v>13819.49</v>
      </c>
      <c r="O85" s="93">
        <f t="shared" si="62"/>
        <v>19373.12</v>
      </c>
      <c r="P85" s="93">
        <f t="shared" si="43"/>
        <v>764489.0700000001</v>
      </c>
      <c r="Q85" s="146">
        <f>ROUND(PRODUCT(P85*'[1]индексы'!$L$18),2)</f>
        <v>792240.02</v>
      </c>
      <c r="R85" s="93">
        <f>ROUND(PRODUCT(P85*'[1]индексы'!$H$18),2)</f>
        <v>3998277.84</v>
      </c>
      <c r="S85" s="96">
        <f>ROUND(PRODUCT(Q85*'[1]индексы'!$D$18),2)</f>
        <v>4293940.91</v>
      </c>
      <c r="T85" s="92"/>
      <c r="U85" s="91">
        <v>760399.23</v>
      </c>
      <c r="V85" s="91"/>
      <c r="W85" s="91"/>
      <c r="X85" s="91"/>
      <c r="Y85" s="91"/>
      <c r="Z85" s="91"/>
      <c r="AA85" s="91"/>
      <c r="AB85" s="91"/>
      <c r="AC85" s="91"/>
      <c r="AD85" s="91"/>
      <c r="AE85" s="91"/>
    </row>
    <row r="86" spans="1:31" s="90" customFormat="1" ht="36" customHeight="1">
      <c r="A86" s="100" t="s">
        <v>419</v>
      </c>
      <c r="B86" s="94" t="s">
        <v>418</v>
      </c>
      <c r="C86" s="42" t="s">
        <v>383</v>
      </c>
      <c r="D86" s="42">
        <v>150</v>
      </c>
      <c r="E86" s="42">
        <v>1</v>
      </c>
      <c r="F86" s="54" t="s">
        <v>330</v>
      </c>
      <c r="G86" s="44">
        <v>570548.48</v>
      </c>
      <c r="H86" s="93">
        <f>ROUND(PRODUCT(G86*$H$9),2)</f>
        <v>14263.71</v>
      </c>
      <c r="I86" s="93">
        <f>ROUND(PRODUCT(G86*$I$9),2)</f>
        <v>2875.56</v>
      </c>
      <c r="J86" s="93">
        <f>ROUND(PRODUCT(G86*$J$9),2)</f>
        <v>17116.45</v>
      </c>
      <c r="K86" s="93">
        <f>ROUND(PRODUCT(G86*$K$9),2)</f>
        <v>3423.29</v>
      </c>
      <c r="L86" s="93">
        <f>ROUND(PRODUCT(G86*$L$9),2)</f>
        <v>285.27</v>
      </c>
      <c r="M86" s="93">
        <f>ROUND(PRODUCT(G86*$M$9),2)</f>
        <v>37599.14</v>
      </c>
      <c r="N86" s="93">
        <f>ROUND(PRODUCT(G86*$N$9),2)</f>
        <v>12209.74</v>
      </c>
      <c r="O86" s="93">
        <f>ROUND(PRODUCT(G86*$O$9),2)</f>
        <v>17116.45</v>
      </c>
      <c r="P86" s="93">
        <f t="shared" si="43"/>
        <v>675438.09</v>
      </c>
      <c r="Q86" s="146">
        <f>ROUND(PRODUCT(P86*'[1]индексы'!$L$18),2)</f>
        <v>699956.49</v>
      </c>
      <c r="R86" s="93">
        <f>ROUND(PRODUCT(P86*'[1]индексы'!$H$18),2)</f>
        <v>3532541.21</v>
      </c>
      <c r="S86" s="96">
        <f>ROUND(PRODUCT(Q86*'[1]индексы'!$D$18),2)</f>
        <v>3793764.18</v>
      </c>
      <c r="T86" s="92"/>
      <c r="U86" s="91"/>
      <c r="V86" s="91">
        <v>711282.61</v>
      </c>
      <c r="W86" s="91"/>
      <c r="X86" s="91"/>
      <c r="Y86" s="91"/>
      <c r="Z86" s="91"/>
      <c r="AA86" s="91"/>
      <c r="AB86" s="91"/>
      <c r="AC86" s="91"/>
      <c r="AD86" s="91"/>
      <c r="AE86" s="91"/>
    </row>
    <row r="87" spans="1:31" s="90" customFormat="1" ht="36" customHeight="1">
      <c r="A87" s="100" t="s">
        <v>417</v>
      </c>
      <c r="B87" s="99" t="s">
        <v>416</v>
      </c>
      <c r="C87" s="98" t="s">
        <v>383</v>
      </c>
      <c r="D87" s="98">
        <v>150</v>
      </c>
      <c r="E87" s="98">
        <v>1</v>
      </c>
      <c r="F87" s="97" t="s">
        <v>330</v>
      </c>
      <c r="G87" s="93">
        <v>585644.57</v>
      </c>
      <c r="H87" s="93">
        <f aca="true" t="shared" si="63" ref="H87:O87">ROUND(PRODUCT($G$87*H9),2)</f>
        <v>14641.11</v>
      </c>
      <c r="I87" s="93">
        <f t="shared" si="63"/>
        <v>2951.65</v>
      </c>
      <c r="J87" s="93">
        <f t="shared" si="63"/>
        <v>17569.34</v>
      </c>
      <c r="K87" s="93">
        <f t="shared" si="63"/>
        <v>3513.87</v>
      </c>
      <c r="L87" s="93">
        <f t="shared" si="63"/>
        <v>292.82</v>
      </c>
      <c r="M87" s="93">
        <f t="shared" si="63"/>
        <v>38593.98</v>
      </c>
      <c r="N87" s="93">
        <f t="shared" si="63"/>
        <v>12532.79</v>
      </c>
      <c r="O87" s="93">
        <f t="shared" si="63"/>
        <v>17569.34</v>
      </c>
      <c r="P87" s="93">
        <f t="shared" si="43"/>
        <v>693309.4699999999</v>
      </c>
      <c r="Q87" s="146">
        <f>ROUND(PRODUCT(P87*'[1]индексы'!$L$18),2)</f>
        <v>718476.6</v>
      </c>
      <c r="R87" s="93">
        <f>ROUND(PRODUCT(P87*'[1]индексы'!$H$18),2)</f>
        <v>3626008.53</v>
      </c>
      <c r="S87" s="96">
        <f>ROUND(PRODUCT(Q87*'[1]индексы'!$D$18),2)</f>
        <v>3894143.17</v>
      </c>
      <c r="T87" s="92"/>
      <c r="U87" s="91"/>
      <c r="V87" s="91">
        <v>711282.61</v>
      </c>
      <c r="W87" s="91"/>
      <c r="X87" s="91"/>
      <c r="Y87" s="91"/>
      <c r="Z87" s="91"/>
      <c r="AA87" s="91"/>
      <c r="AB87" s="91"/>
      <c r="AC87" s="91"/>
      <c r="AD87" s="91"/>
      <c r="AE87" s="91"/>
    </row>
    <row r="88" spans="1:31" s="90" customFormat="1" ht="53.25" customHeight="1">
      <c r="A88" s="100" t="s">
        <v>415</v>
      </c>
      <c r="B88" s="99" t="s">
        <v>414</v>
      </c>
      <c r="C88" s="98" t="s">
        <v>383</v>
      </c>
      <c r="D88" s="98">
        <v>150</v>
      </c>
      <c r="E88" s="98">
        <v>1</v>
      </c>
      <c r="F88" s="97" t="s">
        <v>330</v>
      </c>
      <c r="G88" s="93">
        <v>595948.01</v>
      </c>
      <c r="H88" s="93">
        <f aca="true" t="shared" si="64" ref="H88:O88">ROUND(PRODUCT($G$88*H9),2)</f>
        <v>14898.7</v>
      </c>
      <c r="I88" s="93">
        <f t="shared" si="64"/>
        <v>3003.58</v>
      </c>
      <c r="J88" s="93">
        <f t="shared" si="64"/>
        <v>17878.44</v>
      </c>
      <c r="K88" s="93">
        <f t="shared" si="64"/>
        <v>3575.69</v>
      </c>
      <c r="L88" s="93">
        <f t="shared" si="64"/>
        <v>297.97</v>
      </c>
      <c r="M88" s="93">
        <f t="shared" si="64"/>
        <v>39272.97</v>
      </c>
      <c r="N88" s="93">
        <f t="shared" si="64"/>
        <v>12753.29</v>
      </c>
      <c r="O88" s="93">
        <f t="shared" si="64"/>
        <v>17878.44</v>
      </c>
      <c r="P88" s="93">
        <f t="shared" si="43"/>
        <v>705507.0899999997</v>
      </c>
      <c r="Q88" s="146">
        <f>ROUND(PRODUCT(P88*'[1]индексы'!$L$18),2)</f>
        <v>731117</v>
      </c>
      <c r="R88" s="93">
        <f>ROUND(PRODUCT(P88*'[1]индексы'!$H$18),2)</f>
        <v>3689802.08</v>
      </c>
      <c r="S88" s="96">
        <f>ROUND(PRODUCT(Q88*'[1]индексы'!$D$18),2)</f>
        <v>3962654.14</v>
      </c>
      <c r="T88" s="92"/>
      <c r="U88" s="91">
        <v>281929.96</v>
      </c>
      <c r="V88" s="91">
        <v>1154412.71</v>
      </c>
      <c r="W88" s="91"/>
      <c r="X88" s="91"/>
      <c r="Y88" s="91"/>
      <c r="Z88" s="91"/>
      <c r="AA88" s="91"/>
      <c r="AB88" s="91"/>
      <c r="AC88" s="91"/>
      <c r="AD88" s="91"/>
      <c r="AE88" s="91"/>
    </row>
    <row r="89" spans="1:31" s="90" customFormat="1" ht="68.25" customHeight="1">
      <c r="A89" s="100" t="s">
        <v>413</v>
      </c>
      <c r="B89" s="94" t="s">
        <v>412</v>
      </c>
      <c r="C89" s="42" t="s">
        <v>383</v>
      </c>
      <c r="D89" s="42">
        <v>150</v>
      </c>
      <c r="E89" s="42">
        <v>1</v>
      </c>
      <c r="F89" s="54" t="s">
        <v>330</v>
      </c>
      <c r="G89" s="44">
        <v>631127.96</v>
      </c>
      <c r="H89" s="93">
        <f aca="true" t="shared" si="65" ref="H89:O89">ROUND(PRODUCT(($G$89)*H9),2)</f>
        <v>15778.2</v>
      </c>
      <c r="I89" s="93">
        <f t="shared" si="65"/>
        <v>3180.88</v>
      </c>
      <c r="J89" s="93">
        <f t="shared" si="65"/>
        <v>18933.84</v>
      </c>
      <c r="K89" s="93">
        <f t="shared" si="65"/>
        <v>3786.77</v>
      </c>
      <c r="L89" s="93">
        <f t="shared" si="65"/>
        <v>315.56</v>
      </c>
      <c r="M89" s="93">
        <f t="shared" si="65"/>
        <v>41591.33</v>
      </c>
      <c r="N89" s="93">
        <f t="shared" si="65"/>
        <v>13506.14</v>
      </c>
      <c r="O89" s="93">
        <f t="shared" si="65"/>
        <v>18933.84</v>
      </c>
      <c r="P89" s="93">
        <f t="shared" si="43"/>
        <v>747154.5199999999</v>
      </c>
      <c r="Q89" s="146">
        <f>ROUND(PRODUCT(P89*'[1]индексы'!$L$18),2)</f>
        <v>774276.23</v>
      </c>
      <c r="R89" s="93">
        <f>ROUND(PRODUCT(P89*'[1]индексы'!$H$18),2)</f>
        <v>3907618.14</v>
      </c>
      <c r="S89" s="96">
        <f>ROUND(PRODUCT(Q89*'[1]индексы'!$D$18),2)</f>
        <v>4196577.17</v>
      </c>
      <c r="T89" s="92"/>
      <c r="U89" s="91">
        <v>779513.06</v>
      </c>
      <c r="V89" s="91"/>
      <c r="W89" s="91"/>
      <c r="X89" s="91"/>
      <c r="Y89" s="91"/>
      <c r="Z89" s="91"/>
      <c r="AA89" s="91"/>
      <c r="AB89" s="91"/>
      <c r="AC89" s="91"/>
      <c r="AD89" s="91"/>
      <c r="AE89" s="91"/>
    </row>
    <row r="90" spans="1:31" s="90" customFormat="1" ht="68.25" customHeight="1">
      <c r="A90" s="100" t="s">
        <v>411</v>
      </c>
      <c r="B90" s="94" t="s">
        <v>410</v>
      </c>
      <c r="C90" s="42" t="s">
        <v>383</v>
      </c>
      <c r="D90" s="42">
        <v>150</v>
      </c>
      <c r="E90" s="42">
        <v>1</v>
      </c>
      <c r="F90" s="54" t="s">
        <v>330</v>
      </c>
      <c r="G90" s="44">
        <v>664049.66</v>
      </c>
      <c r="H90" s="93">
        <f aca="true" t="shared" si="66" ref="H90:O90">ROUND(PRODUCT($G$90*H9),2)</f>
        <v>16601.24</v>
      </c>
      <c r="I90" s="93">
        <f t="shared" si="66"/>
        <v>3346.81</v>
      </c>
      <c r="J90" s="93">
        <f t="shared" si="66"/>
        <v>19921.49</v>
      </c>
      <c r="K90" s="93">
        <f t="shared" si="66"/>
        <v>3984.3</v>
      </c>
      <c r="L90" s="93">
        <f t="shared" si="66"/>
        <v>332.02</v>
      </c>
      <c r="M90" s="93">
        <f t="shared" si="66"/>
        <v>43760.87</v>
      </c>
      <c r="N90" s="93">
        <f t="shared" si="66"/>
        <v>14210.66</v>
      </c>
      <c r="O90" s="93">
        <f t="shared" si="66"/>
        <v>19921.49</v>
      </c>
      <c r="P90" s="93">
        <f t="shared" si="43"/>
        <v>786128.5400000002</v>
      </c>
      <c r="Q90" s="146">
        <f>ROUND(PRODUCT(P90*'[1]индексы'!$L$18),2)</f>
        <v>814665.01</v>
      </c>
      <c r="R90" s="93">
        <f>ROUND(PRODUCT(P90*'[1]индексы'!$H$18),2)</f>
        <v>4111452.26</v>
      </c>
      <c r="S90" s="96">
        <f>ROUND(PRODUCT(Q90*'[1]индексы'!$D$18),2)</f>
        <v>4415484.35</v>
      </c>
      <c r="T90" s="92"/>
      <c r="U90" s="91">
        <v>779513.06</v>
      </c>
      <c r="V90" s="91"/>
      <c r="W90" s="91"/>
      <c r="X90" s="91"/>
      <c r="Y90" s="91"/>
      <c r="Z90" s="91"/>
      <c r="AA90" s="91"/>
      <c r="AB90" s="91"/>
      <c r="AC90" s="91"/>
      <c r="AD90" s="91"/>
      <c r="AE90" s="91"/>
    </row>
    <row r="91" spans="1:31" s="90" customFormat="1" ht="68.25" customHeight="1">
      <c r="A91" s="100" t="s">
        <v>409</v>
      </c>
      <c r="B91" s="94" t="s">
        <v>408</v>
      </c>
      <c r="C91" s="42" t="s">
        <v>383</v>
      </c>
      <c r="D91" s="42">
        <v>150</v>
      </c>
      <c r="E91" s="42">
        <v>1</v>
      </c>
      <c r="F91" s="54" t="s">
        <v>330</v>
      </c>
      <c r="G91" s="44">
        <v>696971.38</v>
      </c>
      <c r="H91" s="93">
        <f aca="true" t="shared" si="67" ref="H91:O91">ROUND(PRODUCT($G$91*H9),2)</f>
        <v>17424.28</v>
      </c>
      <c r="I91" s="93">
        <f t="shared" si="67"/>
        <v>3512.74</v>
      </c>
      <c r="J91" s="93">
        <f t="shared" si="67"/>
        <v>20909.14</v>
      </c>
      <c r="K91" s="93">
        <f t="shared" si="67"/>
        <v>4181.83</v>
      </c>
      <c r="L91" s="93">
        <f t="shared" si="67"/>
        <v>348.49</v>
      </c>
      <c r="M91" s="93">
        <f t="shared" si="67"/>
        <v>45930.41</v>
      </c>
      <c r="N91" s="93">
        <f t="shared" si="67"/>
        <v>14915.19</v>
      </c>
      <c r="O91" s="93">
        <f t="shared" si="67"/>
        <v>20909.14</v>
      </c>
      <c r="P91" s="93">
        <f t="shared" si="43"/>
        <v>825102.6</v>
      </c>
      <c r="Q91" s="146">
        <f>ROUND(PRODUCT(P91*'[1]индексы'!$L$18),2)</f>
        <v>855053.82</v>
      </c>
      <c r="R91" s="93">
        <f>ROUND(PRODUCT(P91*'[1]индексы'!$H$18),2)</f>
        <v>4315286.6</v>
      </c>
      <c r="S91" s="96">
        <f>ROUND(PRODUCT(Q91*'[1]индексы'!$D$18),2)</f>
        <v>4634391.7</v>
      </c>
      <c r="T91" s="92"/>
      <c r="U91" s="91">
        <v>779513.06</v>
      </c>
      <c r="V91" s="91"/>
      <c r="W91" s="91"/>
      <c r="X91" s="91"/>
      <c r="Y91" s="91"/>
      <c r="Z91" s="91"/>
      <c r="AA91" s="91"/>
      <c r="AB91" s="91"/>
      <c r="AC91" s="91"/>
      <c r="AD91" s="91"/>
      <c r="AE91" s="91"/>
    </row>
    <row r="92" spans="1:31" s="90" customFormat="1" ht="36" customHeight="1">
      <c r="A92" s="100" t="s">
        <v>407</v>
      </c>
      <c r="B92" s="99" t="s">
        <v>406</v>
      </c>
      <c r="C92" s="98" t="s">
        <v>383</v>
      </c>
      <c r="D92" s="98">
        <v>185</v>
      </c>
      <c r="E92" s="98">
        <v>1</v>
      </c>
      <c r="F92" s="97" t="s">
        <v>330</v>
      </c>
      <c r="G92" s="93">
        <v>622549.47</v>
      </c>
      <c r="H92" s="93">
        <f>ROUND(PRODUCT(G92*$H$9),2)</f>
        <v>15563.74</v>
      </c>
      <c r="I92" s="93">
        <f>ROUND(PRODUCT(G92*$I$9),2)</f>
        <v>3137.65</v>
      </c>
      <c r="J92" s="93">
        <f>ROUND(PRODUCT(G92*$J$9),2)</f>
        <v>18676.48</v>
      </c>
      <c r="K92" s="93">
        <f>ROUND(PRODUCT(G92*$K$9),2)</f>
        <v>3735.3</v>
      </c>
      <c r="L92" s="93">
        <f>ROUND(PRODUCT(G92*$L$9),2)</f>
        <v>311.27</v>
      </c>
      <c r="M92" s="93">
        <f>ROUND(PRODUCT(G92*$M$9),2)</f>
        <v>41026.01</v>
      </c>
      <c r="N92" s="93">
        <f>ROUND(PRODUCT(G92*$N$9),2)</f>
        <v>13322.56</v>
      </c>
      <c r="O92" s="93">
        <f>ROUND(PRODUCT(G92*$O$9),2)</f>
        <v>18676.48</v>
      </c>
      <c r="P92" s="93">
        <f t="shared" si="43"/>
        <v>736998.9600000001</v>
      </c>
      <c r="Q92" s="146">
        <f>ROUND(PRODUCT(P92*'[1]индексы'!$L$18),2)</f>
        <v>763752.02</v>
      </c>
      <c r="R92" s="93">
        <f>ROUND(PRODUCT(P92*'[1]индексы'!$H$18),2)</f>
        <v>3854504.56</v>
      </c>
      <c r="S92" s="96">
        <f>ROUND(PRODUCT(Q92*'[1]индексы'!$D$18),2)</f>
        <v>4139535.95</v>
      </c>
      <c r="T92" s="92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</row>
    <row r="93" spans="1:31" s="90" customFormat="1" ht="36" customHeight="1">
      <c r="A93" s="100" t="s">
        <v>405</v>
      </c>
      <c r="B93" s="99" t="s">
        <v>404</v>
      </c>
      <c r="C93" s="98" t="s">
        <v>383</v>
      </c>
      <c r="D93" s="98">
        <v>185</v>
      </c>
      <c r="E93" s="98">
        <v>1</v>
      </c>
      <c r="F93" s="97" t="s">
        <v>330</v>
      </c>
      <c r="G93" s="93">
        <v>637645.56</v>
      </c>
      <c r="H93" s="93">
        <f aca="true" t="shared" si="68" ref="H93:O93">ROUND(PRODUCT($G$93*H9),2)</f>
        <v>15941.14</v>
      </c>
      <c r="I93" s="93">
        <f t="shared" si="68"/>
        <v>3213.73</v>
      </c>
      <c r="J93" s="93">
        <f t="shared" si="68"/>
        <v>19129.37</v>
      </c>
      <c r="K93" s="93">
        <f t="shared" si="68"/>
        <v>3825.87</v>
      </c>
      <c r="L93" s="93">
        <f t="shared" si="68"/>
        <v>318.82</v>
      </c>
      <c r="M93" s="93">
        <f t="shared" si="68"/>
        <v>42020.84</v>
      </c>
      <c r="N93" s="93">
        <f t="shared" si="68"/>
        <v>13645.61</v>
      </c>
      <c r="O93" s="93">
        <f t="shared" si="68"/>
        <v>19129.37</v>
      </c>
      <c r="P93" s="93">
        <f t="shared" si="43"/>
        <v>754870.3099999999</v>
      </c>
      <c r="Q93" s="146">
        <f>ROUND(PRODUCT(P93*'[1]индексы'!$L$18),2)</f>
        <v>782272.1</v>
      </c>
      <c r="R93" s="93">
        <f>ROUND(PRODUCT(P93*'[1]индексы'!$H$18),2)</f>
        <v>3947971.72</v>
      </c>
      <c r="S93" s="96">
        <f>ROUND(PRODUCT(Q93*'[1]индексы'!$D$18),2)</f>
        <v>4239914.78</v>
      </c>
      <c r="T93" s="92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</row>
    <row r="94" spans="1:31" s="90" customFormat="1" ht="53.25" customHeight="1">
      <c r="A94" s="100" t="s">
        <v>403</v>
      </c>
      <c r="B94" s="99" t="s">
        <v>402</v>
      </c>
      <c r="C94" s="98" t="s">
        <v>383</v>
      </c>
      <c r="D94" s="98">
        <v>185</v>
      </c>
      <c r="E94" s="98">
        <v>1</v>
      </c>
      <c r="F94" s="97" t="s">
        <v>330</v>
      </c>
      <c r="G94" s="93">
        <v>647949</v>
      </c>
      <c r="H94" s="93">
        <f aca="true" t="shared" si="69" ref="H94:O94">ROUND(PRODUCT($G$94*H9),2)</f>
        <v>16198.73</v>
      </c>
      <c r="I94" s="93">
        <f t="shared" si="69"/>
        <v>3265.66</v>
      </c>
      <c r="J94" s="93">
        <f t="shared" si="69"/>
        <v>19438.47</v>
      </c>
      <c r="K94" s="93">
        <f t="shared" si="69"/>
        <v>3887.69</v>
      </c>
      <c r="L94" s="93">
        <f t="shared" si="69"/>
        <v>323.97</v>
      </c>
      <c r="M94" s="93">
        <f t="shared" si="69"/>
        <v>42699.84</v>
      </c>
      <c r="N94" s="93">
        <f t="shared" si="69"/>
        <v>13866.11</v>
      </c>
      <c r="O94" s="93">
        <f t="shared" si="69"/>
        <v>19438.47</v>
      </c>
      <c r="P94" s="93">
        <f t="shared" si="43"/>
        <v>767067.9399999998</v>
      </c>
      <c r="Q94" s="146">
        <f>ROUND(PRODUCT(P94*'[1]индексы'!$L$18),2)</f>
        <v>794912.51</v>
      </c>
      <c r="R94" s="93">
        <f>ROUND(PRODUCT(P94*'[1]индексы'!$H$18),2)</f>
        <v>4011765.33</v>
      </c>
      <c r="S94" s="96">
        <f>ROUND(PRODUCT(Q94*'[1]индексы'!$D$18),2)</f>
        <v>4308425.8</v>
      </c>
      <c r="T94" s="92"/>
      <c r="U94" s="91">
        <v>311595.1</v>
      </c>
      <c r="V94" s="91"/>
      <c r="W94" s="91"/>
      <c r="X94" s="91"/>
      <c r="Y94" s="91"/>
      <c r="Z94" s="91"/>
      <c r="AA94" s="91"/>
      <c r="AB94" s="91"/>
      <c r="AC94" s="91"/>
      <c r="AD94" s="91"/>
      <c r="AE94" s="91"/>
    </row>
    <row r="95" spans="1:31" s="90" customFormat="1" ht="68.25" customHeight="1">
      <c r="A95" s="100" t="s">
        <v>401</v>
      </c>
      <c r="B95" s="94" t="s">
        <v>400</v>
      </c>
      <c r="C95" s="42" t="s">
        <v>383</v>
      </c>
      <c r="D95" s="42">
        <v>185</v>
      </c>
      <c r="E95" s="42">
        <v>1</v>
      </c>
      <c r="F95" s="54" t="s">
        <v>330</v>
      </c>
      <c r="G95" s="44">
        <v>683128.95</v>
      </c>
      <c r="H95" s="93">
        <f aca="true" t="shared" si="70" ref="H95:O95">ROUND(PRODUCT(($G$95)*H9),2)</f>
        <v>17078.22</v>
      </c>
      <c r="I95" s="93">
        <f t="shared" si="70"/>
        <v>3442.97</v>
      </c>
      <c r="J95" s="93">
        <f t="shared" si="70"/>
        <v>20493.87</v>
      </c>
      <c r="K95" s="93">
        <f t="shared" si="70"/>
        <v>4098.77</v>
      </c>
      <c r="L95" s="93">
        <f t="shared" si="70"/>
        <v>341.56</v>
      </c>
      <c r="M95" s="93">
        <f t="shared" si="70"/>
        <v>45018.2</v>
      </c>
      <c r="N95" s="93">
        <f t="shared" si="70"/>
        <v>14618.96</v>
      </c>
      <c r="O95" s="93">
        <f t="shared" si="70"/>
        <v>20493.87</v>
      </c>
      <c r="P95" s="93">
        <f t="shared" si="43"/>
        <v>808715.3699999999</v>
      </c>
      <c r="Q95" s="146">
        <f>ROUND(PRODUCT(P95*'[1]индексы'!$L$18),2)</f>
        <v>838071.74</v>
      </c>
      <c r="R95" s="93">
        <f>ROUND(PRODUCT(P95*'[1]индексы'!$H$18),2)</f>
        <v>4229581.39</v>
      </c>
      <c r="S95" s="96">
        <f>ROUND(PRODUCT(Q95*'[1]индексы'!$D$18),2)</f>
        <v>4542348.83</v>
      </c>
      <c r="T95" s="92"/>
      <c r="U95" s="91">
        <v>796080.98</v>
      </c>
      <c r="V95" s="91"/>
      <c r="W95" s="91"/>
      <c r="X95" s="91"/>
      <c r="Y95" s="91"/>
      <c r="Z95" s="91"/>
      <c r="AA95" s="91"/>
      <c r="AB95" s="91"/>
      <c r="AC95" s="91"/>
      <c r="AD95" s="91"/>
      <c r="AE95" s="91"/>
    </row>
    <row r="96" spans="1:31" s="90" customFormat="1" ht="68.25" customHeight="1">
      <c r="A96" s="100" t="s">
        <v>399</v>
      </c>
      <c r="B96" s="94" t="s">
        <v>398</v>
      </c>
      <c r="C96" s="42" t="s">
        <v>383</v>
      </c>
      <c r="D96" s="42">
        <v>185</v>
      </c>
      <c r="E96" s="42">
        <v>1</v>
      </c>
      <c r="F96" s="54" t="s">
        <v>330</v>
      </c>
      <c r="G96" s="44">
        <v>716050.65</v>
      </c>
      <c r="H96" s="93">
        <f aca="true" t="shared" si="71" ref="H96:O96">ROUND(PRODUCT($G$96*H9),2)</f>
        <v>17901.27</v>
      </c>
      <c r="I96" s="93">
        <f t="shared" si="71"/>
        <v>3608.9</v>
      </c>
      <c r="J96" s="93">
        <f t="shared" si="71"/>
        <v>21481.52</v>
      </c>
      <c r="K96" s="93">
        <f t="shared" si="71"/>
        <v>4296.3</v>
      </c>
      <c r="L96" s="93">
        <f t="shared" si="71"/>
        <v>358.03</v>
      </c>
      <c r="M96" s="93">
        <f t="shared" si="71"/>
        <v>47187.74</v>
      </c>
      <c r="N96" s="93">
        <f t="shared" si="71"/>
        <v>15323.48</v>
      </c>
      <c r="O96" s="93">
        <f t="shared" si="71"/>
        <v>21481.52</v>
      </c>
      <c r="P96" s="93">
        <f t="shared" si="43"/>
        <v>847689.4100000001</v>
      </c>
      <c r="Q96" s="146">
        <f>ROUND(PRODUCT(P96*'[1]индексы'!$L$18),2)</f>
        <v>878460.54</v>
      </c>
      <c r="R96" s="93">
        <f>ROUND(PRODUCT(P96*'[1]индексы'!$H$18),2)</f>
        <v>4433415.61</v>
      </c>
      <c r="S96" s="96">
        <f>ROUND(PRODUCT(Q96*'[1]индексы'!$D$18),2)</f>
        <v>4761256.13</v>
      </c>
      <c r="T96" s="92"/>
      <c r="U96" s="91">
        <v>796080.98</v>
      </c>
      <c r="V96" s="91"/>
      <c r="W96" s="91"/>
      <c r="X96" s="91"/>
      <c r="Y96" s="91"/>
      <c r="Z96" s="91"/>
      <c r="AA96" s="91"/>
      <c r="AB96" s="91"/>
      <c r="AC96" s="91"/>
      <c r="AD96" s="91"/>
      <c r="AE96" s="91"/>
    </row>
    <row r="97" spans="1:31" s="90" customFormat="1" ht="68.25" customHeight="1">
      <c r="A97" s="100" t="s">
        <v>397</v>
      </c>
      <c r="B97" s="94" t="s">
        <v>396</v>
      </c>
      <c r="C97" s="42" t="s">
        <v>383</v>
      </c>
      <c r="D97" s="42">
        <v>185</v>
      </c>
      <c r="E97" s="42">
        <v>1</v>
      </c>
      <c r="F97" s="54" t="s">
        <v>330</v>
      </c>
      <c r="G97" s="44">
        <v>748972.37</v>
      </c>
      <c r="H97" s="93">
        <f aca="true" t="shared" si="72" ref="H97:O97">ROUND(PRODUCT($G$97*H9),2)</f>
        <v>18724.31</v>
      </c>
      <c r="I97" s="93">
        <f t="shared" si="72"/>
        <v>3774.82</v>
      </c>
      <c r="J97" s="93">
        <f t="shared" si="72"/>
        <v>22469.17</v>
      </c>
      <c r="K97" s="93">
        <f t="shared" si="72"/>
        <v>4493.83</v>
      </c>
      <c r="L97" s="93">
        <f t="shared" si="72"/>
        <v>374.49</v>
      </c>
      <c r="M97" s="93">
        <f t="shared" si="72"/>
        <v>49357.28</v>
      </c>
      <c r="N97" s="93">
        <f t="shared" si="72"/>
        <v>16028.01</v>
      </c>
      <c r="O97" s="93">
        <f t="shared" si="72"/>
        <v>22469.17</v>
      </c>
      <c r="P97" s="93">
        <f t="shared" si="43"/>
        <v>886663.4500000001</v>
      </c>
      <c r="Q97" s="146">
        <f>ROUND(PRODUCT(P97*'[1]индексы'!$L$18),2)</f>
        <v>918849.33</v>
      </c>
      <c r="R97" s="93">
        <f>ROUND(PRODUCT(P97*'[1]индексы'!$H$18),2)</f>
        <v>4637249.84</v>
      </c>
      <c r="S97" s="96">
        <f>ROUND(PRODUCT(Q97*'[1]индексы'!$D$18),2)</f>
        <v>4980163.37</v>
      </c>
      <c r="T97" s="92"/>
      <c r="U97" s="91">
        <v>796080.98</v>
      </c>
      <c r="V97" s="91"/>
      <c r="W97" s="91"/>
      <c r="X97" s="91"/>
      <c r="Y97" s="91"/>
      <c r="Z97" s="91"/>
      <c r="AA97" s="91"/>
      <c r="AB97" s="91"/>
      <c r="AC97" s="91"/>
      <c r="AD97" s="91"/>
      <c r="AE97" s="91"/>
    </row>
    <row r="98" spans="1:31" s="90" customFormat="1" ht="36" customHeight="1">
      <c r="A98" s="100" t="s">
        <v>395</v>
      </c>
      <c r="B98" s="99" t="s">
        <v>394</v>
      </c>
      <c r="C98" s="98" t="s">
        <v>383</v>
      </c>
      <c r="D98" s="98">
        <v>240</v>
      </c>
      <c r="E98" s="98">
        <v>1</v>
      </c>
      <c r="F98" s="97" t="s">
        <v>330</v>
      </c>
      <c r="G98" s="93">
        <v>657368.95</v>
      </c>
      <c r="H98" s="93">
        <f>ROUND(PRODUCT(G98*$H$9),2)</f>
        <v>16434.22</v>
      </c>
      <c r="I98" s="93">
        <f>ROUND(PRODUCT(G98*$I$9),2)</f>
        <v>3313.14</v>
      </c>
      <c r="J98" s="93">
        <f>ROUND(PRODUCT(G98*$J$9),2)</f>
        <v>19721.07</v>
      </c>
      <c r="K98" s="93">
        <f>ROUND(PRODUCT(G98*$K$9),2)</f>
        <v>3944.21</v>
      </c>
      <c r="L98" s="93">
        <f>ROUND(PRODUCT(G98*$L$9),2)</f>
        <v>328.68</v>
      </c>
      <c r="M98" s="93">
        <f>ROUND(PRODUCT(G98*$M$9),2)</f>
        <v>43320.61</v>
      </c>
      <c r="N98" s="93">
        <f>ROUND(PRODUCT(G98*$N$9),2)</f>
        <v>14067.7</v>
      </c>
      <c r="O98" s="93">
        <f>ROUND(PRODUCT(G98*$O$9),2)</f>
        <v>19721.07</v>
      </c>
      <c r="P98" s="93">
        <f t="shared" si="43"/>
        <v>778219.6499999998</v>
      </c>
      <c r="Q98" s="146">
        <f>ROUND(PRODUCT(P98*'[1]индексы'!$L$18),2)</f>
        <v>806469.02</v>
      </c>
      <c r="R98" s="93">
        <f>ROUND(PRODUCT(P98*'[1]индексы'!$H$18),2)</f>
        <v>4070088.77</v>
      </c>
      <c r="S98" s="96">
        <f>ROUND(PRODUCT(Q98*'[1]индексы'!$D$18),2)</f>
        <v>4371062.09</v>
      </c>
      <c r="T98" s="92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</row>
    <row r="99" spans="1:31" s="90" customFormat="1" ht="36" customHeight="1">
      <c r="A99" s="100" t="s">
        <v>393</v>
      </c>
      <c r="B99" s="99" t="s">
        <v>392</v>
      </c>
      <c r="C99" s="98" t="s">
        <v>383</v>
      </c>
      <c r="D99" s="98">
        <v>240</v>
      </c>
      <c r="E99" s="98">
        <v>1</v>
      </c>
      <c r="F99" s="97" t="s">
        <v>330</v>
      </c>
      <c r="G99" s="93">
        <v>672465.04</v>
      </c>
      <c r="H99" s="93">
        <f aca="true" t="shared" si="73" ref="H99:O99">ROUND(PRODUCT($G$99*H9),2)</f>
        <v>16811.63</v>
      </c>
      <c r="I99" s="93">
        <f t="shared" si="73"/>
        <v>3389.22</v>
      </c>
      <c r="J99" s="93">
        <f t="shared" si="73"/>
        <v>20173.95</v>
      </c>
      <c r="K99" s="93">
        <f t="shared" si="73"/>
        <v>4034.79</v>
      </c>
      <c r="L99" s="93">
        <f t="shared" si="73"/>
        <v>336.23</v>
      </c>
      <c r="M99" s="93">
        <f t="shared" si="73"/>
        <v>44315.45</v>
      </c>
      <c r="N99" s="93">
        <f t="shared" si="73"/>
        <v>14390.75</v>
      </c>
      <c r="O99" s="93">
        <f t="shared" si="73"/>
        <v>20173.95</v>
      </c>
      <c r="P99" s="93">
        <f t="shared" si="43"/>
        <v>796091.0099999999</v>
      </c>
      <c r="Q99" s="146">
        <f>ROUND(PRODUCT(P99*'[1]индексы'!$L$18),2)</f>
        <v>824989.11</v>
      </c>
      <c r="R99" s="93">
        <f>ROUND(PRODUCT(P99*'[1]индексы'!$H$18),2)</f>
        <v>4163555.98</v>
      </c>
      <c r="S99" s="96">
        <f>ROUND(PRODUCT(Q99*'[1]индексы'!$D$18),2)</f>
        <v>4471440.98</v>
      </c>
      <c r="T99" s="92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</row>
    <row r="100" spans="1:31" s="90" customFormat="1" ht="53.25" customHeight="1">
      <c r="A100" s="100" t="s">
        <v>391</v>
      </c>
      <c r="B100" s="99" t="s">
        <v>390</v>
      </c>
      <c r="C100" s="98" t="s">
        <v>383</v>
      </c>
      <c r="D100" s="98">
        <v>240</v>
      </c>
      <c r="E100" s="98">
        <v>1</v>
      </c>
      <c r="F100" s="97" t="s">
        <v>330</v>
      </c>
      <c r="G100" s="93">
        <v>682854.92</v>
      </c>
      <c r="H100" s="93">
        <f aca="true" t="shared" si="74" ref="H100:O100">ROUND(PRODUCT($G$100*H9),2)</f>
        <v>17071.37</v>
      </c>
      <c r="I100" s="93">
        <f t="shared" si="74"/>
        <v>3441.59</v>
      </c>
      <c r="J100" s="93">
        <f t="shared" si="74"/>
        <v>20485.65</v>
      </c>
      <c r="K100" s="93">
        <f t="shared" si="74"/>
        <v>4097.13</v>
      </c>
      <c r="L100" s="93">
        <f t="shared" si="74"/>
        <v>341.43</v>
      </c>
      <c r="M100" s="93">
        <f t="shared" si="74"/>
        <v>45000.14</v>
      </c>
      <c r="N100" s="93">
        <f t="shared" si="74"/>
        <v>14613.1</v>
      </c>
      <c r="O100" s="93">
        <f t="shared" si="74"/>
        <v>20485.65</v>
      </c>
      <c r="P100" s="93">
        <f t="shared" si="43"/>
        <v>808390.9800000001</v>
      </c>
      <c r="Q100" s="146">
        <f>ROUND(PRODUCT(P100*'[1]индексы'!$L$18),2)</f>
        <v>837735.57</v>
      </c>
      <c r="R100" s="93">
        <f>ROUND(PRODUCT(P100*'[1]индексы'!$H$18),2)</f>
        <v>4227884.83</v>
      </c>
      <c r="S100" s="96">
        <f>ROUND(PRODUCT(Q100*'[1]индексы'!$D$18),2)</f>
        <v>4540526.79</v>
      </c>
      <c r="T100" s="92"/>
      <c r="U100" s="91">
        <v>351740.59</v>
      </c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</row>
    <row r="101" spans="1:31" s="90" customFormat="1" ht="68.25" customHeight="1">
      <c r="A101" s="95" t="s">
        <v>389</v>
      </c>
      <c r="B101" s="94" t="s">
        <v>388</v>
      </c>
      <c r="C101" s="42" t="s">
        <v>383</v>
      </c>
      <c r="D101" s="42">
        <v>240</v>
      </c>
      <c r="E101" s="42">
        <v>1</v>
      </c>
      <c r="F101" s="54" t="s">
        <v>330</v>
      </c>
      <c r="G101" s="44">
        <v>718034.87</v>
      </c>
      <c r="H101" s="93">
        <f aca="true" t="shared" si="75" ref="H101:O101">ROUND(PRODUCT($G$101*H9),2)</f>
        <v>17950.87</v>
      </c>
      <c r="I101" s="93">
        <f t="shared" si="75"/>
        <v>3618.9</v>
      </c>
      <c r="J101" s="93">
        <f t="shared" si="75"/>
        <v>21541.05</v>
      </c>
      <c r="K101" s="93">
        <f t="shared" si="75"/>
        <v>4308.21</v>
      </c>
      <c r="L101" s="93">
        <f t="shared" si="75"/>
        <v>359.02</v>
      </c>
      <c r="M101" s="93">
        <f t="shared" si="75"/>
        <v>47318.5</v>
      </c>
      <c r="N101" s="93">
        <f t="shared" si="75"/>
        <v>15365.95</v>
      </c>
      <c r="O101" s="93">
        <f t="shared" si="75"/>
        <v>21541.05</v>
      </c>
      <c r="P101" s="93">
        <f t="shared" si="43"/>
        <v>850038.42</v>
      </c>
      <c r="Q101" s="146">
        <f>ROUND(PRODUCT(P101*'[1]индексы'!$L$18),2)</f>
        <v>880894.81</v>
      </c>
      <c r="R101" s="93">
        <f>ROUND(PRODUCT(P101*'[1]индексы'!$H$18),2)</f>
        <v>4445700.94</v>
      </c>
      <c r="S101" s="93">
        <f>ROUND(PRODUCT(Q101*'[1]индексы'!$D$18),2)</f>
        <v>4774449.87</v>
      </c>
      <c r="T101" s="92"/>
      <c r="U101" s="91">
        <v>819588.99</v>
      </c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</row>
    <row r="102" spans="1:31" s="90" customFormat="1" ht="68.25" customHeight="1">
      <c r="A102" s="95" t="s">
        <v>387</v>
      </c>
      <c r="B102" s="94" t="s">
        <v>386</v>
      </c>
      <c r="C102" s="42" t="s">
        <v>383</v>
      </c>
      <c r="D102" s="42">
        <v>240</v>
      </c>
      <c r="E102" s="42">
        <v>1</v>
      </c>
      <c r="F102" s="54" t="s">
        <v>330</v>
      </c>
      <c r="G102" s="44">
        <v>750956.57</v>
      </c>
      <c r="H102" s="93">
        <f aca="true" t="shared" si="76" ref="H102:O102">ROUND(PRODUCT($G$102*H9),2)</f>
        <v>18773.91</v>
      </c>
      <c r="I102" s="93">
        <f t="shared" si="76"/>
        <v>3784.82</v>
      </c>
      <c r="J102" s="93">
        <f t="shared" si="76"/>
        <v>22528.7</v>
      </c>
      <c r="K102" s="93">
        <f t="shared" si="76"/>
        <v>4505.74</v>
      </c>
      <c r="L102" s="93">
        <f t="shared" si="76"/>
        <v>375.48</v>
      </c>
      <c r="M102" s="93">
        <f t="shared" si="76"/>
        <v>49488.04</v>
      </c>
      <c r="N102" s="93">
        <f t="shared" si="76"/>
        <v>16070.47</v>
      </c>
      <c r="O102" s="93">
        <f t="shared" si="76"/>
        <v>22528.7</v>
      </c>
      <c r="P102" s="93">
        <f t="shared" si="43"/>
        <v>889012.4299999998</v>
      </c>
      <c r="Q102" s="146">
        <f>ROUND(PRODUCT(P102*'[1]индексы'!$L$18),2)</f>
        <v>921283.58</v>
      </c>
      <c r="R102" s="93">
        <f>ROUND(PRODUCT(P102*'[1]индексы'!$H$18),2)</f>
        <v>4649535.01</v>
      </c>
      <c r="S102" s="93">
        <f>ROUND(PRODUCT(Q102*'[1]индексы'!$D$18),2)</f>
        <v>4993357</v>
      </c>
      <c r="T102" s="92"/>
      <c r="U102" s="91">
        <v>819588.99</v>
      </c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</row>
    <row r="103" spans="1:31" s="90" customFormat="1" ht="68.25" customHeight="1">
      <c r="A103" s="95" t="s">
        <v>385</v>
      </c>
      <c r="B103" s="94" t="s">
        <v>384</v>
      </c>
      <c r="C103" s="42" t="s">
        <v>383</v>
      </c>
      <c r="D103" s="42">
        <v>240</v>
      </c>
      <c r="E103" s="42">
        <v>1</v>
      </c>
      <c r="F103" s="54" t="s">
        <v>330</v>
      </c>
      <c r="G103" s="44">
        <v>783878.29</v>
      </c>
      <c r="H103" s="93">
        <f aca="true" t="shared" si="77" ref="H103:O103">ROUND(PRODUCT($G$103*H9),2)</f>
        <v>19596.96</v>
      </c>
      <c r="I103" s="93">
        <f t="shared" si="77"/>
        <v>3950.75</v>
      </c>
      <c r="J103" s="93">
        <f t="shared" si="77"/>
        <v>23516.35</v>
      </c>
      <c r="K103" s="93">
        <f t="shared" si="77"/>
        <v>4703.27</v>
      </c>
      <c r="L103" s="93">
        <f t="shared" si="77"/>
        <v>391.94</v>
      </c>
      <c r="M103" s="93">
        <f t="shared" si="77"/>
        <v>51657.58</v>
      </c>
      <c r="N103" s="93">
        <f t="shared" si="77"/>
        <v>16775</v>
      </c>
      <c r="O103" s="93">
        <f t="shared" si="77"/>
        <v>23516.35</v>
      </c>
      <c r="P103" s="93">
        <f t="shared" si="43"/>
        <v>927986.4899999999</v>
      </c>
      <c r="Q103" s="146">
        <f>ROUND(PRODUCT(P103*'[1]индексы'!$L$18),2)</f>
        <v>961672.4</v>
      </c>
      <c r="R103" s="93">
        <f>ROUND(PRODUCT(P103*'[1]индексы'!$H$18),2)</f>
        <v>4853369.34</v>
      </c>
      <c r="S103" s="93">
        <f>ROUND(PRODUCT(Q103*'[1]индексы'!$D$18),2)</f>
        <v>5212264.41</v>
      </c>
      <c r="T103" s="92"/>
      <c r="U103" s="91">
        <v>819588.99</v>
      </c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</row>
    <row r="104" ht="15.75" hidden="1"/>
    <row r="105" spans="1:20" ht="15.75" hidden="1">
      <c r="A105" s="87"/>
      <c r="B105" s="89" t="s">
        <v>376</v>
      </c>
      <c r="C105" s="87"/>
      <c r="P105" s="86"/>
      <c r="R105" s="89"/>
      <c r="S105" s="89"/>
      <c r="T105" s="89"/>
    </row>
    <row r="106" spans="1:21" s="72" customFormat="1" ht="31.5" hidden="1">
      <c r="A106" s="67"/>
      <c r="B106" s="68" t="s">
        <v>382</v>
      </c>
      <c r="C106" s="69"/>
      <c r="D106" s="69"/>
      <c r="E106" s="69"/>
      <c r="F106" s="69"/>
      <c r="G106" s="82">
        <f>ROUND(PRODUCT(SUM(G13:G60)/48),2)</f>
        <v>251929.27</v>
      </c>
      <c r="H106" s="69"/>
      <c r="I106" s="69"/>
      <c r="J106" s="69"/>
      <c r="K106" s="69"/>
      <c r="L106" s="69"/>
      <c r="M106" s="69"/>
      <c r="N106" s="69"/>
      <c r="O106" s="69"/>
      <c r="P106" s="71">
        <f>ROUND(PRODUCT(SUM(P13:P60)/48),2)</f>
        <v>298243.94</v>
      </c>
      <c r="Q106" s="82">
        <f>ROUND(PRODUCT(SUM(Q13:Q60)/48),2)</f>
        <v>323952.57</v>
      </c>
      <c r="R106" s="71">
        <f>ROUND(PRODUCT(SUM(R13:R60)/48),2)</f>
        <v>1488237.26</v>
      </c>
      <c r="S106" s="71">
        <f>ROUND(PRODUCT(SUM(S13:S60)/48),2)</f>
        <v>1755822.92</v>
      </c>
      <c r="T106" s="88"/>
      <c r="U106" s="88"/>
    </row>
    <row r="107" spans="1:21" s="72" customFormat="1" ht="31.5" hidden="1">
      <c r="A107" s="67"/>
      <c r="B107" s="68" t="s">
        <v>381</v>
      </c>
      <c r="C107" s="69"/>
      <c r="D107" s="69"/>
      <c r="E107" s="69"/>
      <c r="F107" s="69"/>
      <c r="G107" s="82">
        <f>ROUND(PRODUCT(SUM(G62:G103))/42,2)</f>
        <v>581870.67</v>
      </c>
      <c r="H107" s="69"/>
      <c r="I107" s="69"/>
      <c r="J107" s="69"/>
      <c r="K107" s="69"/>
      <c r="L107" s="69"/>
      <c r="M107" s="69"/>
      <c r="N107" s="69"/>
      <c r="O107" s="69"/>
      <c r="P107" s="71">
        <f>ROUND(PRODUCT(SUM(P62:P103)/42),2)</f>
        <v>688841.77</v>
      </c>
      <c r="Q107" s="82">
        <f>ROUND(PRODUCT(SUM(Q62:Q103)/42),2)</f>
        <v>713846.73</v>
      </c>
      <c r="R107" s="71">
        <f>ROUND(PRODUCT(SUM(R62:R103)/42),2)</f>
        <v>3602642.46</v>
      </c>
      <c r="S107" s="71">
        <f>ROUND(PRODUCT(SUM(S62:S103)/42),2)</f>
        <v>3869049.25</v>
      </c>
      <c r="T107" s="88"/>
      <c r="U107" s="88"/>
    </row>
    <row r="108" ht="15.75" hidden="1"/>
    <row r="109" ht="15.75" hidden="1"/>
    <row r="110" ht="15.75" hidden="1"/>
    <row r="111" spans="1:8" ht="15.75" hidden="1">
      <c r="A111" s="87"/>
      <c r="C111" s="87" t="s">
        <v>374</v>
      </c>
      <c r="D111" s="87"/>
      <c r="E111" s="84"/>
      <c r="H111" s="86" t="s">
        <v>375</v>
      </c>
    </row>
  </sheetData>
  <sheetProtection/>
  <mergeCells count="25">
    <mergeCell ref="AE6:AE7"/>
    <mergeCell ref="S6:S9"/>
    <mergeCell ref="E6:E10"/>
    <mergeCell ref="F6:F10"/>
    <mergeCell ref="U10:AE10"/>
    <mergeCell ref="Q6:Q9"/>
    <mergeCell ref="R6:R9"/>
    <mergeCell ref="AA6:AC7"/>
    <mergeCell ref="W6:X7"/>
    <mergeCell ref="A6:A10"/>
    <mergeCell ref="P6:P9"/>
    <mergeCell ref="K7:L7"/>
    <mergeCell ref="AD6:AD7"/>
    <mergeCell ref="Z6:Z7"/>
    <mergeCell ref="H6:O6"/>
    <mergeCell ref="E1:AD1"/>
    <mergeCell ref="B6:B10"/>
    <mergeCell ref="C6:C10"/>
    <mergeCell ref="A4:S4"/>
    <mergeCell ref="D6:D10"/>
    <mergeCell ref="A2:S2"/>
    <mergeCell ref="G6:G9"/>
    <mergeCell ref="U6:U7"/>
    <mergeCell ref="V6:V7"/>
    <mergeCell ref="Y6:Y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  <rowBreaks count="1" manualBreakCount="1">
    <brk id="39" max="18" man="1"/>
  </rowBreaks>
  <colBreaks count="1" manualBreakCount="1">
    <brk id="20" min="1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2015-12-30T10:03:02Z</cp:lastPrinted>
  <dcterms:created xsi:type="dcterms:W3CDTF">2014-04-01T09:30:26Z</dcterms:created>
  <dcterms:modified xsi:type="dcterms:W3CDTF">2016-12-24T14:19:18Z</dcterms:modified>
  <cp:category/>
  <cp:version/>
  <cp:contentType/>
  <cp:contentStatus/>
</cp:coreProperties>
</file>