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 tabRatio="383" activeTab="3"/>
  </bookViews>
  <sheets>
    <sheet name="ССР 2 кв 2018" sheetId="11" r:id="rId1"/>
    <sheet name="ПИР" sheetId="13" r:id="rId2"/>
    <sheet name="ССР 2001 год" sheetId="12" r:id="rId3"/>
    <sheet name="сводка затрат" sheetId="2" r:id="rId4"/>
  </sheets>
  <definedNames>
    <definedName name="_xlnm.Print_Area" localSheetId="1">ПИР!$A$1:$H$71</definedName>
    <definedName name="_xlnm.Print_Area" localSheetId="0">'ССР 2 кв 2018'!$A$1:$H$39</definedName>
    <definedName name="_xlnm.Print_Area" localSheetId="2">'ССР 2001 год'!$A$1:$H$42</definedName>
  </definedNames>
  <calcPr calcId="144525"/>
</workbook>
</file>

<file path=xl/calcChain.xml><?xml version="1.0" encoding="utf-8"?>
<calcChain xmlns="http://schemas.openxmlformats.org/spreadsheetml/2006/main">
  <c r="D13" i="2" l="1"/>
  <c r="E25" i="2" l="1"/>
  <c r="J25" i="2"/>
  <c r="J24" i="2"/>
  <c r="I24" i="2"/>
  <c r="D24" i="2"/>
  <c r="E24" i="2"/>
  <c r="F24" i="2"/>
  <c r="G24" i="2"/>
  <c r="H24" i="2"/>
  <c r="E23" i="2"/>
  <c r="F23" i="2"/>
  <c r="G23" i="2"/>
  <c r="H23" i="2"/>
  <c r="D23" i="2"/>
  <c r="D8" i="2" l="1"/>
  <c r="H66" i="13"/>
  <c r="G36" i="11"/>
  <c r="F42" i="11" l="1"/>
  <c r="E42" i="11"/>
  <c r="D42" i="11"/>
  <c r="F41" i="11"/>
  <c r="E41" i="11"/>
  <c r="D41" i="11"/>
  <c r="H68" i="13"/>
  <c r="G37" i="12" l="1"/>
  <c r="F37" i="12"/>
  <c r="E37" i="12"/>
  <c r="D37" i="12"/>
  <c r="G44" i="11"/>
  <c r="G45" i="11"/>
  <c r="F44" i="11"/>
  <c r="E44" i="11"/>
  <c r="D40" i="11"/>
  <c r="E40" i="11"/>
  <c r="F40" i="11"/>
  <c r="F39" i="11"/>
  <c r="E39" i="11"/>
  <c r="D39" i="11"/>
  <c r="F38" i="11"/>
  <c r="G37" i="11"/>
  <c r="G38" i="11" s="1"/>
  <c r="H36" i="11"/>
  <c r="E38" i="11"/>
  <c r="D38" i="11"/>
  <c r="F37" i="11"/>
  <c r="E37" i="11"/>
  <c r="D37" i="11"/>
  <c r="G34" i="11"/>
  <c r="F34" i="11"/>
  <c r="E34" i="11"/>
  <c r="D34" i="11"/>
  <c r="H33" i="11"/>
  <c r="G33" i="11"/>
  <c r="F33" i="11"/>
  <c r="E33" i="11"/>
  <c r="D33" i="11"/>
  <c r="H32" i="11"/>
  <c r="E32" i="11"/>
  <c r="F26" i="11"/>
  <c r="E26" i="11"/>
  <c r="D26" i="11"/>
  <c r="F24" i="11"/>
  <c r="E24" i="11"/>
  <c r="D24" i="11"/>
  <c r="D32" i="11"/>
  <c r="G39" i="11" l="1"/>
  <c r="G40" i="11"/>
  <c r="G38" i="12"/>
  <c r="G39" i="12"/>
  <c r="G40" i="12" s="1"/>
  <c r="G41" i="12" s="1"/>
  <c r="H37" i="12"/>
  <c r="H37" i="11"/>
  <c r="H38" i="11" l="1"/>
  <c r="G42" i="11"/>
  <c r="G41" i="11"/>
  <c r="G42" i="12"/>
  <c r="H39" i="11" l="1"/>
  <c r="H40" i="11" s="1"/>
  <c r="H61" i="13"/>
  <c r="H57" i="13"/>
  <c r="H53" i="13"/>
  <c r="H49" i="13"/>
  <c r="H45" i="13"/>
  <c r="H41" i="13"/>
  <c r="H37" i="13"/>
  <c r="H65" i="13" s="1"/>
  <c r="H33" i="13"/>
  <c r="H64" i="13" s="1"/>
  <c r="H29" i="13"/>
  <c r="H22" i="13"/>
  <c r="H41" i="11" l="1"/>
  <c r="H42" i="11" s="1"/>
  <c r="F68" i="13"/>
  <c r="G70" i="13" s="1"/>
  <c r="G8" i="2" l="1"/>
  <c r="F38" i="12" l="1"/>
  <c r="I9" i="2"/>
  <c r="F39" i="12" l="1"/>
  <c r="F40" i="12" s="1"/>
  <c r="D38" i="12"/>
  <c r="D39" i="12" s="1"/>
  <c r="D40" i="12" s="1"/>
  <c r="E38" i="12"/>
  <c r="E39" i="12" s="1"/>
  <c r="E40" i="12" s="1"/>
  <c r="E41" i="12" l="1"/>
  <c r="E42" i="12" s="1"/>
  <c r="D41" i="12"/>
  <c r="D42" i="12" s="1"/>
  <c r="F41" i="12"/>
  <c r="F42" i="12" s="1"/>
  <c r="H38" i="12"/>
  <c r="H39" i="12" s="1"/>
  <c r="H40" i="12" s="1"/>
  <c r="D10" i="2"/>
  <c r="D11" i="2" l="1"/>
  <c r="D15" i="2" s="1"/>
  <c r="H41" i="12"/>
  <c r="H42" i="12" s="1"/>
  <c r="H31" i="11" l="1"/>
  <c r="D25" i="2" l="1"/>
  <c r="H30" i="11"/>
  <c r="H29" i="11" l="1"/>
  <c r="H28" i="11"/>
  <c r="H21" i="11"/>
  <c r="H20" i="11"/>
  <c r="H13" i="11" l="1"/>
  <c r="H14" i="11"/>
  <c r="H15" i="11"/>
  <c r="H16" i="11"/>
  <c r="H17" i="11"/>
  <c r="H18" i="11"/>
  <c r="H19" i="11"/>
  <c r="H12" i="11"/>
  <c r="E22" i="11" l="1"/>
  <c r="F22" i="11"/>
  <c r="G22" i="11"/>
  <c r="G24" i="11" s="1"/>
  <c r="G25" i="11" s="1"/>
  <c r="G26" i="11" s="1"/>
  <c r="D22" i="11"/>
  <c r="F25" i="11" l="1"/>
  <c r="E25" i="11"/>
  <c r="H22" i="11"/>
  <c r="H26" i="11" s="1"/>
  <c r="H34" i="11" s="1"/>
  <c r="D25" i="11" l="1"/>
  <c r="H24" i="11"/>
  <c r="H25" i="11" s="1"/>
  <c r="H10" i="2"/>
  <c r="H11" i="2" l="1"/>
  <c r="H13" i="2" s="1"/>
  <c r="H15" i="2" s="1"/>
  <c r="F8" i="2" l="1"/>
  <c r="H25" i="2" l="1"/>
  <c r="G10" i="2"/>
  <c r="G11" i="2" s="1"/>
  <c r="G13" i="2" s="1"/>
  <c r="G15" i="2" l="1"/>
  <c r="F10" i="2"/>
  <c r="F11" i="2" s="1"/>
  <c r="F13" i="2" s="1"/>
  <c r="G25" i="2" l="1"/>
  <c r="E8" i="2"/>
  <c r="F15" i="2"/>
  <c r="F25" i="2" l="1"/>
  <c r="I8" i="2"/>
  <c r="J8" i="2" s="1"/>
  <c r="E10" i="2" l="1"/>
  <c r="E11" i="2" s="1"/>
  <c r="E13" i="2" s="1"/>
  <c r="I10" i="2"/>
  <c r="I11" i="2" l="1"/>
  <c r="J10" i="2"/>
  <c r="E15" i="2"/>
  <c r="I13" i="2"/>
  <c r="J13" i="2" s="1"/>
  <c r="I15" i="2" l="1"/>
  <c r="J15" i="2" s="1"/>
  <c r="I25" i="2" l="1"/>
</calcChain>
</file>

<file path=xl/sharedStrings.xml><?xml version="1.0" encoding="utf-8"?>
<sst xmlns="http://schemas.openxmlformats.org/spreadsheetml/2006/main" count="296" uniqueCount="182">
  <si>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</si>
  <si>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</si>
  <si>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</si>
  <si>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</si>
  <si>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</si>
  <si>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</si>
  <si>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</si>
  <si>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</si>
  <si>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</si>
  <si>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 xml:space="preserve">оборудования, </t>
  </si>
  <si>
    <t>ГСН81-05-01-2001 п.3 прил. 1 п.п 2,6</t>
  </si>
  <si>
    <t>Временные здания и сооружения 3,9%</t>
  </si>
  <si>
    <t>МДС 81-35.2004 прил.8 п.9.9</t>
  </si>
  <si>
    <t>Зимнее удорожание 0,756%</t>
  </si>
  <si>
    <t>МДС 81-35.2004 п.4.96</t>
  </si>
  <si>
    <t>прочих (пусконаладочных работ)</t>
  </si>
  <si>
    <t>02-01</t>
  </si>
  <si>
    <t>02-02</t>
  </si>
  <si>
    <t>02-03</t>
  </si>
  <si>
    <t>02-04</t>
  </si>
  <si>
    <t>02-05</t>
  </si>
  <si>
    <t>02-06</t>
  </si>
  <si>
    <t>02-07</t>
  </si>
  <si>
    <t>02-08</t>
  </si>
  <si>
    <t>02-09</t>
  </si>
  <si>
    <t>Итого по Главе 2:</t>
  </si>
  <si>
    <t>ВСЕГО по сводному сметному расчёту:</t>
  </si>
  <si>
    <t>г. Пионерский.</t>
  </si>
  <si>
    <t xml:space="preserve">Строительство 2-х линейных ячеек 110кВ на ПС 110 кВ "Пионерская", расположенного по адресу: Калининградская обл., </t>
  </si>
  <si>
    <t>№ п/п</t>
  </si>
  <si>
    <t>Показатель</t>
  </si>
  <si>
    <t>Формула подсчёта</t>
  </si>
  <si>
    <t>Значение ( млн. руб. без НДС)</t>
  </si>
  <si>
    <t>Итого с НДС, млн.руб.</t>
  </si>
  <si>
    <t>ПИР</t>
  </si>
  <si>
    <t>СМР</t>
  </si>
  <si>
    <t>Оборуд.</t>
  </si>
  <si>
    <t>ПНР</t>
  </si>
  <si>
    <t xml:space="preserve">Прочие </t>
  </si>
  <si>
    <t>Итого без НДС, млн.руб.</t>
  </si>
  <si>
    <t>Сметная стоимость в ценах 2 кв. 2018</t>
  </si>
  <si>
    <t>Коэффициенты перевода в текущие цены в базу 2001г по письму Минрегиона</t>
  </si>
  <si>
    <t>Сметная стоимость в базовых ценах 2001г</t>
  </si>
  <si>
    <t>Коэффициенты перевода в текущие цены на декабрь 2017г  по письму Минрегиона</t>
  </si>
  <si>
    <t>Сметная стоимость в ценах декабря 2017г</t>
  </si>
  <si>
    <t>Оценка полной стоимости инвестиционного проекта в прогнозных ценах соответствующих лет, млн. руб.</t>
  </si>
  <si>
    <t>Кдеф=Кдеф2018/2017*Кдеф2019/2018*Кдеф2020/2019*Кдеф2021/2020</t>
  </si>
  <si>
    <t>Коэффициент перевода в текущие цены на период выполнения работ</t>
  </si>
  <si>
    <t>Оборудование</t>
  </si>
  <si>
    <t>Сметная стоимость в ценах 2 кв. 2018 (ПС)</t>
  </si>
  <si>
    <t>Сметная стоимость в ценах 2 кв. 2018 (заходы)</t>
  </si>
  <si>
    <t>Всего в цена 2 кв.2018</t>
  </si>
  <si>
    <t>начала строительства(реконструкции) объекта</t>
  </si>
  <si>
    <t>Год начала  реализации инвестиционного проекта</t>
  </si>
  <si>
    <t>Год окончания реализации инвестиционного проекта</t>
  </si>
  <si>
    <t>J 19-04</t>
  </si>
  <si>
    <t>Составлен в ценах 2 квартала 2018 года</t>
  </si>
  <si>
    <t>Глава 9. Прочие работы и затраты</t>
  </si>
  <si>
    <t>Монтаж оборудования 110 кВ</t>
  </si>
  <si>
    <t xml:space="preserve">Монтаж заземления ОРУ. </t>
  </si>
  <si>
    <t>Прокладка силовых и контрольных кабелей</t>
  </si>
  <si>
    <t>Монтаж кабельной конструкции в ОРУ-110кВ</t>
  </si>
  <si>
    <t>Опоры для металлических надземных кабельных коробов</t>
  </si>
  <si>
    <t>Опоры под оборудование ОРУ 110 кВ</t>
  </si>
  <si>
    <t>Монтаж оборудования АИИС КУЭ</t>
  </si>
  <si>
    <t xml:space="preserve">Монтаж оборудования РЗА и ПА </t>
  </si>
  <si>
    <t>истемы связи</t>
  </si>
  <si>
    <t>Благоустройство</t>
  </si>
  <si>
    <t>Первичного оборудования 110кВ</t>
  </si>
  <si>
    <t>РЗА линий и ОВ  110кВ</t>
  </si>
  <si>
    <t xml:space="preserve">АИИС КУЭ </t>
  </si>
  <si>
    <t>Системы связи</t>
  </si>
  <si>
    <t>09-01</t>
  </si>
  <si>
    <t>09-02</t>
  </si>
  <si>
    <t>09-03</t>
  </si>
  <si>
    <t>09-04</t>
  </si>
  <si>
    <t>Итого по главе 9</t>
  </si>
  <si>
    <t>ИТОГО по главам 1-9</t>
  </si>
  <si>
    <t>Глава 2. Основные объекты строительства</t>
  </si>
  <si>
    <t>02-10</t>
  </si>
  <si>
    <t>Итого с непредвиденными затратами</t>
  </si>
  <si>
    <t>Составлен в базовых ценах 2001г</t>
  </si>
  <si>
    <t>Строительство 2-х линейных ячеек 110кВ на ПС 110 кВ "Пионерская", расположенного по адресу: Калининградская обл., г. Пионерский.</t>
  </si>
  <si>
    <t>пнр</t>
  </si>
  <si>
    <t>в т.ч.</t>
  </si>
  <si>
    <t>З2001</t>
  </si>
  <si>
    <t xml:space="preserve"> Ктек2017</t>
  </si>
  <si>
    <t>З2017= З2001* Ктек2017</t>
  </si>
  <si>
    <t>Кдеф2018/2017</t>
  </si>
  <si>
    <t>Кдеф2019/2018</t>
  </si>
  <si>
    <t>Кдеф2020/2019</t>
  </si>
  <si>
    <t>Кдеф2021/2020</t>
  </si>
  <si>
    <t>Кдеф2022/2021</t>
  </si>
  <si>
    <t>Кдеф2023/2022</t>
  </si>
  <si>
    <r>
      <t>Кдеф2024/2023</t>
    </r>
    <r>
      <rPr>
        <sz val="11"/>
        <color rgb="FF000000"/>
        <rFont val="Calibri"/>
        <family val="2"/>
        <charset val="204"/>
      </rPr>
      <t/>
    </r>
  </si>
  <si>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</si>
  <si>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</si>
  <si>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</si>
  <si>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</si>
  <si>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</si>
  <si>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проектной </t>
  </si>
  <si>
    <t>(изыскательской) организации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</si>
  <si>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</si>
  <si>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</si>
  <si>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</si>
  <si>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</si>
  <si>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</si>
  <si>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</si>
  <si>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</si>
  <si>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</si>
  <si>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</si>
  <si>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r>
      <t>(a+bx) x K</t>
    </r>
    <r>
      <rPr>
        <sz val="8"/>
        <rFont val="Arial Cyr"/>
        <charset val="204"/>
      </rPr>
      <t>i</t>
    </r>
    <r>
      <rPr>
        <sz val="11"/>
        <color theme="1"/>
        <rFont val="Calibri"/>
        <family val="2"/>
        <scheme val="minor"/>
      </rPr>
      <t>,</t>
    </r>
  </si>
  <si>
    <t>рублей</t>
  </si>
  <si>
    <t>здания,</t>
  </si>
  <si>
    <t>пунктов указаний к разделу</t>
  </si>
  <si>
    <t>или (объём строительно-</t>
  </si>
  <si>
    <t>в ценах на 1 квартал 2019 года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</si>
  <si>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</si>
  <si>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</si>
  <si>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</si>
  <si>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</si>
  <si>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</si>
  <si>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</si>
  <si>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</si>
  <si>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</si>
  <si>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 xml:space="preserve">Реконструкция ОРУ-110 кВ с расширением на две ячейки </t>
  </si>
  <si>
    <t>Проектирование двух ячеек ОРУ-110 кВ</t>
  </si>
  <si>
    <t>«Справочник базовых цен на проектные работы в строительстве «Объекты энергетики. Генерация энергии»</t>
  </si>
  <si>
    <t>Проектная документация:</t>
  </si>
  <si>
    <t>52219110/3,64*0,08944*3,83*1,7*0,104</t>
  </si>
  <si>
    <t>Таблица 1, пункт 3</t>
  </si>
  <si>
    <t>К-</t>
  </si>
  <si>
    <t>Стадия "Проект"</t>
  </si>
  <si>
    <t>Стадия "Рабочая документация"</t>
  </si>
  <si>
    <t>Удельная стоимость: ПД 7,6%+2,8%=10,4%</t>
  </si>
  <si>
    <t>Рабочая документация:</t>
  </si>
  <si>
    <t>Удельная стоимость: РД 11,4%+4,2%-15,6%</t>
  </si>
  <si>
    <t>к=1,7 - реконструкция особо опасных и технически сложных объектов</t>
  </si>
  <si>
    <t>Коэффициент инфляции</t>
  </si>
  <si>
    <t>52219110/3,64*0,08944*3,83*1,7*0,156</t>
  </si>
  <si>
    <t>Приложение 3 к письму Минстроя РФ от</t>
  </si>
  <si>
    <t>04.04.20189 г. №13606-ХМ/09</t>
  </si>
  <si>
    <t xml:space="preserve">Техническое переустройство </t>
  </si>
  <si>
    <t xml:space="preserve">вторичный соединений </t>
  </si>
  <si>
    <t>39,97*2*0,4*3,83*1000*1,7</t>
  </si>
  <si>
    <t xml:space="preserve">существующих РУ (ошиновка, </t>
  </si>
  <si>
    <t>Таблица 14, пункт 5</t>
  </si>
  <si>
    <t>дифзащита шин)</t>
  </si>
  <si>
    <t>39,97*2*0,6*3,83*1000*1,7</t>
  </si>
  <si>
    <t>21,46*2*0,4*3,83*1000*1,7</t>
  </si>
  <si>
    <t>существующих РУ</t>
  </si>
  <si>
    <t>Таблица 14, пункт 3</t>
  </si>
  <si>
    <t>21,46*2*0,6*3,83*1000*1,7</t>
  </si>
  <si>
    <t xml:space="preserve">Вторичные соединения </t>
  </si>
  <si>
    <t>устройств противоаварийной и системной автоматики (ПА),</t>
  </si>
  <si>
    <t>19,24*2*0,4*3,83*1000*1,7</t>
  </si>
  <si>
    <t>Таблица 15 пункт 1</t>
  </si>
  <si>
    <t>приема и передачи сигналов (ПИ)</t>
  </si>
  <si>
    <t>19,24*2*0,6*3,83*1000*1.7</t>
  </si>
  <si>
    <t>автоматизированных систем (АС)</t>
  </si>
  <si>
    <t>26,24*0,4*3,83*1000</t>
  </si>
  <si>
    <t>Таблица 15, пункт 3</t>
  </si>
  <si>
    <t>26,24*0,6*3,83*1000*2</t>
  </si>
  <si>
    <t>Проектная документация</t>
  </si>
  <si>
    <t>Рабочая документация</t>
  </si>
  <si>
    <t>Всего:</t>
  </si>
  <si>
    <t>НДС-20%</t>
  </si>
  <si>
    <t>Всего с НДС:</t>
  </si>
  <si>
    <t xml:space="preserve">Глава 8. Временные здания и сооружения </t>
  </si>
  <si>
    <t>Итого по главе 8</t>
  </si>
  <si>
    <t>ИТОГО по главам 1-8</t>
  </si>
  <si>
    <t>Глава 12. Проектные и изыскательские работы, авторский надзор</t>
  </si>
  <si>
    <t>Проектные и изыскательские работы, авторский надзор</t>
  </si>
  <si>
    <t>Итого по главе 12</t>
  </si>
  <si>
    <t>ИТОГО по главам 1-12</t>
  </si>
  <si>
    <t>Непредвиденные затраты - 3,0%</t>
  </si>
  <si>
    <t>*0,18</t>
  </si>
  <si>
    <t>НДС 18 %</t>
  </si>
  <si>
    <r>
      <t xml:space="preserve">Индексы-дефляторы по капитальным вложениям по уточненному прогнозу Минэкономразвития от  30.09.2019г
(Письмо МЭР от 01.10.2019 №33198-ПБ/Д03и) Индексы-дефляторы по капитальным вложениям по уточненному прогнозу </t>
    </r>
    <r>
      <rPr>
        <u/>
        <sz val="10"/>
        <color rgb="FF000000"/>
        <rFont val="Arial"/>
        <family val="2"/>
        <charset val="204"/>
      </rPr>
      <t>Минэкономразвития от 28.11.2018</t>
    </r>
  </si>
  <si>
    <t>Письма Минстроя  от 09.12.2019 № 46999-ДВ/09, 
от 25.12.2019 № 50583-ДВ/09</t>
  </si>
  <si>
    <t>З2021= З2018* Кдеф.</t>
  </si>
  <si>
    <t>ПИР договор 5,1 млн.руб.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</si>
</sst>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0"/>
    <numFmt numFmtId="165" formatCode="#,##0.00_р_."/>
    <numFmt numFmtId="166" formatCode="#,##0.00\ _₽"/>
    <numFmt numFmtId="167" formatCode="#,##0.000;[Red]#,##0.000"/>
    <numFmt numFmtId="168" formatCode="_-* #,##0.000_р_._-;\-* #,##0.000_р_._-;_-* &quot;-&quot;??_р_._-;_-@_-"/>
    <numFmt numFmtId="169" formatCode="_-* #,##0.00_р_._-;\-* #,##0.00_р_._-;_-* &quot;-&quot;??_р_._-;_-@_-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color theme="1"/>
      <name val="Arial"/>
      <family val="2"/>
      <charset val="204"/>
    </font>
    <font>
      <i/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rgb="FF000000"/>
      <name val="Arial"/>
      <family val="2"/>
      <charset val="204"/>
    </font>
    <font>
      <sz val="10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i/>
      <u/>
      <sz val="10"/>
      <name val="Arial Cyr"/>
      <charset val="204"/>
    </font>
    <font>
      <sz val="10"/>
      <color theme="1"/>
      <name val="Arial Cyr"/>
      <charset val="204"/>
    </font>
    <font>
      <b/>
      <i/>
      <sz val="10"/>
      <color theme="1"/>
      <name val="Arial Cyr"/>
      <charset val="204"/>
    </font>
    <font>
      <b/>
      <i/>
      <sz val="10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10"/>
      <name val="Helv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4DFEC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12" fillId="0" borderId="0"/>
    <xf numFmtId="0" fontId="23" fillId="0" borderId="0"/>
    <xf numFmtId="0" fontId="2" fillId="0" borderId="0"/>
    <xf numFmtId="0" fontId="24" fillId="0" borderId="0"/>
    <xf numFmtId="1" fontId="25" fillId="0" borderId="16">
      <alignment horizontal="center"/>
    </xf>
    <xf numFmtId="0" fontId="23" fillId="0" borderId="0"/>
    <xf numFmtId="169" fontId="12" fillId="0" borderId="0" applyFont="0" applyFill="0" applyBorder="0" applyAlignment="0" applyProtection="0"/>
    <xf numFmtId="169" fontId="12" fillId="0" borderId="0" applyFont="0" applyFill="0" applyBorder="0" applyAlignment="0" applyProtection="0"/>
  </cellStyleXfs>
  <cellXfs count="234">
    <xf numFmtId="0" fontId="0" fillId="0" borderId="0" xfId="0"/>
    <xf numFmtId="0" fontId="2" fillId="2" borderId="0" xfId="0" applyFont="1" applyFill="1" applyAlignment="1">
      <alignment horizontal="left" vertical="top"/>
    </xf>
    <xf numFmtId="166" fontId="2" fillId="0" borderId="0" xfId="0" applyNumberFormat="1" applyFont="1" applyAlignment="1">
      <alignment horizontal="right"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top"/>
    </xf>
    <xf numFmtId="49" fontId="2" fillId="0" borderId="0" xfId="0" applyNumberFormat="1" applyFont="1" applyAlignment="1">
      <alignment horizontal="left" vertical="top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6" fillId="0" borderId="0" xfId="0" applyFont="1"/>
    <xf numFmtId="49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left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top"/>
    </xf>
    <xf numFmtId="164" fontId="8" fillId="3" borderId="2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top"/>
    </xf>
    <xf numFmtId="164" fontId="3" fillId="3" borderId="5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right" vertical="top"/>
    </xf>
    <xf numFmtId="0" fontId="2" fillId="2" borderId="2" xfId="0" applyFont="1" applyFill="1" applyBorder="1" applyAlignment="1">
      <alignment horizontal="left" vertical="center" wrapText="1"/>
    </xf>
    <xf numFmtId="167" fontId="6" fillId="0" borderId="0" xfId="0" applyNumberFormat="1" applyFont="1"/>
    <xf numFmtId="49" fontId="2" fillId="0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165" fontId="2" fillId="3" borderId="2" xfId="0" applyNumberFormat="1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Border="1" applyAlignment="1">
      <alignment horizontal="right" vertical="top"/>
    </xf>
    <xf numFmtId="4" fontId="9" fillId="0" borderId="2" xfId="0" applyNumberFormat="1" applyFont="1" applyFill="1" applyBorder="1" applyAlignment="1">
      <alignment horizontal="center" vertical="center"/>
    </xf>
    <xf numFmtId="4" fontId="10" fillId="4" borderId="2" xfId="0" applyNumberFormat="1" applyFont="1" applyFill="1" applyBorder="1" applyAlignment="1">
      <alignment horizontal="center" vertical="center"/>
    </xf>
    <xf numFmtId="0" fontId="9" fillId="0" borderId="0" xfId="0" applyFont="1" applyFill="1" applyBorder="1"/>
    <xf numFmtId="0" fontId="10" fillId="0" borderId="0" xfId="0" applyFont="1" applyFill="1" applyBorder="1"/>
    <xf numFmtId="0" fontId="10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/>
    <xf numFmtId="3" fontId="10" fillId="0" borderId="0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4" fontId="10" fillId="3" borderId="7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4" fontId="10" fillId="0" borderId="2" xfId="0" applyNumberFormat="1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 wrapText="1"/>
    </xf>
    <xf numFmtId="4" fontId="10" fillId="3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4" fontId="10" fillId="3" borderId="2" xfId="0" applyNumberFormat="1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164" fontId="10" fillId="0" borderId="2" xfId="2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4" fontId="9" fillId="0" borderId="7" xfId="0" applyNumberFormat="1" applyFont="1" applyFill="1" applyBorder="1" applyAlignment="1">
      <alignment horizontal="center" vertical="center" wrapText="1"/>
    </xf>
    <xf numFmtId="4" fontId="9" fillId="3" borderId="7" xfId="0" applyNumberFormat="1" applyFont="1" applyFill="1" applyBorder="1" applyAlignment="1">
      <alignment horizontal="center" vertical="center" wrapText="1"/>
    </xf>
    <xf numFmtId="4" fontId="9" fillId="3" borderId="2" xfId="1" applyNumberFormat="1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 wrapText="1"/>
    </xf>
    <xf numFmtId="0" fontId="12" fillId="0" borderId="0" xfId="3"/>
    <xf numFmtId="0" fontId="12" fillId="0" borderId="0" xfId="3" applyAlignment="1">
      <alignment horizontal="center"/>
    </xf>
    <xf numFmtId="0" fontId="14" fillId="0" borderId="0" xfId="3" applyFont="1"/>
    <xf numFmtId="0" fontId="12" fillId="0" borderId="0" xfId="3" applyAlignment="1">
      <alignment horizontal="right"/>
    </xf>
    <xf numFmtId="0" fontId="12" fillId="0" borderId="0" xfId="3" applyFont="1" applyAlignment="1"/>
    <xf numFmtId="0" fontId="12" fillId="0" borderId="0" xfId="3" applyFont="1" applyBorder="1"/>
    <xf numFmtId="0" fontId="12" fillId="0" borderId="0" xfId="3" applyFont="1" applyBorder="1" applyAlignment="1">
      <alignment horizontal="center"/>
    </xf>
    <xf numFmtId="0" fontId="12" fillId="0" borderId="0" xfId="3" applyFont="1" applyAlignment="1">
      <alignment wrapText="1"/>
    </xf>
    <xf numFmtId="0" fontId="12" fillId="0" borderId="0" xfId="3" applyBorder="1"/>
    <xf numFmtId="0" fontId="12" fillId="0" borderId="0" xfId="3" applyBorder="1" applyAlignment="1">
      <alignment horizontal="center"/>
    </xf>
    <xf numFmtId="0" fontId="12" fillId="0" borderId="0" xfId="3" applyBorder="1" applyAlignment="1">
      <alignment horizontal="right"/>
    </xf>
    <xf numFmtId="0" fontId="14" fillId="0" borderId="0" xfId="3" applyFont="1" applyBorder="1"/>
    <xf numFmtId="0" fontId="12" fillId="0" borderId="5" xfId="3" applyBorder="1" applyAlignment="1">
      <alignment horizontal="center" vertical="center"/>
    </xf>
    <xf numFmtId="0" fontId="12" fillId="0" borderId="8" xfId="3" applyBorder="1" applyAlignment="1">
      <alignment horizontal="center" vertical="center"/>
    </xf>
    <xf numFmtId="0" fontId="12" fillId="0" borderId="6" xfId="3" applyBorder="1" applyAlignment="1">
      <alignment horizontal="center" vertical="center"/>
    </xf>
    <xf numFmtId="0" fontId="12" fillId="0" borderId="12" xfId="3" applyBorder="1" applyAlignment="1">
      <alignment horizontal="center" vertical="center"/>
    </xf>
    <xf numFmtId="0" fontId="12" fillId="0" borderId="2" xfId="3" applyBorder="1" applyAlignment="1">
      <alignment horizontal="center"/>
    </xf>
    <xf numFmtId="4" fontId="17" fillId="0" borderId="0" xfId="3" applyNumberFormat="1" applyFont="1" applyFill="1" applyBorder="1"/>
    <xf numFmtId="0" fontId="18" fillId="0" borderId="5" xfId="3" applyFont="1" applyBorder="1" applyAlignment="1">
      <alignment horizontal="center"/>
    </xf>
    <xf numFmtId="0" fontId="19" fillId="0" borderId="8" xfId="3" applyFont="1" applyFill="1" applyBorder="1"/>
    <xf numFmtId="4" fontId="18" fillId="0" borderId="11" xfId="3" applyNumberFormat="1" applyFont="1" applyBorder="1"/>
    <xf numFmtId="4" fontId="18" fillId="0" borderId="5" xfId="3" applyNumberFormat="1" applyFont="1" applyBorder="1" applyAlignment="1">
      <alignment horizontal="right"/>
    </xf>
    <xf numFmtId="0" fontId="18" fillId="0" borderId="6" xfId="3" applyFont="1" applyBorder="1" applyAlignment="1">
      <alignment horizontal="center"/>
    </xf>
    <xf numFmtId="4" fontId="18" fillId="0" borderId="6" xfId="3" applyNumberFormat="1" applyFont="1" applyBorder="1" applyAlignment="1">
      <alignment horizontal="right"/>
    </xf>
    <xf numFmtId="0" fontId="18" fillId="0" borderId="12" xfId="3" applyFont="1" applyFill="1" applyBorder="1"/>
    <xf numFmtId="0" fontId="18" fillId="0" borderId="0" xfId="3" applyFont="1" applyBorder="1" applyAlignment="1">
      <alignment horizontal="center"/>
    </xf>
    <xf numFmtId="0" fontId="18" fillId="0" borderId="13" xfId="3" applyFont="1" applyBorder="1"/>
    <xf numFmtId="0" fontId="18" fillId="0" borderId="12" xfId="3" applyFont="1" applyBorder="1"/>
    <xf numFmtId="0" fontId="19" fillId="0" borderId="12" xfId="3" applyFont="1" applyFill="1" applyBorder="1"/>
    <xf numFmtId="4" fontId="18" fillId="0" borderId="13" xfId="3" applyNumberFormat="1" applyFont="1" applyBorder="1"/>
    <xf numFmtId="2" fontId="18" fillId="0" borderId="0" xfId="3" applyNumberFormat="1" applyFont="1" applyFill="1" applyBorder="1" applyAlignment="1">
      <alignment horizontal="center"/>
    </xf>
    <xf numFmtId="0" fontId="18" fillId="0" borderId="13" xfId="3" applyFont="1" applyFill="1" applyBorder="1"/>
    <xf numFmtId="0" fontId="18" fillId="0" borderId="0" xfId="3" applyFont="1" applyFill="1" applyBorder="1" applyAlignment="1">
      <alignment horizontal="center"/>
    </xf>
    <xf numFmtId="0" fontId="18" fillId="0" borderId="14" xfId="3" applyFont="1" applyFill="1" applyBorder="1"/>
    <xf numFmtId="0" fontId="18" fillId="0" borderId="1" xfId="3" applyFont="1" applyFill="1" applyBorder="1" applyAlignment="1">
      <alignment horizontal="center"/>
    </xf>
    <xf numFmtId="0" fontId="18" fillId="0" borderId="15" xfId="3" applyFont="1" applyFill="1" applyBorder="1"/>
    <xf numFmtId="4" fontId="18" fillId="0" borderId="14" xfId="3" applyNumberFormat="1" applyFont="1" applyBorder="1"/>
    <xf numFmtId="4" fontId="18" fillId="0" borderId="15" xfId="3" applyNumberFormat="1" applyFont="1" applyBorder="1"/>
    <xf numFmtId="4" fontId="18" fillId="0" borderId="7" xfId="3" applyNumberFormat="1" applyFont="1" applyBorder="1" applyAlignment="1">
      <alignment horizontal="right"/>
    </xf>
    <xf numFmtId="0" fontId="12" fillId="0" borderId="5" xfId="3" applyBorder="1" applyAlignment="1">
      <alignment horizontal="center"/>
    </xf>
    <xf numFmtId="0" fontId="12" fillId="0" borderId="8" xfId="3" applyBorder="1"/>
    <xf numFmtId="0" fontId="20" fillId="0" borderId="8" xfId="3" applyFont="1" applyFill="1" applyBorder="1"/>
    <xf numFmtId="4" fontId="12" fillId="0" borderId="11" xfId="3" applyNumberFormat="1" applyBorder="1"/>
    <xf numFmtId="4" fontId="12" fillId="0" borderId="5" xfId="3" applyNumberFormat="1" applyBorder="1" applyAlignment="1">
      <alignment horizontal="right"/>
    </xf>
    <xf numFmtId="0" fontId="12" fillId="0" borderId="6" xfId="3" applyBorder="1" applyAlignment="1">
      <alignment horizontal="center"/>
    </xf>
    <xf numFmtId="0" fontId="12" fillId="0" borderId="12" xfId="3" applyBorder="1"/>
    <xf numFmtId="4" fontId="12" fillId="0" borderId="12" xfId="3" applyNumberFormat="1" applyBorder="1"/>
    <xf numFmtId="4" fontId="12" fillId="0" borderId="13" xfId="3" applyNumberFormat="1" applyBorder="1"/>
    <xf numFmtId="4" fontId="12" fillId="0" borderId="6" xfId="3" applyNumberFormat="1" applyBorder="1" applyAlignment="1">
      <alignment horizontal="right"/>
    </xf>
    <xf numFmtId="0" fontId="12" fillId="0" borderId="12" xfId="3" applyFill="1" applyBorder="1"/>
    <xf numFmtId="0" fontId="12" fillId="0" borderId="13" xfId="3" applyBorder="1"/>
    <xf numFmtId="0" fontId="12" fillId="0" borderId="12" xfId="3" applyFont="1" applyBorder="1"/>
    <xf numFmtId="0" fontId="12" fillId="0" borderId="13" xfId="3" applyFont="1" applyBorder="1"/>
    <xf numFmtId="0" fontId="20" fillId="0" borderId="12" xfId="3" applyFont="1" applyFill="1" applyBorder="1"/>
    <xf numFmtId="0" fontId="12" fillId="0" borderId="6" xfId="3" applyBorder="1" applyAlignment="1">
      <alignment wrapText="1"/>
    </xf>
    <xf numFmtId="0" fontId="12" fillId="0" borderId="7" xfId="3" applyBorder="1" applyAlignment="1">
      <alignment horizontal="center"/>
    </xf>
    <xf numFmtId="0" fontId="12" fillId="0" borderId="14" xfId="3" applyBorder="1"/>
    <xf numFmtId="4" fontId="12" fillId="0" borderId="14" xfId="3" applyNumberFormat="1" applyBorder="1"/>
    <xf numFmtId="4" fontId="12" fillId="0" borderId="15" xfId="3" applyNumberFormat="1" applyBorder="1"/>
    <xf numFmtId="4" fontId="12" fillId="0" borderId="7" xfId="3" applyNumberFormat="1" applyBorder="1" applyAlignment="1">
      <alignment horizontal="right"/>
    </xf>
    <xf numFmtId="4" fontId="12" fillId="0" borderId="0" xfId="3" applyNumberFormat="1" applyFont="1" applyBorder="1" applyAlignment="1">
      <alignment horizontal="right"/>
    </xf>
    <xf numFmtId="4" fontId="12" fillId="0" borderId="0" xfId="3" applyNumberFormat="1" applyBorder="1" applyAlignment="1">
      <alignment horizontal="right"/>
    </xf>
    <xf numFmtId="168" fontId="12" fillId="0" borderId="0" xfId="3" applyNumberFormat="1"/>
    <xf numFmtId="4" fontId="14" fillId="0" borderId="0" xfId="3" applyNumberFormat="1" applyFont="1" applyBorder="1"/>
    <xf numFmtId="4" fontId="14" fillId="0" borderId="0" xfId="3" applyNumberFormat="1" applyFont="1" applyBorder="1" applyAlignment="1">
      <alignment horizontal="right"/>
    </xf>
    <xf numFmtId="0" fontId="12" fillId="0" borderId="0" xfId="3" applyFill="1" applyBorder="1"/>
    <xf numFmtId="4" fontId="12" fillId="0" borderId="0" xfId="3" applyNumberFormat="1" applyFill="1" applyBorder="1"/>
    <xf numFmtId="4" fontId="12" fillId="0" borderId="0" xfId="3" applyNumberFormat="1" applyBorder="1"/>
    <xf numFmtId="4" fontId="12" fillId="0" borderId="0" xfId="3" applyNumberFormat="1" applyBorder="1" applyAlignment="1">
      <alignment horizontal="center"/>
    </xf>
    <xf numFmtId="49" fontId="14" fillId="0" borderId="0" xfId="3" applyNumberFormat="1" applyFont="1" applyBorder="1"/>
    <xf numFmtId="4" fontId="12" fillId="0" borderId="0" xfId="3" applyNumberFormat="1" applyFont="1" applyBorder="1"/>
    <xf numFmtId="4" fontId="14" fillId="0" borderId="0" xfId="3" applyNumberFormat="1" applyFont="1"/>
    <xf numFmtId="4" fontId="12" fillId="0" borderId="0" xfId="3" applyNumberFormat="1"/>
    <xf numFmtId="0" fontId="21" fillId="0" borderId="0" xfId="3" applyFont="1" applyBorder="1" applyAlignment="1">
      <alignment horizontal="center" vertical="top"/>
    </xf>
    <xf numFmtId="49" fontId="12" fillId="0" borderId="0" xfId="3" applyNumberFormat="1" applyBorder="1"/>
    <xf numFmtId="0" fontId="22" fillId="0" borderId="0" xfId="3" applyFont="1" applyBorder="1" applyAlignment="1">
      <alignment vertical="top"/>
    </xf>
    <xf numFmtId="4" fontId="12" fillId="0" borderId="0" xfId="3" applyNumberFormat="1" applyAlignment="1">
      <alignment horizontal="right"/>
    </xf>
    <xf numFmtId="49" fontId="12" fillId="0" borderId="0" xfId="3" applyNumberFormat="1"/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165" fontId="3" fillId="2" borderId="2" xfId="0" applyNumberFormat="1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164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/>
    </xf>
    <xf numFmtId="165" fontId="3" fillId="2" borderId="3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/>
    </xf>
    <xf numFmtId="0" fontId="20" fillId="0" borderId="0" xfId="3" applyFont="1" applyBorder="1" applyAlignment="1">
      <alignment horizontal="right"/>
    </xf>
    <xf numFmtId="4" fontId="14" fillId="0" borderId="0" xfId="3" applyNumberFormat="1" applyFont="1" applyBorder="1" applyAlignment="1">
      <alignment horizontal="right"/>
    </xf>
    <xf numFmtId="0" fontId="12" fillId="0" borderId="8" xfId="3" applyBorder="1" applyAlignment="1">
      <alignment wrapText="1"/>
    </xf>
    <xf numFmtId="0" fontId="12" fillId="0" borderId="10" xfId="3" applyBorder="1" applyAlignment="1">
      <alignment wrapText="1"/>
    </xf>
    <xf numFmtId="0" fontId="12" fillId="0" borderId="11" xfId="3" applyBorder="1" applyAlignment="1">
      <alignment wrapText="1"/>
    </xf>
    <xf numFmtId="0" fontId="12" fillId="0" borderId="12" xfId="3" applyBorder="1" applyAlignment="1">
      <alignment wrapText="1"/>
    </xf>
    <xf numFmtId="0" fontId="12" fillId="0" borderId="0" xfId="3" applyAlignment="1">
      <alignment wrapText="1"/>
    </xf>
    <xf numFmtId="0" fontId="12" fillId="0" borderId="13" xfId="3" applyBorder="1" applyAlignment="1">
      <alignment wrapText="1"/>
    </xf>
    <xf numFmtId="0" fontId="12" fillId="0" borderId="6" xfId="3" applyBorder="1" applyAlignment="1">
      <alignment wrapText="1"/>
    </xf>
    <xf numFmtId="0" fontId="20" fillId="0" borderId="0" xfId="3" applyFont="1" applyFill="1" applyBorder="1" applyAlignment="1">
      <alignment horizontal="right"/>
    </xf>
    <xf numFmtId="0" fontId="12" fillId="0" borderId="12" xfId="3" applyBorder="1" applyAlignment="1">
      <alignment horizontal="center" vertical="center"/>
    </xf>
    <xf numFmtId="0" fontId="12" fillId="0" borderId="0" xfId="3" applyBorder="1" applyAlignment="1">
      <alignment horizontal="center" vertical="center"/>
    </xf>
    <xf numFmtId="0" fontId="12" fillId="0" borderId="13" xfId="3" applyBorder="1" applyAlignment="1">
      <alignment horizontal="center" vertical="center"/>
    </xf>
    <xf numFmtId="0" fontId="12" fillId="0" borderId="14" xfId="3" applyBorder="1" applyAlignment="1">
      <alignment horizontal="center" vertical="center"/>
    </xf>
    <xf numFmtId="0" fontId="12" fillId="0" borderId="15" xfId="3" applyBorder="1" applyAlignment="1">
      <alignment horizontal="center" vertical="center"/>
    </xf>
    <xf numFmtId="0" fontId="12" fillId="0" borderId="2" xfId="3" applyBorder="1" applyAlignment="1">
      <alignment horizontal="center"/>
    </xf>
    <xf numFmtId="0" fontId="16" fillId="0" borderId="2" xfId="3" applyFont="1" applyBorder="1" applyAlignment="1">
      <alignment horizontal="center"/>
    </xf>
    <xf numFmtId="0" fontId="18" fillId="0" borderId="5" xfId="3" applyFont="1" applyBorder="1" applyAlignment="1">
      <alignment horizontal="left" vertical="top" wrapText="1"/>
    </xf>
    <xf numFmtId="0" fontId="18" fillId="0" borderId="6" xfId="3" applyFont="1" applyBorder="1" applyAlignment="1">
      <alignment horizontal="left" vertical="top" wrapText="1"/>
    </xf>
    <xf numFmtId="0" fontId="18" fillId="0" borderId="8" xfId="3" applyFont="1" applyBorder="1" applyAlignment="1">
      <alignment wrapText="1"/>
    </xf>
    <xf numFmtId="0" fontId="18" fillId="0" borderId="10" xfId="3" applyFont="1" applyBorder="1" applyAlignment="1">
      <alignment wrapText="1"/>
    </xf>
    <xf numFmtId="0" fontId="18" fillId="0" borderId="11" xfId="3" applyFont="1" applyBorder="1" applyAlignment="1">
      <alignment wrapText="1"/>
    </xf>
    <xf numFmtId="0" fontId="18" fillId="0" borderId="12" xfId="3" applyFont="1" applyBorder="1" applyAlignment="1">
      <alignment wrapText="1"/>
    </xf>
    <xf numFmtId="0" fontId="18" fillId="0" borderId="0" xfId="3" applyFont="1" applyBorder="1" applyAlignment="1">
      <alignment wrapText="1"/>
    </xf>
    <xf numFmtId="0" fontId="18" fillId="0" borderId="13" xfId="3" applyFont="1" applyBorder="1" applyAlignment="1">
      <alignment wrapText="1"/>
    </xf>
    <xf numFmtId="4" fontId="18" fillId="0" borderId="12" xfId="3" applyNumberFormat="1" applyFont="1" applyBorder="1" applyAlignment="1">
      <alignment vertical="top" wrapText="1"/>
    </xf>
    <xf numFmtId="0" fontId="18" fillId="0" borderId="13" xfId="3" applyFont="1" applyBorder="1" applyAlignment="1">
      <alignment vertical="top" wrapText="1"/>
    </xf>
    <xf numFmtId="0" fontId="18" fillId="0" borderId="12" xfId="3" applyFont="1" applyBorder="1" applyAlignment="1">
      <alignment vertical="top" wrapText="1"/>
    </xf>
    <xf numFmtId="0" fontId="12" fillId="0" borderId="6" xfId="3" applyBorder="1" applyAlignment="1">
      <alignment horizontal="center" vertical="center" wrapText="1"/>
    </xf>
    <xf numFmtId="0" fontId="12" fillId="0" borderId="8" xfId="3" applyBorder="1" applyAlignment="1">
      <alignment horizontal="center" vertical="center"/>
    </xf>
    <xf numFmtId="0" fontId="12" fillId="0" borderId="11" xfId="3" applyBorder="1" applyAlignment="1">
      <alignment horizontal="center" vertical="center"/>
    </xf>
    <xf numFmtId="0" fontId="13" fillId="0" borderId="0" xfId="3" applyFont="1" applyAlignment="1">
      <alignment horizontal="center"/>
    </xf>
    <xf numFmtId="0" fontId="14" fillId="0" borderId="0" xfId="3" applyFont="1" applyAlignment="1">
      <alignment horizontal="center"/>
    </xf>
    <xf numFmtId="0" fontId="14" fillId="0" borderId="0" xfId="3" applyFont="1" applyAlignment="1">
      <alignment horizontal="left" wrapText="1"/>
    </xf>
    <xf numFmtId="0" fontId="14" fillId="0" borderId="0" xfId="3" applyFont="1" applyAlignment="1">
      <alignment wrapText="1"/>
    </xf>
    <xf numFmtId="0" fontId="12" fillId="0" borderId="10" xfId="3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/>
    </xf>
    <xf numFmtId="4" fontId="10" fillId="0" borderId="7" xfId="0" applyNumberFormat="1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7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9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</cellXfs>
  <cellStyles count="11">
    <cellStyle name="_Приложения к договору 1618 -6РКЦ-17 03 06" xfId="4"/>
    <cellStyle name="Normal_Пиздец окончательный" xfId="5"/>
    <cellStyle name="Normale_Foglio1" xfId="6"/>
    <cellStyle name="Обычный" xfId="0" builtinId="0"/>
    <cellStyle name="Обычный 2" xfId="3"/>
    <cellStyle name="Обычный 5" xfId="2"/>
    <cellStyle name="Поз_цен" xfId="7"/>
    <cellStyle name="Стиль 1" xfId="8"/>
    <cellStyle name="Финансовый" xfId="1" builtinId="3"/>
    <cellStyle name="Финансовый 2" xfId="9"/>
    <cellStyle name="Финансовый 2 2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46"/>
  <sheetViews>
    <sheetView topLeftCell="A25" zoomScaleNormal="100" workbookViewId="0">
      <selection activeCell="E44" sqref="E44:G44"/>
    </sheetView>
  </sheetViews>
  <sheetFormatPr defaultRowHeight="12.75"/>
  <cols>
    <col min="1" max="1" width="5" style="8" customWidth="1"/>
    <col min="2" max="2" width="14.28515625" style="5" customWidth="1"/>
    <col min="3" max="3" width="51" style="10" customWidth="1"/>
    <col min="4" max="4" width="14.5703125" style="11" customWidth="1"/>
    <col min="5" max="5" width="13.85546875" style="11" customWidth="1"/>
    <col min="6" max="6" width="14.7109375" style="11" customWidth="1"/>
    <col min="7" max="7" width="16.28515625" style="11" customWidth="1"/>
    <col min="8" max="8" width="18.7109375" style="4" customWidth="1"/>
    <col min="9" max="16384" width="9.140625" style="12"/>
  </cols>
  <sheetData>
    <row r="1" spans="1:8">
      <c r="A1" s="178"/>
      <c r="B1" s="178"/>
      <c r="C1" s="179" t="s">
        <v>0</v>
      </c>
      <c r="D1" s="179"/>
      <c r="E1" s="179"/>
      <c r="F1" s="179"/>
      <c r="G1" s="179"/>
      <c r="H1" s="3"/>
    </row>
    <row r="2" spans="1:8">
      <c r="B2" s="8"/>
      <c r="C2" s="179" t="s">
        <v>28</v>
      </c>
      <c r="D2" s="179"/>
      <c r="E2" s="179"/>
      <c r="F2" s="179"/>
      <c r="G2" s="179"/>
      <c r="H2" s="179"/>
    </row>
    <row r="3" spans="1:8">
      <c r="B3" s="8"/>
      <c r="C3" s="180" t="s">
        <v>27</v>
      </c>
      <c r="D3" s="180"/>
      <c r="E3" s="180"/>
      <c r="F3" s="180"/>
      <c r="G3" s="180"/>
      <c r="H3" s="3"/>
    </row>
    <row r="4" spans="1:8">
      <c r="C4" s="181" t="s">
        <v>1</v>
      </c>
      <c r="D4" s="181"/>
      <c r="E4" s="181"/>
      <c r="F4" s="181"/>
      <c r="G4" s="181"/>
      <c r="H4" s="3"/>
    </row>
    <row r="5" spans="1:8">
      <c r="B5" s="172" t="s">
        <v>56</v>
      </c>
      <c r="C5" s="172"/>
      <c r="D5" s="172"/>
      <c r="E5" s="172"/>
      <c r="F5" s="172"/>
      <c r="G5" s="172"/>
      <c r="H5" s="172"/>
    </row>
    <row r="6" spans="1:8" ht="12.75" customHeight="1">
      <c r="A6" s="169" t="s">
        <v>2</v>
      </c>
      <c r="B6" s="175" t="s">
        <v>3</v>
      </c>
      <c r="C6" s="169" t="s">
        <v>4</v>
      </c>
      <c r="D6" s="176" t="s">
        <v>5</v>
      </c>
      <c r="E6" s="176"/>
      <c r="F6" s="176"/>
      <c r="G6" s="176"/>
      <c r="H6" s="177" t="s">
        <v>6</v>
      </c>
    </row>
    <row r="7" spans="1:8">
      <c r="A7" s="169"/>
      <c r="B7" s="175"/>
      <c r="C7" s="169"/>
      <c r="D7" s="169" t="s">
        <v>7</v>
      </c>
      <c r="E7" s="169" t="s">
        <v>8</v>
      </c>
      <c r="F7" s="169" t="s">
        <v>9</v>
      </c>
      <c r="G7" s="169" t="s">
        <v>15</v>
      </c>
      <c r="H7" s="177"/>
    </row>
    <row r="8" spans="1:8">
      <c r="A8" s="169"/>
      <c r="B8" s="175"/>
      <c r="C8" s="169"/>
      <c r="D8" s="169"/>
      <c r="E8" s="169"/>
      <c r="F8" s="169"/>
      <c r="G8" s="169"/>
      <c r="H8" s="177"/>
    </row>
    <row r="9" spans="1:8">
      <c r="A9" s="169"/>
      <c r="B9" s="175"/>
      <c r="C9" s="169"/>
      <c r="D9" s="169"/>
      <c r="E9" s="169"/>
      <c r="F9" s="169"/>
      <c r="G9" s="169"/>
      <c r="H9" s="177"/>
    </row>
    <row r="10" spans="1:8">
      <c r="A10" s="9">
        <v>1</v>
      </c>
      <c r="B10" s="13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  <c r="H10" s="17">
        <v>8</v>
      </c>
    </row>
    <row r="11" spans="1:8">
      <c r="A11" s="9"/>
      <c r="B11" s="170" t="s">
        <v>78</v>
      </c>
      <c r="C11" s="171"/>
      <c r="D11" s="18"/>
      <c r="E11" s="18"/>
      <c r="F11" s="18"/>
      <c r="G11" s="18"/>
      <c r="H11" s="18"/>
    </row>
    <row r="12" spans="1:8" ht="16.5" customHeight="1">
      <c r="A12" s="9">
        <v>1</v>
      </c>
      <c r="B12" s="6" t="s">
        <v>16</v>
      </c>
      <c r="C12" s="32" t="s">
        <v>58</v>
      </c>
      <c r="D12" s="14"/>
      <c r="E12" s="14">
        <v>1195.913</v>
      </c>
      <c r="F12" s="14">
        <v>12731.94</v>
      </c>
      <c r="G12" s="14"/>
      <c r="H12" s="18">
        <f>D12+E12+F12</f>
        <v>13927.853000000001</v>
      </c>
    </row>
    <row r="13" spans="1:8" ht="16.5" customHeight="1">
      <c r="A13" s="26">
        <v>2</v>
      </c>
      <c r="B13" s="6" t="s">
        <v>17</v>
      </c>
      <c r="C13" s="32" t="s">
        <v>59</v>
      </c>
      <c r="D13" s="14">
        <v>58.985999999999997</v>
      </c>
      <c r="E13" s="14">
        <v>44.537999999999997</v>
      </c>
      <c r="F13" s="14"/>
      <c r="G13" s="14"/>
      <c r="H13" s="18">
        <f t="shared" ref="H13:H19" si="0">D13+E13+F13</f>
        <v>103.524</v>
      </c>
    </row>
    <row r="14" spans="1:8" ht="16.5" customHeight="1">
      <c r="A14" s="9">
        <v>3</v>
      </c>
      <c r="B14" s="6" t="s">
        <v>18</v>
      </c>
      <c r="C14" s="32" t="s">
        <v>60</v>
      </c>
      <c r="D14" s="14"/>
      <c r="E14" s="14">
        <v>3529.3</v>
      </c>
      <c r="F14" s="14"/>
      <c r="G14" s="14"/>
      <c r="H14" s="18">
        <f t="shared" si="0"/>
        <v>3529.3</v>
      </c>
    </row>
    <row r="15" spans="1:8" ht="16.5" customHeight="1">
      <c r="A15" s="26">
        <v>4</v>
      </c>
      <c r="B15" s="6" t="s">
        <v>19</v>
      </c>
      <c r="C15" s="32" t="s">
        <v>61</v>
      </c>
      <c r="D15" s="14"/>
      <c r="E15" s="14">
        <v>573.154</v>
      </c>
      <c r="F15" s="14"/>
      <c r="G15" s="14"/>
      <c r="H15" s="18">
        <f t="shared" si="0"/>
        <v>573.154</v>
      </c>
    </row>
    <row r="16" spans="1:8" ht="16.5" customHeight="1">
      <c r="A16" s="9">
        <v>5</v>
      </c>
      <c r="B16" s="6" t="s">
        <v>20</v>
      </c>
      <c r="C16" s="32" t="s">
        <v>62</v>
      </c>
      <c r="D16" s="14">
        <v>230.858</v>
      </c>
      <c r="E16" s="14"/>
      <c r="F16" s="14"/>
      <c r="G16" s="14"/>
      <c r="H16" s="18">
        <f t="shared" si="0"/>
        <v>230.858</v>
      </c>
    </row>
    <row r="17" spans="1:9" ht="16.5" customHeight="1">
      <c r="A17" s="26">
        <v>6</v>
      </c>
      <c r="B17" s="6" t="s">
        <v>21</v>
      </c>
      <c r="C17" s="32" t="s">
        <v>63</v>
      </c>
      <c r="D17" s="14">
        <v>2726.9560000000001</v>
      </c>
      <c r="E17" s="14">
        <v>35.700000000000003</v>
      </c>
      <c r="F17" s="14"/>
      <c r="G17" s="14"/>
      <c r="H17" s="18">
        <f t="shared" si="0"/>
        <v>2762.6559999999999</v>
      </c>
    </row>
    <row r="18" spans="1:9" ht="16.5" customHeight="1">
      <c r="A18" s="9">
        <v>7</v>
      </c>
      <c r="B18" s="6" t="s">
        <v>22</v>
      </c>
      <c r="C18" s="32" t="s">
        <v>64</v>
      </c>
      <c r="D18" s="14"/>
      <c r="E18" s="14">
        <v>30.850999999999999</v>
      </c>
      <c r="F18" s="14">
        <v>100.011</v>
      </c>
      <c r="G18" s="14"/>
      <c r="H18" s="18">
        <f t="shared" si="0"/>
        <v>130.86199999999999</v>
      </c>
    </row>
    <row r="19" spans="1:9" ht="16.5" customHeight="1">
      <c r="A19" s="26">
        <v>8</v>
      </c>
      <c r="B19" s="6" t="s">
        <v>23</v>
      </c>
      <c r="C19" s="32" t="s">
        <v>65</v>
      </c>
      <c r="D19" s="14"/>
      <c r="E19" s="14">
        <v>569.351</v>
      </c>
      <c r="F19" s="14">
        <v>7198.3590000000004</v>
      </c>
      <c r="G19" s="14"/>
      <c r="H19" s="18">
        <f t="shared" si="0"/>
        <v>7767.71</v>
      </c>
    </row>
    <row r="20" spans="1:9" ht="16.5" customHeight="1">
      <c r="A20" s="9">
        <v>9</v>
      </c>
      <c r="B20" s="6" t="s">
        <v>24</v>
      </c>
      <c r="C20" s="32" t="s">
        <v>66</v>
      </c>
      <c r="D20" s="14">
        <v>403.75</v>
      </c>
      <c r="E20" s="14">
        <v>869.01199999999994</v>
      </c>
      <c r="F20" s="14">
        <v>2464.09</v>
      </c>
      <c r="G20" s="14"/>
      <c r="H20" s="18">
        <f>D20+E20+F20</f>
        <v>3736.8519999999999</v>
      </c>
      <c r="I20" s="33"/>
    </row>
    <row r="21" spans="1:9" ht="16.5" customHeight="1">
      <c r="A21" s="26">
        <v>10</v>
      </c>
      <c r="B21" s="34" t="s">
        <v>79</v>
      </c>
      <c r="C21" s="35" t="s">
        <v>67</v>
      </c>
      <c r="D21" s="36">
        <v>822.65599999999995</v>
      </c>
      <c r="E21" s="36"/>
      <c r="F21" s="36"/>
      <c r="G21" s="36"/>
      <c r="H21" s="18">
        <f t="shared" ref="H21" si="1">D21+E21+F21</f>
        <v>822.65599999999995</v>
      </c>
    </row>
    <row r="22" spans="1:9">
      <c r="A22" s="20"/>
      <c r="B22" s="24"/>
      <c r="C22" s="37" t="s">
        <v>25</v>
      </c>
      <c r="D22" s="23">
        <f>SUM(D12:D21)</f>
        <v>4243.2060000000001</v>
      </c>
      <c r="E22" s="23">
        <f>SUM(E12:E21)</f>
        <v>6847.8189999999995</v>
      </c>
      <c r="F22" s="23">
        <f>SUM(F12:F21)</f>
        <v>22494.400000000001</v>
      </c>
      <c r="G22" s="23">
        <f>SUM(G12:G21)</f>
        <v>0</v>
      </c>
      <c r="H22" s="30">
        <f>SUM(H12:H21)</f>
        <v>33585.424999999996</v>
      </c>
    </row>
    <row r="23" spans="1:9">
      <c r="A23" s="79"/>
      <c r="B23" s="159"/>
      <c r="C23" s="160" t="s">
        <v>168</v>
      </c>
      <c r="D23" s="38"/>
      <c r="E23" s="38"/>
      <c r="F23" s="38"/>
      <c r="G23" s="38"/>
      <c r="H23" s="38"/>
    </row>
    <row r="24" spans="1:9" ht="38.25">
      <c r="A24" s="79">
        <v>11</v>
      </c>
      <c r="B24" s="161" t="s">
        <v>10</v>
      </c>
      <c r="C24" s="162" t="s">
        <v>11</v>
      </c>
      <c r="D24" s="39">
        <f>D22*0.039</f>
        <v>165.48503400000001</v>
      </c>
      <c r="E24" s="39">
        <f>E22*0.039</f>
        <v>267.06494099999998</v>
      </c>
      <c r="F24" s="39">
        <f>F22*0.039</f>
        <v>877.28160000000003</v>
      </c>
      <c r="G24" s="39">
        <f>G22*0.039</f>
        <v>0</v>
      </c>
      <c r="H24" s="39">
        <f>SUM(D24:G24)</f>
        <v>1309.8315750000002</v>
      </c>
    </row>
    <row r="25" spans="1:9">
      <c r="A25" s="79"/>
      <c r="B25" s="161"/>
      <c r="C25" s="163" t="s">
        <v>169</v>
      </c>
      <c r="D25" s="38">
        <f>D24</f>
        <v>165.48503400000001</v>
      </c>
      <c r="E25" s="38">
        <f>E24</f>
        <v>267.06494099999998</v>
      </c>
      <c r="F25" s="38">
        <f>F3+F24</f>
        <v>877.28160000000003</v>
      </c>
      <c r="G25" s="38">
        <f>G3+G24</f>
        <v>0</v>
      </c>
      <c r="H25" s="38">
        <f>H24</f>
        <v>1309.8315750000002</v>
      </c>
    </row>
    <row r="26" spans="1:9">
      <c r="A26" s="79"/>
      <c r="B26" s="161"/>
      <c r="C26" s="163" t="s">
        <v>170</v>
      </c>
      <c r="D26" s="38">
        <f>D22+D25</f>
        <v>4408.6910340000004</v>
      </c>
      <c r="E26" s="38">
        <f>E22+E25</f>
        <v>7114.8839409999991</v>
      </c>
      <c r="F26" s="38">
        <f>F22+F25</f>
        <v>23371.6816</v>
      </c>
      <c r="G26" s="38">
        <f>G22+G25</f>
        <v>0</v>
      </c>
      <c r="H26" s="38">
        <f>H22+H25</f>
        <v>34895.256574999992</v>
      </c>
    </row>
    <row r="27" spans="1:9" s="15" customFormat="1" ht="15" customHeight="1">
      <c r="A27" s="26"/>
      <c r="B27" s="173" t="s">
        <v>57</v>
      </c>
      <c r="C27" s="174"/>
      <c r="D27" s="38"/>
      <c r="E27" s="38"/>
      <c r="F27" s="38"/>
      <c r="G27" s="38"/>
      <c r="H27" s="18"/>
    </row>
    <row r="28" spans="1:9" s="15" customFormat="1">
      <c r="A28" s="26">
        <v>12</v>
      </c>
      <c r="B28" s="6" t="s">
        <v>72</v>
      </c>
      <c r="C28" s="12" t="s">
        <v>68</v>
      </c>
      <c r="D28" s="38"/>
      <c r="E28" s="38"/>
      <c r="F28" s="38"/>
      <c r="G28" s="39">
        <v>594.54399999999998</v>
      </c>
      <c r="H28" s="18">
        <f>G28</f>
        <v>594.54399999999998</v>
      </c>
    </row>
    <row r="29" spans="1:9" s="15" customFormat="1">
      <c r="A29" s="26">
        <v>13</v>
      </c>
      <c r="B29" s="6" t="s">
        <v>73</v>
      </c>
      <c r="C29" s="7" t="s">
        <v>69</v>
      </c>
      <c r="D29" s="18"/>
      <c r="E29" s="18"/>
      <c r="F29" s="18"/>
      <c r="G29" s="14">
        <v>2905.3020000000001</v>
      </c>
      <c r="H29" s="18">
        <f>G29</f>
        <v>2905.3020000000001</v>
      </c>
    </row>
    <row r="30" spans="1:9" s="15" customFormat="1">
      <c r="A30" s="26">
        <v>14</v>
      </c>
      <c r="B30" s="6" t="s">
        <v>74</v>
      </c>
      <c r="C30" s="7" t="s">
        <v>70</v>
      </c>
      <c r="D30" s="18"/>
      <c r="E30" s="18"/>
      <c r="F30" s="18"/>
      <c r="G30" s="14">
        <v>292.59500000000003</v>
      </c>
      <c r="H30" s="18">
        <f>G30</f>
        <v>292.59500000000003</v>
      </c>
    </row>
    <row r="31" spans="1:9" s="15" customFormat="1">
      <c r="A31" s="26">
        <v>15</v>
      </c>
      <c r="B31" s="6" t="s">
        <v>75</v>
      </c>
      <c r="C31" s="7" t="s">
        <v>71</v>
      </c>
      <c r="D31" s="18"/>
      <c r="E31" s="18"/>
      <c r="F31" s="18"/>
      <c r="G31" s="14">
        <v>620.72199999999998</v>
      </c>
      <c r="H31" s="18">
        <f>G31</f>
        <v>620.72199999999998</v>
      </c>
    </row>
    <row r="32" spans="1:9" ht="29.25" customHeight="1">
      <c r="A32" s="26">
        <v>16</v>
      </c>
      <c r="B32" s="16" t="s">
        <v>12</v>
      </c>
      <c r="C32" s="19" t="s">
        <v>13</v>
      </c>
      <c r="D32" s="14">
        <f>D26*0.00756</f>
        <v>33.329704217040003</v>
      </c>
      <c r="E32" s="14">
        <f>E26*0.00756</f>
        <v>53.788522593959989</v>
      </c>
      <c r="F32" s="14">
        <v>0</v>
      </c>
      <c r="G32" s="14">
        <v>0</v>
      </c>
      <c r="H32" s="18">
        <f>D32+E32</f>
        <v>87.118226811</v>
      </c>
    </row>
    <row r="33" spans="1:8">
      <c r="A33" s="40"/>
      <c r="B33" s="21"/>
      <c r="C33" s="22" t="s">
        <v>76</v>
      </c>
      <c r="D33" s="23">
        <f>SUM(D28:D32)</f>
        <v>33.329704217040003</v>
      </c>
      <c r="E33" s="23">
        <f>SUM(E28:E32)</f>
        <v>53.788522593959989</v>
      </c>
      <c r="F33" s="23">
        <f>SUM(F28:F32)</f>
        <v>0</v>
      </c>
      <c r="G33" s="23">
        <f>SUM(G28:G32)</f>
        <v>4413.1629999999996</v>
      </c>
      <c r="H33" s="23">
        <f>SUM(H28:H32)</f>
        <v>4500.2812268109992</v>
      </c>
    </row>
    <row r="34" spans="1:8" ht="15.75" customHeight="1">
      <c r="A34" s="40"/>
      <c r="B34" s="41"/>
      <c r="C34" s="22" t="s">
        <v>77</v>
      </c>
      <c r="D34" s="23">
        <f>D26+D33</f>
        <v>4442.0207382170402</v>
      </c>
      <c r="E34" s="23">
        <f>E26+E33</f>
        <v>7168.672463593959</v>
      </c>
      <c r="F34" s="23">
        <f>F26+F33</f>
        <v>23371.6816</v>
      </c>
      <c r="G34" s="23">
        <f>G26+G33</f>
        <v>4413.1629999999996</v>
      </c>
      <c r="H34" s="23">
        <f>H26+H33</f>
        <v>39395.537801810991</v>
      </c>
    </row>
    <row r="35" spans="1:8">
      <c r="A35" s="79"/>
      <c r="B35" s="161"/>
      <c r="C35" s="160" t="s">
        <v>171</v>
      </c>
      <c r="D35" s="39"/>
      <c r="E35" s="39"/>
      <c r="F35" s="39"/>
      <c r="G35" s="39"/>
      <c r="H35" s="39"/>
    </row>
    <row r="36" spans="1:8">
      <c r="A36" s="79">
        <v>17</v>
      </c>
      <c r="B36" s="161"/>
      <c r="C36" s="164" t="s">
        <v>172</v>
      </c>
      <c r="D36" s="39">
        <v>0</v>
      </c>
      <c r="E36" s="39">
        <v>0</v>
      </c>
      <c r="F36" s="39">
        <v>0</v>
      </c>
      <c r="G36" s="39">
        <f>ПИР!H65/1000</f>
        <v>2036.0633296621027</v>
      </c>
      <c r="H36" s="39">
        <f>SUM(D36:G36)</f>
        <v>2036.0633296621027</v>
      </c>
    </row>
    <row r="37" spans="1:8">
      <c r="A37" s="79"/>
      <c r="B37" s="161"/>
      <c r="C37" s="163" t="s">
        <v>173</v>
      </c>
      <c r="D37" s="38">
        <f>D36</f>
        <v>0</v>
      </c>
      <c r="E37" s="38">
        <f>E36</f>
        <v>0</v>
      </c>
      <c r="F37" s="38">
        <f>F31+F36</f>
        <v>0</v>
      </c>
      <c r="G37" s="38">
        <f>G36</f>
        <v>2036.0633296621027</v>
      </c>
      <c r="H37" s="38">
        <f>H36</f>
        <v>2036.0633296621027</v>
      </c>
    </row>
    <row r="38" spans="1:8">
      <c r="A38" s="79"/>
      <c r="B38" s="165"/>
      <c r="C38" s="163" t="s">
        <v>174</v>
      </c>
      <c r="D38" s="38">
        <f>D34+D37</f>
        <v>4442.0207382170402</v>
      </c>
      <c r="E38" s="38">
        <f>E34+E37</f>
        <v>7168.672463593959</v>
      </c>
      <c r="F38" s="38">
        <f>F34+F37</f>
        <v>23371.6816</v>
      </c>
      <c r="G38" s="38">
        <f>G34+G37</f>
        <v>6449.2263296621022</v>
      </c>
      <c r="H38" s="38">
        <f>H34+H37</f>
        <v>41431.601131473093</v>
      </c>
    </row>
    <row r="39" spans="1:8" ht="25.5">
      <c r="A39" s="26"/>
      <c r="B39" s="16" t="s">
        <v>14</v>
      </c>
      <c r="C39" s="42" t="s">
        <v>175</v>
      </c>
      <c r="D39" s="18">
        <f>D38*0.03</f>
        <v>133.2606221465112</v>
      </c>
      <c r="E39" s="18">
        <f>E38*0.03</f>
        <v>215.06017390781875</v>
      </c>
      <c r="F39" s="18">
        <f>F38*0.03</f>
        <v>701.15044799999998</v>
      </c>
      <c r="G39" s="18">
        <f>G38*0.03</f>
        <v>193.47678988986306</v>
      </c>
      <c r="H39" s="18">
        <f>H38*0.03</f>
        <v>1242.9480339441927</v>
      </c>
    </row>
    <row r="40" spans="1:8" ht="15" customHeight="1">
      <c r="A40" s="20"/>
      <c r="B40" s="21"/>
      <c r="C40" s="22" t="s">
        <v>80</v>
      </c>
      <c r="D40" s="27">
        <f>SUM(D38:D39)</f>
        <v>4575.2813603635514</v>
      </c>
      <c r="E40" s="27">
        <f>SUM(E38:E39)</f>
        <v>7383.7326375017774</v>
      </c>
      <c r="F40" s="27">
        <f>SUM(F38:F39)</f>
        <v>24072.832048</v>
      </c>
      <c r="G40" s="27">
        <f>SUM(G38:G39)</f>
        <v>6642.7031195519648</v>
      </c>
      <c r="H40" s="27">
        <f>SUM(H38:H39)</f>
        <v>42674.549165417287</v>
      </c>
    </row>
    <row r="41" spans="1:8" ht="15" customHeight="1">
      <c r="A41" s="20"/>
      <c r="B41" s="21"/>
      <c r="C41" s="22" t="s">
        <v>177</v>
      </c>
      <c r="D41" s="28">
        <f>D40*0.18</f>
        <v>823.55064486543927</v>
      </c>
      <c r="E41" s="28">
        <f>E40*0.18</f>
        <v>1329.0718747503199</v>
      </c>
      <c r="F41" s="28">
        <f>F40*0.18</f>
        <v>4333.1097686399999</v>
      </c>
      <c r="G41" s="28">
        <f>G40*0.18</f>
        <v>1195.6865615193535</v>
      </c>
      <c r="H41" s="28">
        <f>H40*0.18</f>
        <v>7681.4188497751111</v>
      </c>
    </row>
    <row r="42" spans="1:8" ht="15" customHeight="1">
      <c r="A42" s="20"/>
      <c r="B42" s="24"/>
      <c r="C42" s="25" t="s">
        <v>26</v>
      </c>
      <c r="D42" s="29">
        <f>SUM(D40:D41)</f>
        <v>5398.832005228991</v>
      </c>
      <c r="E42" s="29">
        <f>SUM(E40:E41)</f>
        <v>8712.804512252098</v>
      </c>
      <c r="F42" s="29">
        <f>SUM(F40:F41)</f>
        <v>28405.941816639999</v>
      </c>
      <c r="G42" s="29">
        <f>SUM(G40:G41)</f>
        <v>7838.3896810713186</v>
      </c>
      <c r="H42" s="27">
        <f>SUM(H40:H41)</f>
        <v>50355.968015192397</v>
      </c>
    </row>
    <row r="43" spans="1:8">
      <c r="C43" s="1"/>
      <c r="D43" s="167"/>
      <c r="E43" s="168"/>
      <c r="F43" s="168"/>
      <c r="G43" s="168"/>
    </row>
    <row r="44" spans="1:8">
      <c r="C44" s="47" t="s">
        <v>84</v>
      </c>
      <c r="E44" s="2">
        <f>D40+E40</f>
        <v>11959.013997865328</v>
      </c>
      <c r="F44" s="31">
        <f>F40</f>
        <v>24072.832048</v>
      </c>
      <c r="G44" s="31">
        <f>(G28+G29+G30+G31)*1.03</f>
        <v>4545.55789</v>
      </c>
      <c r="H44" s="46" t="s">
        <v>83</v>
      </c>
    </row>
    <row r="45" spans="1:8">
      <c r="E45" s="11" t="s">
        <v>35</v>
      </c>
      <c r="F45" s="11" t="s">
        <v>48</v>
      </c>
      <c r="G45" s="31">
        <f>G36*1.03</f>
        <v>2097.1452295519657</v>
      </c>
      <c r="H45" s="46" t="s">
        <v>34</v>
      </c>
    </row>
    <row r="46" spans="1:8">
      <c r="G46" s="166"/>
      <c r="H46" s="12"/>
    </row>
  </sheetData>
  <mergeCells count="18">
    <mergeCell ref="A1:B1"/>
    <mergeCell ref="C1:G1"/>
    <mergeCell ref="C3:G3"/>
    <mergeCell ref="C4:G4"/>
    <mergeCell ref="C2:H2"/>
    <mergeCell ref="B11:C11"/>
    <mergeCell ref="B5:H5"/>
    <mergeCell ref="B27:C27"/>
    <mergeCell ref="A6:A9"/>
    <mergeCell ref="B6:B9"/>
    <mergeCell ref="C6:C9"/>
    <mergeCell ref="D6:G6"/>
    <mergeCell ref="H6:H9"/>
    <mergeCell ref="D43:G43"/>
    <mergeCell ref="D7:D9"/>
    <mergeCell ref="E7:E9"/>
    <mergeCell ref="F7:F9"/>
    <mergeCell ref="G7:G9"/>
  </mergeCells>
  <pageMargins left="0.25" right="0.25" top="0.75" bottom="0.75" header="0.3" footer="0.3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174"/>
  <sheetViews>
    <sheetView topLeftCell="A64" zoomScaleNormal="100" zoomScaleSheetLayoutView="100" workbookViewId="0">
      <selection activeCell="G65" sqref="G65"/>
    </sheetView>
  </sheetViews>
  <sheetFormatPr defaultRowHeight="12.75"/>
  <cols>
    <col min="1" max="1" width="4" style="81" customWidth="1"/>
    <col min="2" max="2" width="30.5703125" style="81" customWidth="1"/>
    <col min="3" max="3" width="2.42578125" style="81" customWidth="1"/>
    <col min="4" max="4" width="5.5703125" style="82" customWidth="1"/>
    <col min="5" max="5" width="31.85546875" style="81" customWidth="1"/>
    <col min="6" max="6" width="13.7109375" style="81" customWidth="1"/>
    <col min="7" max="7" width="13.28515625" style="81" customWidth="1"/>
    <col min="8" max="8" width="16.28515625" style="84" customWidth="1"/>
    <col min="9" max="9" width="18.7109375" style="81" customWidth="1"/>
    <col min="10" max="10" width="16.7109375" style="81" customWidth="1"/>
    <col min="11" max="11" width="16" style="81" customWidth="1"/>
    <col min="12" max="12" width="11.42578125" style="81" customWidth="1"/>
    <col min="13" max="15" width="10.28515625" style="81" customWidth="1"/>
    <col min="16" max="16" width="12.85546875" style="81" customWidth="1"/>
    <col min="17" max="17" width="15.28515625" style="81" customWidth="1"/>
    <col min="18" max="16384" width="9.140625" style="81"/>
  </cols>
  <sheetData>
    <row r="1" spans="1:12" ht="15" customHeight="1">
      <c r="A1" s="213" t="s">
        <v>95</v>
      </c>
      <c r="B1" s="213"/>
      <c r="C1" s="213"/>
      <c r="D1" s="213"/>
      <c r="E1" s="213"/>
      <c r="F1" s="213"/>
      <c r="G1" s="213"/>
      <c r="H1" s="213"/>
    </row>
    <row r="2" spans="1:12" ht="13.5" customHeight="1">
      <c r="A2" s="214" t="s">
        <v>96</v>
      </c>
      <c r="B2" s="214"/>
      <c r="C2" s="214"/>
      <c r="D2" s="214"/>
      <c r="E2" s="214"/>
      <c r="F2" s="214"/>
      <c r="G2" s="214"/>
      <c r="H2" s="214"/>
    </row>
    <row r="3" spans="1:12" ht="12" customHeight="1">
      <c r="E3" s="83"/>
    </row>
    <row r="4" spans="1:12" ht="13.15" customHeight="1">
      <c r="A4" s="81" t="s">
        <v>97</v>
      </c>
      <c r="E4" s="215" t="s">
        <v>82</v>
      </c>
      <c r="F4" s="215"/>
      <c r="G4" s="215"/>
      <c r="H4" s="215"/>
      <c r="I4" s="85"/>
      <c r="J4" s="85"/>
      <c r="K4" s="85"/>
      <c r="L4" s="85"/>
    </row>
    <row r="5" spans="1:12">
      <c r="A5" s="81" t="s">
        <v>98</v>
      </c>
      <c r="E5" s="215"/>
      <c r="F5" s="215"/>
      <c r="G5" s="215"/>
      <c r="H5" s="215"/>
      <c r="I5" s="85"/>
      <c r="J5" s="85"/>
      <c r="K5" s="85"/>
      <c r="L5" s="85"/>
    </row>
    <row r="6" spans="1:12">
      <c r="A6" s="86" t="s">
        <v>99</v>
      </c>
      <c r="B6" s="86"/>
      <c r="C6" s="86"/>
      <c r="D6" s="87"/>
      <c r="E6" s="215"/>
      <c r="F6" s="215"/>
      <c r="G6" s="215"/>
      <c r="H6" s="215"/>
      <c r="I6" s="85"/>
      <c r="J6" s="85"/>
      <c r="K6" s="85"/>
      <c r="L6" s="85"/>
    </row>
    <row r="7" spans="1:12">
      <c r="A7" s="86"/>
      <c r="B7" s="86"/>
      <c r="C7" s="86"/>
      <c r="D7" s="87"/>
      <c r="E7" s="88"/>
      <c r="F7" s="88"/>
      <c r="G7" s="88"/>
      <c r="H7" s="88"/>
    </row>
    <row r="8" spans="1:12">
      <c r="A8" s="89" t="s">
        <v>100</v>
      </c>
      <c r="B8" s="89"/>
      <c r="C8" s="89"/>
      <c r="D8" s="90"/>
      <c r="E8" s="216"/>
      <c r="F8" s="188"/>
      <c r="G8" s="188"/>
      <c r="H8" s="188"/>
    </row>
    <row r="9" spans="1:12">
      <c r="A9" s="89" t="s">
        <v>101</v>
      </c>
      <c r="B9" s="89"/>
      <c r="C9" s="89"/>
      <c r="D9" s="90"/>
      <c r="E9" s="188"/>
      <c r="F9" s="188"/>
      <c r="G9" s="188"/>
      <c r="H9" s="188"/>
    </row>
    <row r="10" spans="1:12">
      <c r="A10" s="89"/>
      <c r="B10" s="89"/>
      <c r="C10" s="89"/>
      <c r="D10" s="90"/>
      <c r="E10" s="89"/>
      <c r="F10" s="89"/>
      <c r="G10" s="89"/>
      <c r="H10" s="91"/>
    </row>
    <row r="11" spans="1:12">
      <c r="A11" s="89" t="s">
        <v>102</v>
      </c>
      <c r="B11" s="89"/>
      <c r="C11" s="89"/>
      <c r="D11" s="90"/>
      <c r="E11" s="92"/>
      <c r="F11" s="89"/>
      <c r="G11" s="89"/>
      <c r="H11" s="91"/>
    </row>
    <row r="12" spans="1:12">
      <c r="C12" s="89"/>
      <c r="D12" s="90"/>
      <c r="E12" s="86"/>
      <c r="F12" s="89"/>
      <c r="G12" s="89"/>
      <c r="H12" s="89"/>
    </row>
    <row r="13" spans="1:12">
      <c r="A13" s="93" t="s">
        <v>103</v>
      </c>
      <c r="B13" s="94" t="s">
        <v>104</v>
      </c>
      <c r="C13" s="211" t="s">
        <v>105</v>
      </c>
      <c r="D13" s="217"/>
      <c r="E13" s="212"/>
      <c r="F13" s="211" t="s">
        <v>106</v>
      </c>
      <c r="G13" s="212"/>
      <c r="H13" s="93" t="s">
        <v>107</v>
      </c>
    </row>
    <row r="14" spans="1:12" ht="15">
      <c r="A14" s="95" t="s">
        <v>108</v>
      </c>
      <c r="B14" s="96" t="s">
        <v>109</v>
      </c>
      <c r="C14" s="192" t="s">
        <v>110</v>
      </c>
      <c r="D14" s="193"/>
      <c r="E14" s="194"/>
      <c r="F14" s="192" t="s">
        <v>111</v>
      </c>
      <c r="G14" s="194"/>
      <c r="H14" s="95" t="s">
        <v>112</v>
      </c>
    </row>
    <row r="15" spans="1:12">
      <c r="A15" s="95"/>
      <c r="B15" s="96" t="s">
        <v>113</v>
      </c>
      <c r="C15" s="192" t="s">
        <v>114</v>
      </c>
      <c r="D15" s="193"/>
      <c r="E15" s="194"/>
      <c r="F15" s="192" t="s">
        <v>115</v>
      </c>
      <c r="G15" s="194"/>
      <c r="H15" s="210" t="s">
        <v>116</v>
      </c>
    </row>
    <row r="16" spans="1:12">
      <c r="A16" s="95"/>
      <c r="B16" s="96" t="s">
        <v>117</v>
      </c>
      <c r="C16" s="192" t="s">
        <v>118</v>
      </c>
      <c r="D16" s="193"/>
      <c r="E16" s="194"/>
      <c r="F16" s="195" t="s">
        <v>119</v>
      </c>
      <c r="G16" s="196"/>
      <c r="H16" s="210"/>
    </row>
    <row r="17" spans="1:18">
      <c r="A17" s="95"/>
      <c r="B17" s="96" t="s">
        <v>120</v>
      </c>
      <c r="C17" s="192" t="s">
        <v>121</v>
      </c>
      <c r="D17" s="193"/>
      <c r="E17" s="194"/>
      <c r="F17" s="211" t="s">
        <v>122</v>
      </c>
      <c r="G17" s="212"/>
      <c r="H17" s="210"/>
      <c r="K17" s="89"/>
      <c r="L17" s="89"/>
      <c r="M17" s="89"/>
      <c r="N17" s="89"/>
      <c r="O17" s="89"/>
      <c r="P17" s="89"/>
      <c r="Q17" s="89"/>
      <c r="R17" s="89"/>
    </row>
    <row r="18" spans="1:18" s="89" customFormat="1">
      <c r="A18" s="95"/>
      <c r="B18" s="96"/>
      <c r="C18" s="192" t="s">
        <v>123</v>
      </c>
      <c r="D18" s="193"/>
      <c r="E18" s="194"/>
      <c r="F18" s="195" t="s">
        <v>124</v>
      </c>
      <c r="G18" s="196"/>
      <c r="H18" s="95"/>
      <c r="K18" s="81"/>
      <c r="L18" s="81"/>
      <c r="M18" s="81"/>
      <c r="N18" s="81"/>
      <c r="O18" s="81"/>
      <c r="P18" s="81"/>
      <c r="Q18" s="81"/>
      <c r="R18" s="81"/>
    </row>
    <row r="19" spans="1:18">
      <c r="A19" s="97">
        <v>1</v>
      </c>
      <c r="B19" s="97">
        <v>2</v>
      </c>
      <c r="C19" s="197">
        <v>3</v>
      </c>
      <c r="D19" s="197"/>
      <c r="E19" s="197"/>
      <c r="F19" s="197">
        <v>4</v>
      </c>
      <c r="G19" s="197"/>
      <c r="H19" s="97">
        <v>5</v>
      </c>
    </row>
    <row r="20" spans="1:18" ht="21" customHeight="1">
      <c r="A20" s="198" t="s">
        <v>125</v>
      </c>
      <c r="B20" s="198"/>
      <c r="C20" s="198"/>
      <c r="D20" s="198"/>
      <c r="E20" s="198"/>
      <c r="F20" s="198"/>
      <c r="G20" s="198"/>
      <c r="H20" s="198"/>
      <c r="I20" s="98"/>
      <c r="J20" s="89"/>
      <c r="K20" s="89"/>
      <c r="L20" s="89"/>
    </row>
    <row r="21" spans="1:18" ht="21.75" customHeight="1">
      <c r="A21" s="99">
        <v>1</v>
      </c>
      <c r="B21" s="199" t="s">
        <v>126</v>
      </c>
      <c r="C21" s="201" t="s">
        <v>127</v>
      </c>
      <c r="D21" s="202"/>
      <c r="E21" s="203"/>
      <c r="F21" s="100" t="s">
        <v>128</v>
      </c>
      <c r="G21" s="101"/>
      <c r="H21" s="102"/>
      <c r="I21" s="98"/>
      <c r="J21" s="89"/>
      <c r="K21" s="89"/>
      <c r="L21" s="89"/>
    </row>
    <row r="22" spans="1:18" ht="21" customHeight="1">
      <c r="A22" s="103"/>
      <c r="B22" s="200"/>
      <c r="C22" s="204"/>
      <c r="D22" s="205"/>
      <c r="E22" s="206"/>
      <c r="F22" s="207" t="s">
        <v>129</v>
      </c>
      <c r="G22" s="208"/>
      <c r="H22" s="104">
        <f>52219110/3.64*0.08944*3.83*1.7*0.104</f>
        <v>868842.20110806846</v>
      </c>
      <c r="I22" s="98"/>
      <c r="J22" s="89"/>
      <c r="K22" s="89"/>
      <c r="L22" s="89"/>
    </row>
    <row r="23" spans="1:18">
      <c r="A23" s="103"/>
      <c r="B23" s="200"/>
      <c r="C23" s="105" t="s">
        <v>130</v>
      </c>
      <c r="D23" s="106"/>
      <c r="E23" s="107"/>
      <c r="F23" s="209"/>
      <c r="G23" s="208"/>
      <c r="H23" s="104"/>
      <c r="I23" s="98"/>
      <c r="J23" s="89"/>
      <c r="K23" s="89"/>
      <c r="L23" s="89"/>
    </row>
    <row r="24" spans="1:18">
      <c r="A24" s="103"/>
      <c r="B24" s="200"/>
      <c r="C24" s="108" t="s">
        <v>131</v>
      </c>
      <c r="D24" s="106">
        <v>0.4</v>
      </c>
      <c r="E24" s="107" t="s">
        <v>132</v>
      </c>
      <c r="F24" s="109"/>
      <c r="G24" s="110"/>
      <c r="H24" s="104"/>
      <c r="I24" s="98"/>
      <c r="J24" s="89"/>
      <c r="K24" s="89"/>
      <c r="L24" s="89"/>
    </row>
    <row r="25" spans="1:18">
      <c r="A25" s="103"/>
      <c r="B25" s="200"/>
      <c r="C25" s="108" t="s">
        <v>131</v>
      </c>
      <c r="D25" s="106">
        <v>0.6</v>
      </c>
      <c r="E25" s="107" t="s">
        <v>133</v>
      </c>
      <c r="G25" s="110"/>
      <c r="H25" s="104"/>
      <c r="I25" s="98"/>
      <c r="J25" s="89"/>
      <c r="K25" s="89"/>
      <c r="L25" s="89"/>
    </row>
    <row r="26" spans="1:18">
      <c r="A26" s="103"/>
      <c r="B26" s="200"/>
      <c r="C26" s="108" t="s">
        <v>134</v>
      </c>
      <c r="D26" s="106"/>
      <c r="E26" s="107"/>
      <c r="F26" s="109" t="s">
        <v>135</v>
      </c>
      <c r="G26" s="110"/>
      <c r="H26" s="104"/>
      <c r="I26" s="98"/>
      <c r="J26" s="89"/>
      <c r="K26" s="89"/>
      <c r="L26" s="89"/>
    </row>
    <row r="27" spans="1:18">
      <c r="A27" s="103"/>
      <c r="B27" s="200"/>
      <c r="C27" s="108" t="s">
        <v>136</v>
      </c>
      <c r="D27" s="106"/>
      <c r="E27" s="107"/>
      <c r="F27" s="109"/>
      <c r="G27" s="110"/>
      <c r="H27" s="104"/>
      <c r="I27" s="98"/>
      <c r="J27" s="89"/>
      <c r="K27" s="89"/>
      <c r="L27" s="89"/>
    </row>
    <row r="28" spans="1:18" ht="24.75" customHeight="1">
      <c r="A28" s="103"/>
      <c r="B28" s="200"/>
      <c r="C28" s="204" t="s">
        <v>137</v>
      </c>
      <c r="D28" s="188"/>
      <c r="E28" s="189"/>
      <c r="F28" s="109"/>
      <c r="G28" s="110"/>
      <c r="H28" s="104"/>
      <c r="I28" s="98"/>
      <c r="J28" s="89"/>
      <c r="K28" s="89"/>
      <c r="L28" s="89"/>
    </row>
    <row r="29" spans="1:18">
      <c r="A29" s="103"/>
      <c r="B29" s="200"/>
      <c r="C29" s="105" t="s">
        <v>131</v>
      </c>
      <c r="D29" s="111">
        <v>3.83</v>
      </c>
      <c r="E29" s="112" t="s">
        <v>138</v>
      </c>
      <c r="F29" s="207" t="s">
        <v>139</v>
      </c>
      <c r="G29" s="208"/>
      <c r="H29" s="104">
        <f>52219110/3.64*0.08944*3.83*1.7*0.156</f>
        <v>1303263.3016621028</v>
      </c>
      <c r="I29" s="98"/>
      <c r="J29" s="89"/>
      <c r="K29" s="89"/>
      <c r="L29" s="89"/>
    </row>
    <row r="30" spans="1:18" ht="15" customHeight="1">
      <c r="A30" s="103"/>
      <c r="B30" s="200"/>
      <c r="C30" s="105" t="s">
        <v>140</v>
      </c>
      <c r="D30" s="113"/>
      <c r="E30" s="112"/>
      <c r="F30" s="209"/>
      <c r="G30" s="208"/>
      <c r="H30" s="104"/>
      <c r="I30" s="98"/>
      <c r="J30" s="89"/>
      <c r="K30" s="89"/>
      <c r="L30" s="89"/>
    </row>
    <row r="31" spans="1:18" ht="15.75" customHeight="1">
      <c r="A31" s="103"/>
      <c r="B31" s="200"/>
      <c r="C31" s="114" t="s">
        <v>141</v>
      </c>
      <c r="D31" s="115"/>
      <c r="E31" s="116"/>
      <c r="F31" s="117"/>
      <c r="G31" s="118"/>
      <c r="H31" s="119"/>
      <c r="I31" s="98"/>
      <c r="J31" s="89"/>
      <c r="K31" s="89"/>
      <c r="L31" s="89"/>
    </row>
    <row r="32" spans="1:18" ht="21.75" customHeight="1">
      <c r="A32" s="120">
        <v>2</v>
      </c>
      <c r="B32" s="121" t="s">
        <v>142</v>
      </c>
      <c r="C32" s="184" t="s">
        <v>127</v>
      </c>
      <c r="D32" s="185"/>
      <c r="E32" s="186"/>
      <c r="F32" s="122" t="s">
        <v>128</v>
      </c>
      <c r="G32" s="123"/>
      <c r="H32" s="124"/>
      <c r="I32" s="98"/>
      <c r="J32" s="89"/>
      <c r="K32" s="89"/>
      <c r="L32" s="89"/>
    </row>
    <row r="33" spans="1:12" ht="19.5" customHeight="1">
      <c r="A33" s="125"/>
      <c r="B33" s="126" t="s">
        <v>143</v>
      </c>
      <c r="C33" s="187"/>
      <c r="D33" s="188"/>
      <c r="E33" s="189"/>
      <c r="F33" s="127" t="s">
        <v>144</v>
      </c>
      <c r="G33" s="128"/>
      <c r="H33" s="129">
        <f>39.97*2*0.6*3.83*1000*1.7</f>
        <v>312293.60399999999</v>
      </c>
      <c r="I33" s="98"/>
      <c r="J33" s="89"/>
      <c r="K33" s="89"/>
      <c r="L33" s="89"/>
    </row>
    <row r="34" spans="1:12" ht="15.75" customHeight="1">
      <c r="A34" s="125"/>
      <c r="B34" s="126" t="s">
        <v>145</v>
      </c>
      <c r="C34" s="130" t="s">
        <v>146</v>
      </c>
      <c r="D34" s="90"/>
      <c r="E34" s="131"/>
      <c r="F34" s="127"/>
      <c r="G34" s="128"/>
      <c r="H34" s="129"/>
      <c r="I34" s="98"/>
      <c r="J34" s="89"/>
      <c r="K34" s="89"/>
      <c r="L34" s="89"/>
    </row>
    <row r="35" spans="1:12" ht="14.25" customHeight="1">
      <c r="A35" s="125"/>
      <c r="B35" s="126" t="s">
        <v>147</v>
      </c>
      <c r="C35" s="132" t="s">
        <v>131</v>
      </c>
      <c r="D35" s="87">
        <v>0.4</v>
      </c>
      <c r="E35" s="133" t="s">
        <v>132</v>
      </c>
      <c r="F35" s="134"/>
      <c r="G35" s="128"/>
      <c r="H35" s="129"/>
      <c r="I35" s="98"/>
      <c r="J35" s="89"/>
      <c r="K35" s="89"/>
      <c r="L35" s="89"/>
    </row>
    <row r="36" spans="1:12" ht="14.25" customHeight="1">
      <c r="A36" s="125"/>
      <c r="B36" s="126"/>
      <c r="C36" s="132" t="s">
        <v>131</v>
      </c>
      <c r="D36" s="87">
        <v>0.6</v>
      </c>
      <c r="E36" s="133" t="s">
        <v>133</v>
      </c>
      <c r="F36" s="134" t="s">
        <v>135</v>
      </c>
      <c r="G36" s="128"/>
      <c r="H36" s="129"/>
      <c r="I36" s="98"/>
      <c r="J36" s="89"/>
      <c r="K36" s="89"/>
      <c r="L36" s="89"/>
    </row>
    <row r="37" spans="1:12" ht="14.25" customHeight="1">
      <c r="A37" s="125"/>
      <c r="B37" s="126"/>
      <c r="C37" s="105" t="s">
        <v>131</v>
      </c>
      <c r="D37" s="111">
        <v>3.83</v>
      </c>
      <c r="E37" s="112" t="s">
        <v>138</v>
      </c>
      <c r="F37" s="127" t="s">
        <v>148</v>
      </c>
      <c r="G37" s="128"/>
      <c r="H37" s="129">
        <f>39.97*2*0.6*3.83*1000*1.7</f>
        <v>312293.60399999999</v>
      </c>
      <c r="I37" s="98"/>
      <c r="J37" s="89"/>
      <c r="K37" s="89"/>
      <c r="L37" s="89"/>
    </row>
    <row r="38" spans="1:12" ht="14.25" customHeight="1">
      <c r="A38" s="125"/>
      <c r="B38" s="126"/>
      <c r="C38" s="105" t="s">
        <v>140</v>
      </c>
      <c r="D38" s="113"/>
      <c r="E38" s="112"/>
      <c r="F38" s="127"/>
      <c r="G38" s="128"/>
      <c r="H38" s="129"/>
      <c r="I38" s="98"/>
      <c r="J38" s="89"/>
      <c r="K38" s="89"/>
      <c r="L38" s="89"/>
    </row>
    <row r="39" spans="1:12" ht="14.25" customHeight="1">
      <c r="A39" s="125"/>
      <c r="B39" s="126"/>
      <c r="C39" s="114" t="s">
        <v>141</v>
      </c>
      <c r="D39" s="115"/>
      <c r="E39" s="116"/>
      <c r="F39" s="127"/>
      <c r="G39" s="128"/>
      <c r="H39" s="129"/>
      <c r="I39" s="98"/>
      <c r="J39" s="89"/>
      <c r="K39" s="89"/>
      <c r="L39" s="89"/>
    </row>
    <row r="40" spans="1:12" ht="24" customHeight="1">
      <c r="A40" s="120">
        <v>3</v>
      </c>
      <c r="B40" s="121" t="s">
        <v>142</v>
      </c>
      <c r="C40" s="184" t="s">
        <v>127</v>
      </c>
      <c r="D40" s="185"/>
      <c r="E40" s="186"/>
      <c r="F40" s="122" t="s">
        <v>128</v>
      </c>
      <c r="G40" s="123"/>
      <c r="H40" s="124"/>
      <c r="I40" s="98"/>
      <c r="J40" s="89"/>
      <c r="K40" s="89"/>
      <c r="L40" s="89"/>
    </row>
    <row r="41" spans="1:12" ht="20.25" customHeight="1">
      <c r="A41" s="125"/>
      <c r="B41" s="126" t="s">
        <v>143</v>
      </c>
      <c r="C41" s="187"/>
      <c r="D41" s="188"/>
      <c r="E41" s="189"/>
      <c r="F41" s="127" t="s">
        <v>149</v>
      </c>
      <c r="G41" s="128"/>
      <c r="H41" s="129">
        <f>21.46*2*0.4*3.83*1000*1.7</f>
        <v>111780.84800000003</v>
      </c>
      <c r="I41" s="98"/>
      <c r="J41" s="89"/>
      <c r="K41" s="89"/>
      <c r="L41" s="89"/>
    </row>
    <row r="42" spans="1:12" ht="19.5" customHeight="1">
      <c r="A42" s="125"/>
      <c r="B42" s="126" t="s">
        <v>150</v>
      </c>
      <c r="C42" s="130" t="s">
        <v>151</v>
      </c>
      <c r="D42" s="90"/>
      <c r="E42" s="131"/>
      <c r="F42" s="127"/>
      <c r="G42" s="128"/>
      <c r="H42" s="129"/>
      <c r="I42" s="98"/>
      <c r="J42" s="89"/>
      <c r="K42" s="89"/>
      <c r="L42" s="89"/>
    </row>
    <row r="43" spans="1:12" ht="13.5" customHeight="1">
      <c r="A43" s="125"/>
      <c r="B43" s="126"/>
      <c r="C43" s="132" t="s">
        <v>131</v>
      </c>
      <c r="D43" s="87">
        <v>0.4</v>
      </c>
      <c r="E43" s="133" t="s">
        <v>132</v>
      </c>
      <c r="F43" s="134"/>
      <c r="G43" s="128"/>
      <c r="H43" s="129"/>
      <c r="I43" s="98"/>
      <c r="J43" s="89"/>
      <c r="K43" s="89"/>
      <c r="L43" s="89"/>
    </row>
    <row r="44" spans="1:12" ht="13.5" customHeight="1">
      <c r="A44" s="125"/>
      <c r="B44" s="126"/>
      <c r="C44" s="132" t="s">
        <v>131</v>
      </c>
      <c r="D44" s="87">
        <v>0.6</v>
      </c>
      <c r="E44" s="133" t="s">
        <v>133</v>
      </c>
      <c r="F44" s="134" t="s">
        <v>135</v>
      </c>
      <c r="G44" s="128"/>
      <c r="H44" s="129"/>
      <c r="I44" s="98"/>
      <c r="J44" s="89"/>
      <c r="K44" s="89"/>
      <c r="L44" s="89"/>
    </row>
    <row r="45" spans="1:12" ht="13.5" customHeight="1">
      <c r="A45" s="125"/>
      <c r="B45" s="126"/>
      <c r="C45" s="105" t="s">
        <v>131</v>
      </c>
      <c r="D45" s="111">
        <v>3.83</v>
      </c>
      <c r="E45" s="112" t="s">
        <v>138</v>
      </c>
      <c r="F45" s="127" t="s">
        <v>152</v>
      </c>
      <c r="G45" s="128"/>
      <c r="H45" s="129">
        <f>21.46*2*0.6*3.83*1000*1.7</f>
        <v>167671.272</v>
      </c>
      <c r="I45" s="98"/>
      <c r="J45" s="89"/>
      <c r="K45" s="89"/>
      <c r="L45" s="89"/>
    </row>
    <row r="46" spans="1:12" ht="13.5" customHeight="1">
      <c r="A46" s="125"/>
      <c r="B46" s="126"/>
      <c r="C46" s="105" t="s">
        <v>140</v>
      </c>
      <c r="D46" s="113"/>
      <c r="E46" s="112"/>
      <c r="F46" s="127"/>
      <c r="G46" s="128"/>
      <c r="H46" s="129"/>
      <c r="I46" s="98"/>
      <c r="J46" s="89"/>
      <c r="K46" s="89"/>
      <c r="L46" s="89"/>
    </row>
    <row r="47" spans="1:12" ht="13.5" customHeight="1">
      <c r="A47" s="125"/>
      <c r="B47" s="126"/>
      <c r="C47" s="114" t="s">
        <v>141</v>
      </c>
      <c r="D47" s="115"/>
      <c r="E47" s="116"/>
      <c r="F47" s="127"/>
      <c r="G47" s="128"/>
      <c r="H47" s="129"/>
      <c r="I47" s="98"/>
      <c r="J47" s="89"/>
      <c r="K47" s="89"/>
      <c r="L47" s="89"/>
    </row>
    <row r="48" spans="1:12" ht="21.75" customHeight="1">
      <c r="A48" s="120">
        <v>4</v>
      </c>
      <c r="B48" s="121" t="s">
        <v>153</v>
      </c>
      <c r="C48" s="184" t="s">
        <v>127</v>
      </c>
      <c r="D48" s="185"/>
      <c r="E48" s="186"/>
      <c r="F48" s="122" t="s">
        <v>128</v>
      </c>
      <c r="G48" s="123"/>
      <c r="H48" s="124"/>
      <c r="I48" s="98"/>
      <c r="J48" s="89"/>
      <c r="K48" s="89"/>
      <c r="L48" s="89"/>
    </row>
    <row r="49" spans="1:12" ht="21.75" customHeight="1">
      <c r="A49" s="125"/>
      <c r="B49" s="190" t="s">
        <v>154</v>
      </c>
      <c r="C49" s="187"/>
      <c r="D49" s="188"/>
      <c r="E49" s="189"/>
      <c r="F49" s="127" t="s">
        <v>155</v>
      </c>
      <c r="G49" s="128"/>
      <c r="H49" s="129">
        <f>19.24*2*0.4*3.83*1000*1.7</f>
        <v>100217.31200000001</v>
      </c>
      <c r="I49" s="98"/>
      <c r="J49" s="89"/>
      <c r="K49" s="89"/>
      <c r="L49" s="89"/>
    </row>
    <row r="50" spans="1:12" ht="11.25" customHeight="1">
      <c r="A50" s="125"/>
      <c r="B50" s="190"/>
      <c r="C50" s="130" t="s">
        <v>156</v>
      </c>
      <c r="D50" s="90"/>
      <c r="E50" s="131"/>
      <c r="F50" s="127"/>
      <c r="G50" s="128"/>
      <c r="H50" s="129"/>
      <c r="I50" s="98"/>
      <c r="J50" s="89"/>
      <c r="K50" s="89"/>
      <c r="L50" s="89"/>
    </row>
    <row r="51" spans="1:12" ht="14.25" customHeight="1">
      <c r="A51" s="125"/>
      <c r="B51" s="126" t="s">
        <v>157</v>
      </c>
      <c r="C51" s="132" t="s">
        <v>131</v>
      </c>
      <c r="D51" s="87">
        <v>0.4</v>
      </c>
      <c r="E51" s="133" t="s">
        <v>132</v>
      </c>
      <c r="F51" s="134"/>
      <c r="G51" s="128"/>
      <c r="H51" s="129"/>
      <c r="I51" s="98"/>
      <c r="J51" s="89"/>
      <c r="K51" s="89"/>
      <c r="L51" s="89"/>
    </row>
    <row r="52" spans="1:12" ht="12.75" customHeight="1">
      <c r="A52" s="125"/>
      <c r="C52" s="132" t="s">
        <v>131</v>
      </c>
      <c r="D52" s="87">
        <v>0.6</v>
      </c>
      <c r="E52" s="133" t="s">
        <v>133</v>
      </c>
      <c r="F52" s="134" t="s">
        <v>135</v>
      </c>
      <c r="G52" s="128"/>
      <c r="H52" s="129"/>
      <c r="I52" s="98"/>
      <c r="J52" s="89"/>
      <c r="K52" s="89"/>
      <c r="L52" s="89"/>
    </row>
    <row r="53" spans="1:12" ht="12.75" customHeight="1">
      <c r="A53" s="125"/>
      <c r="B53" s="126"/>
      <c r="C53" s="105" t="s">
        <v>131</v>
      </c>
      <c r="D53" s="111">
        <v>3.83</v>
      </c>
      <c r="E53" s="112" t="s">
        <v>138</v>
      </c>
      <c r="F53" s="127" t="s">
        <v>158</v>
      </c>
      <c r="G53" s="128"/>
      <c r="H53" s="129">
        <f>19.24*2*0.6*3.83*1000*1.7</f>
        <v>150325.96799999999</v>
      </c>
      <c r="I53" s="98"/>
      <c r="J53" s="89"/>
      <c r="K53" s="89"/>
      <c r="L53" s="89"/>
    </row>
    <row r="54" spans="1:12" ht="12.75" customHeight="1">
      <c r="A54" s="125"/>
      <c r="B54" s="126"/>
      <c r="C54" s="105" t="s">
        <v>140</v>
      </c>
      <c r="D54" s="113"/>
      <c r="E54" s="112"/>
      <c r="F54" s="127"/>
      <c r="G54" s="128"/>
      <c r="H54" s="129"/>
      <c r="I54" s="98"/>
      <c r="J54" s="89"/>
      <c r="K54" s="89"/>
      <c r="L54" s="89"/>
    </row>
    <row r="55" spans="1:12" ht="12.75" customHeight="1">
      <c r="A55" s="125"/>
      <c r="B55" s="126"/>
      <c r="C55" s="114" t="s">
        <v>141</v>
      </c>
      <c r="D55" s="115"/>
      <c r="E55" s="116"/>
      <c r="F55" s="127"/>
      <c r="G55" s="128"/>
      <c r="H55" s="129"/>
      <c r="I55" s="98"/>
      <c r="J55" s="89"/>
      <c r="K55" s="89"/>
      <c r="L55" s="89"/>
    </row>
    <row r="56" spans="1:12" ht="15" customHeight="1">
      <c r="A56" s="120">
        <v>5</v>
      </c>
      <c r="B56" s="121" t="s">
        <v>153</v>
      </c>
      <c r="C56" s="184" t="s">
        <v>127</v>
      </c>
      <c r="D56" s="185"/>
      <c r="E56" s="186"/>
      <c r="F56" s="122" t="s">
        <v>128</v>
      </c>
      <c r="G56" s="123"/>
      <c r="H56" s="124"/>
      <c r="I56" s="98"/>
      <c r="J56" s="89"/>
      <c r="K56" s="89"/>
      <c r="L56" s="89"/>
    </row>
    <row r="57" spans="1:12" ht="23.25" customHeight="1">
      <c r="A57" s="125"/>
      <c r="B57" s="135" t="s">
        <v>159</v>
      </c>
      <c r="C57" s="187"/>
      <c r="D57" s="188"/>
      <c r="E57" s="189"/>
      <c r="F57" s="127" t="s">
        <v>160</v>
      </c>
      <c r="G57" s="128"/>
      <c r="H57" s="129">
        <f>26.24*0.4*3.83*1000*1.7</f>
        <v>68339.456000000006</v>
      </c>
      <c r="I57" s="98"/>
      <c r="J57" s="89"/>
      <c r="K57" s="89"/>
      <c r="L57" s="89"/>
    </row>
    <row r="58" spans="1:12" ht="15" customHeight="1">
      <c r="A58" s="125"/>
      <c r="B58" s="135"/>
      <c r="C58" s="130" t="s">
        <v>161</v>
      </c>
      <c r="D58" s="90"/>
      <c r="E58" s="131"/>
      <c r="F58" s="127"/>
      <c r="G58" s="128"/>
      <c r="H58" s="129"/>
      <c r="I58" s="98"/>
      <c r="J58" s="89"/>
      <c r="K58" s="89"/>
      <c r="L58" s="89"/>
    </row>
    <row r="59" spans="1:12" ht="15" customHeight="1">
      <c r="A59" s="125"/>
      <c r="B59" s="126"/>
      <c r="C59" s="132" t="s">
        <v>131</v>
      </c>
      <c r="D59" s="87">
        <v>0.4</v>
      </c>
      <c r="E59" s="133" t="s">
        <v>132</v>
      </c>
      <c r="F59" s="134"/>
      <c r="G59" s="128"/>
      <c r="H59" s="129"/>
      <c r="I59" s="98"/>
      <c r="J59" s="89"/>
      <c r="K59" s="89"/>
      <c r="L59" s="89"/>
    </row>
    <row r="60" spans="1:12" ht="15" customHeight="1">
      <c r="A60" s="125"/>
      <c r="B60" s="126"/>
      <c r="C60" s="132" t="s">
        <v>131</v>
      </c>
      <c r="D60" s="87">
        <v>0.6</v>
      </c>
      <c r="E60" s="133" t="s">
        <v>133</v>
      </c>
      <c r="F60" s="134" t="s">
        <v>135</v>
      </c>
      <c r="G60" s="128"/>
      <c r="H60" s="129"/>
      <c r="I60" s="98"/>
      <c r="J60" s="89"/>
      <c r="K60" s="89"/>
      <c r="L60" s="89"/>
    </row>
    <row r="61" spans="1:12" ht="15" customHeight="1">
      <c r="A61" s="125"/>
      <c r="B61" s="126"/>
      <c r="C61" s="105" t="s">
        <v>131</v>
      </c>
      <c r="D61" s="111">
        <v>3.83</v>
      </c>
      <c r="E61" s="112" t="s">
        <v>138</v>
      </c>
      <c r="F61" s="127" t="s">
        <v>162</v>
      </c>
      <c r="G61" s="128"/>
      <c r="H61" s="129">
        <f>26.24*0.6*3.83*1000*1.7</f>
        <v>102509.18399999999</v>
      </c>
      <c r="I61" s="98"/>
      <c r="J61" s="89"/>
      <c r="K61" s="89"/>
      <c r="L61" s="89"/>
    </row>
    <row r="62" spans="1:12" ht="15" customHeight="1">
      <c r="A62" s="125"/>
      <c r="B62" s="126"/>
      <c r="C62" s="105" t="s">
        <v>140</v>
      </c>
      <c r="D62" s="113"/>
      <c r="E62" s="112"/>
      <c r="F62" s="127"/>
      <c r="G62" s="128"/>
      <c r="H62" s="129"/>
      <c r="I62" s="98"/>
      <c r="J62" s="89"/>
      <c r="K62" s="89"/>
      <c r="L62" s="89"/>
    </row>
    <row r="63" spans="1:12" ht="15" customHeight="1">
      <c r="A63" s="136"/>
      <c r="B63" s="137"/>
      <c r="C63" s="114" t="s">
        <v>141</v>
      </c>
      <c r="D63" s="115"/>
      <c r="E63" s="116"/>
      <c r="F63" s="138"/>
      <c r="G63" s="139"/>
      <c r="H63" s="140"/>
      <c r="I63" s="98"/>
      <c r="J63" s="89"/>
      <c r="K63" s="89"/>
      <c r="L63" s="89"/>
    </row>
    <row r="64" spans="1:12" ht="16.5" customHeight="1">
      <c r="A64" s="89"/>
      <c r="B64" s="89"/>
      <c r="C64" s="89"/>
      <c r="D64" s="90"/>
      <c r="E64" s="191" t="s">
        <v>163</v>
      </c>
      <c r="F64" s="191"/>
      <c r="H64" s="141">
        <f>H33+H41+H49+H57+H22</f>
        <v>1461473.4211080684</v>
      </c>
    </row>
    <row r="65" spans="1:17" ht="16.5" customHeight="1">
      <c r="A65" s="89"/>
      <c r="B65" s="89"/>
      <c r="C65" s="89"/>
      <c r="D65" s="90"/>
      <c r="E65" s="182" t="s">
        <v>164</v>
      </c>
      <c r="F65" s="182"/>
      <c r="H65" s="142">
        <f>H37+H45+H53+H61+H29</f>
        <v>2036063.3296621027</v>
      </c>
      <c r="I65" s="143"/>
    </row>
    <row r="66" spans="1:17" ht="16.5" customHeight="1">
      <c r="A66" s="89"/>
      <c r="B66" s="89"/>
      <c r="C66" s="89"/>
      <c r="D66" s="90"/>
      <c r="E66" s="89"/>
      <c r="F66" s="144" t="s">
        <v>165</v>
      </c>
      <c r="H66" s="145">
        <f>H64+H65</f>
        <v>3497536.7507701712</v>
      </c>
      <c r="I66" s="143"/>
    </row>
    <row r="67" spans="1:17" ht="8.25" customHeight="1">
      <c r="A67" s="89"/>
      <c r="B67" s="89"/>
      <c r="C67" s="89"/>
      <c r="D67" s="90"/>
      <c r="E67" s="146"/>
      <c r="F67" s="147"/>
      <c r="G67" s="148"/>
      <c r="H67" s="149"/>
    </row>
    <row r="68" spans="1:17" ht="16.5" customHeight="1">
      <c r="A68" s="150"/>
      <c r="B68" s="86"/>
      <c r="C68" s="92"/>
      <c r="D68" s="90"/>
      <c r="E68" s="92" t="s">
        <v>166</v>
      </c>
      <c r="F68" s="151">
        <f>H66</f>
        <v>3497536.7507701712</v>
      </c>
      <c r="G68" s="148" t="s">
        <v>176</v>
      </c>
      <c r="H68" s="142">
        <f>F68*0.18</f>
        <v>629556.61513863073</v>
      </c>
      <c r="K68" s="152"/>
      <c r="L68" s="153"/>
      <c r="M68" s="153"/>
      <c r="N68" s="153"/>
      <c r="O68" s="153"/>
      <c r="P68" s="153"/>
      <c r="Q68" s="152"/>
    </row>
    <row r="69" spans="1:17" ht="7.5" customHeight="1">
      <c r="A69" s="150"/>
      <c r="B69" s="86"/>
      <c r="C69" s="92"/>
      <c r="D69" s="90"/>
      <c r="E69" s="92"/>
      <c r="F69" s="151"/>
      <c r="G69" s="148"/>
      <c r="H69" s="142"/>
      <c r="K69" s="152"/>
      <c r="L69" s="153"/>
      <c r="M69" s="153"/>
      <c r="N69" s="153"/>
      <c r="O69" s="153"/>
      <c r="P69" s="153"/>
      <c r="Q69" s="152"/>
    </row>
    <row r="70" spans="1:17" ht="16.5" customHeight="1">
      <c r="A70" s="150"/>
      <c r="B70" s="92"/>
      <c r="C70" s="89"/>
      <c r="D70" s="90"/>
      <c r="E70" s="154"/>
      <c r="F70" s="144" t="s">
        <v>167</v>
      </c>
      <c r="G70" s="183">
        <f>H66+H68</f>
        <v>4127093.365908802</v>
      </c>
      <c r="H70" s="183"/>
      <c r="K70" s="152"/>
      <c r="L70" s="153"/>
      <c r="M70" s="153"/>
      <c r="N70" s="153"/>
      <c r="O70" s="153"/>
      <c r="P70" s="153"/>
      <c r="Q70" s="152"/>
    </row>
    <row r="71" spans="1:17" ht="9.75" customHeight="1">
      <c r="A71" s="155"/>
      <c r="B71" s="86"/>
      <c r="D71" s="92"/>
      <c r="E71" s="156"/>
      <c r="F71" s="148"/>
      <c r="G71" s="148"/>
      <c r="H71" s="157"/>
      <c r="K71" s="152"/>
      <c r="Q71" s="152"/>
    </row>
    <row r="72" spans="1:17" ht="13.5" customHeight="1">
      <c r="A72" s="158"/>
    </row>
    <row r="73" spans="1:17" ht="13.5" customHeight="1">
      <c r="A73" s="158"/>
    </row>
    <row r="74" spans="1:17" ht="13.5" customHeight="1">
      <c r="A74" s="158"/>
    </row>
    <row r="75" spans="1:17" ht="13.5" customHeight="1">
      <c r="A75" s="158"/>
    </row>
    <row r="76" spans="1:17" ht="13.5" customHeight="1">
      <c r="A76" s="158"/>
    </row>
    <row r="77" spans="1:17" ht="13.5" customHeight="1">
      <c r="A77" s="158"/>
    </row>
    <row r="78" spans="1:17" ht="13.5" customHeight="1">
      <c r="A78" s="158"/>
    </row>
    <row r="79" spans="1:17" ht="13.5" customHeight="1">
      <c r="A79" s="158"/>
    </row>
    <row r="80" spans="1:17" ht="13.5" customHeight="1">
      <c r="A80" s="158"/>
    </row>
    <row r="81" spans="1:1" ht="13.5" customHeight="1">
      <c r="A81" s="158"/>
    </row>
    <row r="82" spans="1:1" ht="13.5" customHeight="1">
      <c r="A82" s="158"/>
    </row>
    <row r="83" spans="1:1" ht="13.5" customHeight="1">
      <c r="A83" s="158"/>
    </row>
    <row r="84" spans="1:1" ht="13.5" customHeight="1">
      <c r="A84" s="158"/>
    </row>
    <row r="85" spans="1:1" ht="13.5" customHeight="1">
      <c r="A85" s="158"/>
    </row>
    <row r="86" spans="1:1" ht="13.5" customHeight="1">
      <c r="A86" s="158"/>
    </row>
    <row r="87" spans="1:1" ht="13.5" customHeight="1">
      <c r="A87" s="158"/>
    </row>
    <row r="88" spans="1:1" ht="13.5" customHeight="1">
      <c r="A88" s="158"/>
    </row>
    <row r="89" spans="1:1" ht="13.5" customHeight="1">
      <c r="A89" s="158"/>
    </row>
    <row r="90" spans="1:1" ht="13.5" customHeight="1">
      <c r="A90" s="158"/>
    </row>
    <row r="91" spans="1:1" ht="13.5" customHeight="1">
      <c r="A91" s="158"/>
    </row>
    <row r="92" spans="1:1" ht="13.5" customHeight="1">
      <c r="A92" s="158"/>
    </row>
    <row r="93" spans="1:1" ht="13.5" customHeight="1">
      <c r="A93" s="158"/>
    </row>
    <row r="94" spans="1:1" ht="13.5" customHeight="1">
      <c r="A94" s="158"/>
    </row>
    <row r="95" spans="1:1" ht="13.5" customHeight="1">
      <c r="A95" s="158"/>
    </row>
    <row r="96" spans="1:1" ht="13.5" customHeight="1">
      <c r="A96" s="158"/>
    </row>
    <row r="97" spans="1:1" ht="13.5" customHeight="1">
      <c r="A97" s="158"/>
    </row>
    <row r="98" spans="1:1" ht="13.5" customHeight="1">
      <c r="A98" s="158"/>
    </row>
    <row r="99" spans="1:1" ht="13.5" customHeight="1">
      <c r="A99" s="158"/>
    </row>
    <row r="100" spans="1:1" ht="13.5" customHeight="1">
      <c r="A100" s="158"/>
    </row>
    <row r="101" spans="1:1" ht="13.5" customHeight="1">
      <c r="A101" s="158"/>
    </row>
    <row r="102" spans="1:1" ht="13.5" customHeight="1">
      <c r="A102" s="158"/>
    </row>
    <row r="103" spans="1:1" ht="13.5" customHeight="1">
      <c r="A103" s="158"/>
    </row>
    <row r="104" spans="1:1" ht="13.5" customHeight="1">
      <c r="A104" s="158"/>
    </row>
    <row r="105" spans="1:1" ht="13.5" customHeight="1">
      <c r="A105" s="158"/>
    </row>
    <row r="106" spans="1:1" ht="13.5" customHeight="1">
      <c r="A106" s="158"/>
    </row>
    <row r="107" spans="1:1" ht="13.5" customHeight="1">
      <c r="A107" s="158"/>
    </row>
    <row r="108" spans="1:1" ht="13.5" customHeight="1">
      <c r="A108" s="158"/>
    </row>
    <row r="109" spans="1:1" ht="13.5" customHeight="1">
      <c r="A109" s="158"/>
    </row>
    <row r="110" spans="1:1" ht="13.5" customHeight="1">
      <c r="A110" s="158"/>
    </row>
    <row r="111" spans="1:1" ht="13.5" customHeight="1">
      <c r="A111" s="158"/>
    </row>
    <row r="112" spans="1:1" ht="13.5" customHeight="1">
      <c r="A112" s="158"/>
    </row>
    <row r="113" spans="1:1" ht="13.5" customHeight="1">
      <c r="A113" s="158"/>
    </row>
    <row r="114" spans="1:1" ht="13.5" customHeight="1">
      <c r="A114" s="158"/>
    </row>
    <row r="115" spans="1:1" ht="13.5" customHeight="1">
      <c r="A115" s="158"/>
    </row>
    <row r="116" spans="1:1" ht="13.5" customHeight="1">
      <c r="A116" s="158"/>
    </row>
    <row r="117" spans="1:1" ht="13.5" customHeight="1">
      <c r="A117" s="158"/>
    </row>
    <row r="118" spans="1:1" ht="13.5" customHeight="1">
      <c r="A118" s="158"/>
    </row>
    <row r="119" spans="1:1" ht="13.5" customHeight="1">
      <c r="A119" s="158"/>
    </row>
    <row r="120" spans="1:1" ht="13.5" customHeight="1">
      <c r="A120" s="158"/>
    </row>
    <row r="121" spans="1:1" ht="13.5" customHeight="1">
      <c r="A121" s="158"/>
    </row>
    <row r="122" spans="1:1" ht="13.5" customHeight="1">
      <c r="A122" s="158"/>
    </row>
    <row r="123" spans="1:1" ht="13.5" customHeight="1">
      <c r="A123" s="158"/>
    </row>
    <row r="124" spans="1:1" ht="13.5" customHeight="1">
      <c r="A124" s="158"/>
    </row>
    <row r="125" spans="1:1" ht="13.5" customHeight="1">
      <c r="A125" s="158"/>
    </row>
    <row r="126" spans="1:1" ht="13.5" customHeight="1">
      <c r="A126" s="158"/>
    </row>
    <row r="127" spans="1:1" ht="13.5" customHeight="1">
      <c r="A127" s="158"/>
    </row>
    <row r="128" spans="1:1" ht="13.5" customHeight="1">
      <c r="A128" s="158"/>
    </row>
    <row r="129" spans="1:1" ht="13.5" customHeight="1">
      <c r="A129" s="158"/>
    </row>
    <row r="130" spans="1:1" ht="13.5" customHeight="1">
      <c r="A130" s="158"/>
    </row>
    <row r="131" spans="1:1" ht="13.5" customHeight="1">
      <c r="A131" s="158"/>
    </row>
    <row r="132" spans="1:1" ht="13.5" customHeight="1">
      <c r="A132" s="158"/>
    </row>
    <row r="133" spans="1:1" ht="13.5" customHeight="1">
      <c r="A133" s="158"/>
    </row>
    <row r="134" spans="1:1" ht="13.5" customHeight="1">
      <c r="A134" s="158"/>
    </row>
    <row r="135" spans="1:1" ht="13.5" customHeight="1">
      <c r="A135" s="158"/>
    </row>
    <row r="136" spans="1:1" ht="13.5" customHeight="1">
      <c r="A136" s="158"/>
    </row>
    <row r="137" spans="1:1" ht="13.5" customHeight="1">
      <c r="A137" s="158"/>
    </row>
    <row r="138" spans="1:1" ht="13.5" customHeight="1">
      <c r="A138" s="158"/>
    </row>
    <row r="139" spans="1:1" ht="13.5" customHeight="1">
      <c r="A139" s="158"/>
    </row>
    <row r="140" spans="1:1" ht="13.5" customHeight="1">
      <c r="A140" s="158"/>
    </row>
    <row r="141" spans="1:1" ht="13.5" customHeight="1">
      <c r="A141" s="158"/>
    </row>
    <row r="142" spans="1:1" ht="13.5" customHeight="1">
      <c r="A142" s="158"/>
    </row>
    <row r="143" spans="1:1" ht="13.5" customHeight="1">
      <c r="A143" s="158"/>
    </row>
    <row r="144" spans="1:1" ht="13.5" customHeight="1">
      <c r="A144" s="158"/>
    </row>
    <row r="145" spans="1:1" ht="13.5" customHeight="1">
      <c r="A145" s="158"/>
    </row>
    <row r="146" spans="1:1" ht="13.5" customHeight="1">
      <c r="A146" s="158"/>
    </row>
    <row r="147" spans="1:1" ht="13.5" customHeight="1">
      <c r="A147" s="158"/>
    </row>
    <row r="148" spans="1:1" ht="13.5" customHeight="1">
      <c r="A148" s="158"/>
    </row>
    <row r="149" spans="1:1" ht="13.5" customHeight="1">
      <c r="A149" s="158"/>
    </row>
    <row r="150" spans="1:1" ht="13.5" customHeight="1">
      <c r="A150" s="158"/>
    </row>
    <row r="151" spans="1:1" ht="13.5" customHeight="1">
      <c r="A151" s="158"/>
    </row>
    <row r="152" spans="1:1" ht="13.5" customHeight="1">
      <c r="A152" s="158"/>
    </row>
    <row r="153" spans="1:1" ht="13.5" customHeight="1">
      <c r="A153" s="158"/>
    </row>
    <row r="154" spans="1:1" ht="13.5" customHeight="1">
      <c r="A154" s="158"/>
    </row>
    <row r="155" spans="1:1" ht="13.5" customHeight="1">
      <c r="A155" s="158"/>
    </row>
    <row r="156" spans="1:1" ht="13.5" customHeight="1">
      <c r="A156" s="158"/>
    </row>
    <row r="157" spans="1:1" ht="13.5" customHeight="1">
      <c r="A157" s="158"/>
    </row>
    <row r="158" spans="1:1" ht="13.5" customHeight="1">
      <c r="A158" s="158"/>
    </row>
    <row r="159" spans="1:1" ht="13.5" customHeight="1">
      <c r="A159" s="158"/>
    </row>
    <row r="160" spans="1:1" ht="13.5" customHeight="1">
      <c r="A160" s="158"/>
    </row>
    <row r="161" spans="1:1" ht="13.5" customHeight="1">
      <c r="A161" s="158"/>
    </row>
    <row r="162" spans="1:1" ht="13.5" customHeight="1">
      <c r="A162" s="158"/>
    </row>
    <row r="163" spans="1:1" ht="13.5" customHeight="1">
      <c r="A163" s="158"/>
    </row>
    <row r="164" spans="1:1" ht="13.5" customHeight="1">
      <c r="A164" s="158"/>
    </row>
    <row r="165" spans="1:1" ht="13.5" customHeight="1">
      <c r="A165" s="158"/>
    </row>
    <row r="166" spans="1:1" ht="13.5" customHeight="1">
      <c r="A166" s="158"/>
    </row>
    <row r="167" spans="1:1" ht="13.5" customHeight="1">
      <c r="A167" s="158"/>
    </row>
    <row r="168" spans="1:1" ht="13.5" customHeight="1">
      <c r="A168" s="158"/>
    </row>
    <row r="169" spans="1:1" ht="13.5" customHeight="1">
      <c r="A169" s="158"/>
    </row>
    <row r="170" spans="1:1" ht="13.5" customHeight="1"/>
    <row r="171" spans="1:1" ht="13.5" customHeight="1"/>
    <row r="172" spans="1:1" ht="13.5" customHeight="1"/>
    <row r="173" spans="1:1" ht="13.5" customHeight="1"/>
    <row r="174" spans="1:1" ht="13.5" customHeight="1"/>
  </sheetData>
  <mergeCells count="33">
    <mergeCell ref="A1:H1"/>
    <mergeCell ref="A2:H2"/>
    <mergeCell ref="E4:H6"/>
    <mergeCell ref="E8:H9"/>
    <mergeCell ref="C13:E13"/>
    <mergeCell ref="F13:G13"/>
    <mergeCell ref="C14:E14"/>
    <mergeCell ref="F14:G14"/>
    <mergeCell ref="C15:E15"/>
    <mergeCell ref="F15:G15"/>
    <mergeCell ref="H15:H17"/>
    <mergeCell ref="C16:E16"/>
    <mergeCell ref="F16:G16"/>
    <mergeCell ref="C17:E17"/>
    <mergeCell ref="F17:G17"/>
    <mergeCell ref="B49:B50"/>
    <mergeCell ref="C56:E57"/>
    <mergeCell ref="E64:F64"/>
    <mergeCell ref="C18:E18"/>
    <mergeCell ref="F18:G18"/>
    <mergeCell ref="C19:E19"/>
    <mergeCell ref="F19:G19"/>
    <mergeCell ref="A20:H20"/>
    <mergeCell ref="B21:B31"/>
    <mergeCell ref="C21:E22"/>
    <mergeCell ref="F22:G23"/>
    <mergeCell ref="C28:E28"/>
    <mergeCell ref="F29:G30"/>
    <mergeCell ref="E65:F65"/>
    <mergeCell ref="G70:H70"/>
    <mergeCell ref="C32:E33"/>
    <mergeCell ref="C40:E41"/>
    <mergeCell ref="C48:E49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43"/>
  <sheetViews>
    <sheetView topLeftCell="A25" zoomScaleNormal="100" workbookViewId="0">
      <selection activeCell="C46" sqref="C46"/>
    </sheetView>
  </sheetViews>
  <sheetFormatPr defaultRowHeight="12.75"/>
  <cols>
    <col min="1" max="1" width="5" style="8" customWidth="1"/>
    <col min="2" max="2" width="14.28515625" style="5" customWidth="1"/>
    <col min="3" max="3" width="51" style="10" customWidth="1"/>
    <col min="4" max="4" width="14.5703125" style="11" customWidth="1"/>
    <col min="5" max="5" width="13.85546875" style="11" customWidth="1"/>
    <col min="6" max="6" width="14.7109375" style="11" customWidth="1"/>
    <col min="7" max="7" width="16.28515625" style="11" customWidth="1"/>
    <col min="8" max="8" width="18.7109375" style="4" customWidth="1"/>
    <col min="9" max="16384" width="9.140625" style="12"/>
  </cols>
  <sheetData>
    <row r="1" spans="1:8">
      <c r="A1" s="178"/>
      <c r="B1" s="178"/>
      <c r="C1" s="179" t="s">
        <v>0</v>
      </c>
      <c r="D1" s="179"/>
      <c r="E1" s="179"/>
      <c r="F1" s="179"/>
      <c r="G1" s="179"/>
      <c r="H1" s="3"/>
    </row>
    <row r="2" spans="1:8">
      <c r="B2" s="8"/>
      <c r="C2" s="179" t="s">
        <v>28</v>
      </c>
      <c r="D2" s="179"/>
      <c r="E2" s="179"/>
      <c r="F2" s="179"/>
      <c r="G2" s="179"/>
      <c r="H2" s="179"/>
    </row>
    <row r="3" spans="1:8">
      <c r="B3" s="8"/>
      <c r="C3" s="180" t="s">
        <v>27</v>
      </c>
      <c r="D3" s="180"/>
      <c r="E3" s="180"/>
      <c r="F3" s="180"/>
      <c r="G3" s="180"/>
      <c r="H3" s="3"/>
    </row>
    <row r="4" spans="1:8">
      <c r="C4" s="181" t="s">
        <v>1</v>
      </c>
      <c r="D4" s="181"/>
      <c r="E4" s="181"/>
      <c r="F4" s="181"/>
      <c r="G4" s="181"/>
      <c r="H4" s="3"/>
    </row>
    <row r="5" spans="1:8">
      <c r="B5" s="172" t="s">
        <v>81</v>
      </c>
      <c r="C5" s="172"/>
      <c r="D5" s="172"/>
      <c r="E5" s="172"/>
      <c r="F5" s="172"/>
      <c r="G5" s="172"/>
      <c r="H5" s="172"/>
    </row>
    <row r="6" spans="1:8" ht="12.75" customHeight="1">
      <c r="A6" s="169" t="s">
        <v>2</v>
      </c>
      <c r="B6" s="175" t="s">
        <v>3</v>
      </c>
      <c r="C6" s="169" t="s">
        <v>4</v>
      </c>
      <c r="D6" s="176" t="s">
        <v>5</v>
      </c>
      <c r="E6" s="176"/>
      <c r="F6" s="176"/>
      <c r="G6" s="176"/>
      <c r="H6" s="177" t="s">
        <v>6</v>
      </c>
    </row>
    <row r="7" spans="1:8">
      <c r="A7" s="169"/>
      <c r="B7" s="175"/>
      <c r="C7" s="169"/>
      <c r="D7" s="169" t="s">
        <v>7</v>
      </c>
      <c r="E7" s="169" t="s">
        <v>8</v>
      </c>
      <c r="F7" s="169" t="s">
        <v>9</v>
      </c>
      <c r="G7" s="169" t="s">
        <v>15</v>
      </c>
      <c r="H7" s="177"/>
    </row>
    <row r="8" spans="1:8">
      <c r="A8" s="169"/>
      <c r="B8" s="175"/>
      <c r="C8" s="169"/>
      <c r="D8" s="169"/>
      <c r="E8" s="169"/>
      <c r="F8" s="169"/>
      <c r="G8" s="169"/>
      <c r="H8" s="177"/>
    </row>
    <row r="9" spans="1:8">
      <c r="A9" s="169"/>
      <c r="B9" s="175"/>
      <c r="C9" s="169"/>
      <c r="D9" s="169"/>
      <c r="E9" s="169"/>
      <c r="F9" s="169"/>
      <c r="G9" s="169"/>
      <c r="H9" s="177"/>
    </row>
    <row r="10" spans="1:8">
      <c r="A10" s="9">
        <v>1</v>
      </c>
      <c r="B10" s="13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  <c r="H10" s="17">
        <v>8</v>
      </c>
    </row>
    <row r="11" spans="1:8">
      <c r="A11" s="9"/>
      <c r="B11" s="170" t="s">
        <v>78</v>
      </c>
      <c r="C11" s="171"/>
      <c r="D11" s="18"/>
      <c r="E11" s="18"/>
      <c r="F11" s="18"/>
      <c r="G11" s="18"/>
      <c r="H11" s="18"/>
    </row>
    <row r="12" spans="1:8">
      <c r="A12" s="9">
        <v>1</v>
      </c>
      <c r="B12" s="6" t="s">
        <v>16</v>
      </c>
      <c r="C12" s="32" t="s">
        <v>58</v>
      </c>
      <c r="D12" s="14"/>
      <c r="E12" s="14">
        <v>180.37903469079941</v>
      </c>
      <c r="F12" s="14">
        <v>2854.6950672645739</v>
      </c>
      <c r="G12" s="14"/>
      <c r="H12" s="18">
        <v>3035.0741019553734</v>
      </c>
    </row>
    <row r="13" spans="1:8">
      <c r="A13" s="26">
        <v>2</v>
      </c>
      <c r="B13" s="6" t="s">
        <v>17</v>
      </c>
      <c r="C13" s="32" t="s">
        <v>59</v>
      </c>
      <c r="D13" s="14">
        <v>8.8968325791855207</v>
      </c>
      <c r="E13" s="14">
        <v>6.7176470588235286</v>
      </c>
      <c r="F13" s="14"/>
      <c r="G13" s="14"/>
      <c r="H13" s="18">
        <v>15.614479638009049</v>
      </c>
    </row>
    <row r="14" spans="1:8">
      <c r="A14" s="9">
        <v>3</v>
      </c>
      <c r="B14" s="6" t="s">
        <v>18</v>
      </c>
      <c r="C14" s="32" t="s">
        <v>60</v>
      </c>
      <c r="D14" s="14"/>
      <c r="E14" s="14">
        <v>532.32277526395183</v>
      </c>
      <c r="F14" s="14"/>
      <c r="G14" s="14"/>
      <c r="H14" s="18">
        <v>532.32277526395183</v>
      </c>
    </row>
    <row r="15" spans="1:8">
      <c r="A15" s="26">
        <v>4</v>
      </c>
      <c r="B15" s="6" t="s">
        <v>19</v>
      </c>
      <c r="C15" s="32" t="s">
        <v>61</v>
      </c>
      <c r="D15" s="14"/>
      <c r="E15" s="14">
        <v>86.448567119155356</v>
      </c>
      <c r="F15" s="14"/>
      <c r="G15" s="14"/>
      <c r="H15" s="18">
        <v>86.448567119155356</v>
      </c>
    </row>
    <row r="16" spans="1:8" ht="25.5">
      <c r="A16" s="9">
        <v>5</v>
      </c>
      <c r="B16" s="6" t="s">
        <v>20</v>
      </c>
      <c r="C16" s="32" t="s">
        <v>62</v>
      </c>
      <c r="D16" s="14">
        <v>34.820211161387633</v>
      </c>
      <c r="E16" s="14"/>
      <c r="F16" s="14"/>
      <c r="G16" s="14"/>
      <c r="H16" s="18">
        <v>34.820211161387633</v>
      </c>
    </row>
    <row r="17" spans="1:9">
      <c r="A17" s="26">
        <v>6</v>
      </c>
      <c r="B17" s="6" t="s">
        <v>21</v>
      </c>
      <c r="C17" s="32" t="s">
        <v>63</v>
      </c>
      <c r="D17" s="14">
        <v>411.30558069381601</v>
      </c>
      <c r="E17" s="14">
        <v>5.384615384615385</v>
      </c>
      <c r="F17" s="14"/>
      <c r="G17" s="14"/>
      <c r="H17" s="18">
        <v>416.69019607843137</v>
      </c>
    </row>
    <row r="18" spans="1:9">
      <c r="A18" s="9">
        <v>7</v>
      </c>
      <c r="B18" s="6" t="s">
        <v>22</v>
      </c>
      <c r="C18" s="32" t="s">
        <v>64</v>
      </c>
      <c r="D18" s="14"/>
      <c r="E18" s="14">
        <v>4.6532428355957771</v>
      </c>
      <c r="F18" s="14">
        <v>22.423991031390134</v>
      </c>
      <c r="G18" s="14"/>
      <c r="H18" s="18">
        <v>27.07723386698591</v>
      </c>
    </row>
    <row r="19" spans="1:9">
      <c r="A19" s="26">
        <v>8</v>
      </c>
      <c r="B19" s="6" t="s">
        <v>23</v>
      </c>
      <c r="C19" s="32" t="s">
        <v>65</v>
      </c>
      <c r="D19" s="14"/>
      <c r="E19" s="14">
        <v>85.874962292609354</v>
      </c>
      <c r="F19" s="14">
        <v>1613.9818385650226</v>
      </c>
      <c r="G19" s="14"/>
      <c r="H19" s="18">
        <v>1699.8568008576319</v>
      </c>
    </row>
    <row r="20" spans="1:9">
      <c r="A20" s="9">
        <v>9</v>
      </c>
      <c r="B20" s="6" t="s">
        <v>24</v>
      </c>
      <c r="C20" s="32" t="s">
        <v>66</v>
      </c>
      <c r="D20" s="14">
        <v>60.897435897435898</v>
      </c>
      <c r="E20" s="14">
        <v>131.07269984917042</v>
      </c>
      <c r="F20" s="14">
        <v>552.48654708520178</v>
      </c>
      <c r="G20" s="14"/>
      <c r="H20" s="18">
        <v>744.45668283180817</v>
      </c>
      <c r="I20" s="33"/>
    </row>
    <row r="21" spans="1:9">
      <c r="A21" s="26">
        <v>10</v>
      </c>
      <c r="B21" s="34" t="s">
        <v>79</v>
      </c>
      <c r="C21" s="35" t="s">
        <v>67</v>
      </c>
      <c r="D21" s="36">
        <v>124.08084464555053</v>
      </c>
      <c r="E21" s="36"/>
      <c r="F21" s="36"/>
      <c r="G21" s="36"/>
      <c r="H21" s="18">
        <v>124.08084464555053</v>
      </c>
    </row>
    <row r="22" spans="1:9">
      <c r="A22" s="20"/>
      <c r="B22" s="24"/>
      <c r="C22" s="37" t="s">
        <v>25</v>
      </c>
      <c r="D22" s="23">
        <v>640.00090497737563</v>
      </c>
      <c r="E22" s="23">
        <v>1032.8535444947208</v>
      </c>
      <c r="F22" s="23">
        <v>5043.5874439461886</v>
      </c>
      <c r="G22" s="23">
        <v>0</v>
      </c>
      <c r="H22" s="30">
        <v>6716.4418934182859</v>
      </c>
    </row>
    <row r="23" spans="1:9">
      <c r="A23" s="79"/>
      <c r="B23" s="159"/>
      <c r="C23" s="160" t="s">
        <v>168</v>
      </c>
      <c r="D23" s="38"/>
      <c r="E23" s="38"/>
      <c r="F23" s="38"/>
      <c r="G23" s="38"/>
      <c r="H23" s="38"/>
    </row>
    <row r="24" spans="1:9" ht="38.25">
      <c r="A24" s="79">
        <v>11</v>
      </c>
      <c r="B24" s="161" t="s">
        <v>10</v>
      </c>
      <c r="C24" s="162" t="s">
        <v>11</v>
      </c>
      <c r="D24" s="39">
        <v>24.960035294117649</v>
      </c>
      <c r="E24" s="39">
        <v>40.281288235294113</v>
      </c>
      <c r="F24" s="39">
        <v>196.69991031390137</v>
      </c>
      <c r="G24" s="39">
        <v>0</v>
      </c>
      <c r="H24" s="39">
        <v>261.94123384331311</v>
      </c>
    </row>
    <row r="25" spans="1:9">
      <c r="A25" s="79"/>
      <c r="B25" s="161"/>
      <c r="C25" s="163" t="s">
        <v>169</v>
      </c>
      <c r="D25" s="38">
        <v>24.960035294117649</v>
      </c>
      <c r="E25" s="38">
        <v>40.281288235294113</v>
      </c>
      <c r="F25" s="38">
        <v>196.69991031390137</v>
      </c>
      <c r="G25" s="38">
        <v>0</v>
      </c>
      <c r="H25" s="38">
        <v>261.94123384331311</v>
      </c>
    </row>
    <row r="26" spans="1:9">
      <c r="A26" s="79"/>
      <c r="B26" s="161"/>
      <c r="C26" s="163" t="s">
        <v>170</v>
      </c>
      <c r="D26" s="38">
        <v>664.96094027149331</v>
      </c>
      <c r="E26" s="38">
        <v>1073.134832730015</v>
      </c>
      <c r="F26" s="38">
        <v>5240.2873542600901</v>
      </c>
      <c r="G26" s="38">
        <v>0</v>
      </c>
      <c r="H26" s="38">
        <v>6978.3831272615989</v>
      </c>
    </row>
    <row r="27" spans="1:9">
      <c r="A27" s="77"/>
      <c r="B27" s="173" t="s">
        <v>57</v>
      </c>
      <c r="C27" s="174"/>
      <c r="D27" s="38"/>
      <c r="E27" s="38"/>
      <c r="F27" s="38"/>
      <c r="G27" s="38"/>
      <c r="H27" s="18"/>
    </row>
    <row r="28" spans="1:9">
      <c r="A28" s="77">
        <v>12</v>
      </c>
      <c r="B28" s="6" t="s">
        <v>72</v>
      </c>
      <c r="C28" s="12" t="s">
        <v>68</v>
      </c>
      <c r="D28" s="38"/>
      <c r="E28" s="38"/>
      <c r="F28" s="38"/>
      <c r="G28" s="39">
        <v>43.845427728613565</v>
      </c>
      <c r="H28" s="18">
        <v>43.845427728613565</v>
      </c>
    </row>
    <row r="29" spans="1:9" s="15" customFormat="1">
      <c r="A29" s="77">
        <v>13</v>
      </c>
      <c r="B29" s="6" t="s">
        <v>73</v>
      </c>
      <c r="C29" s="7" t="s">
        <v>69</v>
      </c>
      <c r="D29" s="18"/>
      <c r="E29" s="18"/>
      <c r="F29" s="18"/>
      <c r="G29" s="14">
        <v>214.25530973451328</v>
      </c>
      <c r="H29" s="18">
        <v>214.25530973451328</v>
      </c>
    </row>
    <row r="30" spans="1:9" s="15" customFormat="1">
      <c r="A30" s="77">
        <v>14</v>
      </c>
      <c r="B30" s="6" t="s">
        <v>74</v>
      </c>
      <c r="C30" s="7" t="s">
        <v>70</v>
      </c>
      <c r="D30" s="18"/>
      <c r="E30" s="18"/>
      <c r="F30" s="18"/>
      <c r="G30" s="14">
        <v>21.577802359882007</v>
      </c>
      <c r="H30" s="18">
        <v>21.577802359882007</v>
      </c>
    </row>
    <row r="31" spans="1:9" s="15" customFormat="1">
      <c r="A31" s="77">
        <v>15</v>
      </c>
      <c r="B31" s="6" t="s">
        <v>75</v>
      </c>
      <c r="C31" s="7" t="s">
        <v>71</v>
      </c>
      <c r="D31" s="18"/>
      <c r="E31" s="18"/>
      <c r="F31" s="18"/>
      <c r="G31" s="14">
        <v>45.775958702064891</v>
      </c>
      <c r="H31" s="18">
        <v>45.775958702064891</v>
      </c>
    </row>
    <row r="32" spans="1:9" s="15" customFormat="1" ht="38.25">
      <c r="A32" s="77">
        <v>16</v>
      </c>
      <c r="B32" s="78" t="s">
        <v>12</v>
      </c>
      <c r="C32" s="19" t="s">
        <v>13</v>
      </c>
      <c r="D32" s="14">
        <v>5.0271047084524891</v>
      </c>
      <c r="E32" s="14">
        <v>8.1128993354389127</v>
      </c>
      <c r="F32" s="14">
        <v>0</v>
      </c>
      <c r="G32" s="14">
        <v>0</v>
      </c>
      <c r="H32" s="18">
        <v>13.140004043891402</v>
      </c>
    </row>
    <row r="33" spans="1:8" s="15" customFormat="1" ht="14.25" customHeight="1">
      <c r="A33" s="40"/>
      <c r="B33" s="21"/>
      <c r="C33" s="22" t="s">
        <v>76</v>
      </c>
      <c r="D33" s="23">
        <v>5.0271047084524891</v>
      </c>
      <c r="E33" s="23">
        <v>8.1128993354389127</v>
      </c>
      <c r="F33" s="23">
        <v>0</v>
      </c>
      <c r="G33" s="23">
        <v>325.45449852507375</v>
      </c>
      <c r="H33" s="23">
        <v>338.59450256896514</v>
      </c>
    </row>
    <row r="34" spans="1:8" s="15" customFormat="1" ht="14.25" customHeight="1">
      <c r="A34" s="40"/>
      <c r="B34" s="41"/>
      <c r="C34" s="22" t="s">
        <v>77</v>
      </c>
      <c r="D34" s="23">
        <v>669.98804497994581</v>
      </c>
      <c r="E34" s="23">
        <v>1081.2477320654539</v>
      </c>
      <c r="F34" s="23">
        <v>5240.2873542600901</v>
      </c>
      <c r="G34" s="23">
        <v>325.45449852507375</v>
      </c>
      <c r="H34" s="23">
        <v>7316.9776298305642</v>
      </c>
    </row>
    <row r="35" spans="1:8" s="15" customFormat="1" ht="14.25" customHeight="1">
      <c r="A35" s="79"/>
      <c r="B35" s="161"/>
      <c r="C35" s="160" t="s">
        <v>171</v>
      </c>
      <c r="D35" s="39"/>
      <c r="E35" s="39"/>
      <c r="F35" s="39"/>
      <c r="G35" s="39"/>
      <c r="H35" s="39"/>
    </row>
    <row r="36" spans="1:8" s="15" customFormat="1" ht="14.25" customHeight="1">
      <c r="A36" s="79">
        <v>17</v>
      </c>
      <c r="B36" s="161"/>
      <c r="C36" s="164" t="s">
        <v>172</v>
      </c>
      <c r="D36" s="39">
        <v>0</v>
      </c>
      <c r="E36" s="39">
        <v>0</v>
      </c>
      <c r="F36" s="39">
        <v>0</v>
      </c>
      <c r="G36" s="39">
        <v>531.60921671018275</v>
      </c>
      <c r="H36" s="39">
        <v>531.60921671018275</v>
      </c>
    </row>
    <row r="37" spans="1:8" s="15" customFormat="1" ht="14.25" customHeight="1">
      <c r="A37" s="79"/>
      <c r="B37" s="161"/>
      <c r="C37" s="163" t="s">
        <v>173</v>
      </c>
      <c r="D37" s="38">
        <f>D36</f>
        <v>0</v>
      </c>
      <c r="E37" s="38">
        <f>E36</f>
        <v>0</v>
      </c>
      <c r="F37" s="38">
        <f>F31+F36</f>
        <v>0</v>
      </c>
      <c r="G37" s="38">
        <f>G36</f>
        <v>531.60921671018275</v>
      </c>
      <c r="H37" s="38">
        <f>H36</f>
        <v>531.60921671018275</v>
      </c>
    </row>
    <row r="38" spans="1:8" s="15" customFormat="1" ht="14.25" customHeight="1">
      <c r="A38" s="79"/>
      <c r="B38" s="165"/>
      <c r="C38" s="163" t="s">
        <v>174</v>
      </c>
      <c r="D38" s="38">
        <f>D34+D37</f>
        <v>669.98804497994581</v>
      </c>
      <c r="E38" s="38">
        <f>E34+E37</f>
        <v>1081.2477320654539</v>
      </c>
      <c r="F38" s="38">
        <f>F34+F37</f>
        <v>5240.2873542600901</v>
      </c>
      <c r="G38" s="38">
        <f>G34+G37</f>
        <v>857.0637152352565</v>
      </c>
      <c r="H38" s="38">
        <f>H34+H37</f>
        <v>7848.5868465407466</v>
      </c>
    </row>
    <row r="39" spans="1:8" ht="24.75" customHeight="1">
      <c r="A39" s="77"/>
      <c r="B39" s="78" t="s">
        <v>14</v>
      </c>
      <c r="C39" s="42" t="s">
        <v>175</v>
      </c>
      <c r="D39" s="18">
        <f>D38*0.03</f>
        <v>20.099641349398375</v>
      </c>
      <c r="E39" s="18">
        <f>E38*0.03</f>
        <v>32.437431961963618</v>
      </c>
      <c r="F39" s="18">
        <f>F38*0.03</f>
        <v>157.2086206278027</v>
      </c>
      <c r="G39" s="18">
        <f>G38*0.03</f>
        <v>25.711911457057695</v>
      </c>
      <c r="H39" s="18">
        <f>H38*0.03</f>
        <v>235.45760539622239</v>
      </c>
    </row>
    <row r="40" spans="1:8" ht="23.25" customHeight="1">
      <c r="A40" s="20"/>
      <c r="B40" s="21"/>
      <c r="C40" s="22" t="s">
        <v>80</v>
      </c>
      <c r="D40" s="27">
        <f>SUM(D38:D39)</f>
        <v>690.08768632934414</v>
      </c>
      <c r="E40" s="27">
        <f>SUM(E38:E39)</f>
        <v>1113.6851640274174</v>
      </c>
      <c r="F40" s="27">
        <f>SUM(F38:F39)</f>
        <v>5397.4959748878928</v>
      </c>
      <c r="G40" s="27">
        <f>SUM(G38:G39)</f>
        <v>882.77562669231418</v>
      </c>
      <c r="H40" s="27">
        <f>SUM(H38:H39)</f>
        <v>8084.0444519369694</v>
      </c>
    </row>
    <row r="41" spans="1:8" ht="17.25" customHeight="1">
      <c r="A41" s="20"/>
      <c r="B41" s="21"/>
      <c r="C41" s="43" t="s">
        <v>177</v>
      </c>
      <c r="D41" s="44">
        <f>D40*0.18</f>
        <v>124.21578353928194</v>
      </c>
      <c r="E41" s="44">
        <f>E40*0.18</f>
        <v>200.46332952493512</v>
      </c>
      <c r="F41" s="44">
        <f>F40*0.18</f>
        <v>971.54927547982061</v>
      </c>
      <c r="G41" s="44">
        <f>G40*0.18</f>
        <v>158.89961280461654</v>
      </c>
      <c r="H41" s="44">
        <f>H40*0.18</f>
        <v>1455.1280013486544</v>
      </c>
    </row>
    <row r="42" spans="1:8" ht="17.25" customHeight="1">
      <c r="A42" s="20"/>
      <c r="B42" s="24"/>
      <c r="C42" s="45" t="s">
        <v>26</v>
      </c>
      <c r="D42" s="29">
        <f>SUM(D40:D41)</f>
        <v>814.30346986862605</v>
      </c>
      <c r="E42" s="29">
        <f>SUM(E40:E41)</f>
        <v>1314.1484935523524</v>
      </c>
      <c r="F42" s="29">
        <f>SUM(F40:F41)</f>
        <v>6369.0452503677134</v>
      </c>
      <c r="G42" s="29">
        <f>SUM(G40:G41)</f>
        <v>1041.6752394969308</v>
      </c>
      <c r="H42" s="29">
        <f>SUM(H40:H41)</f>
        <v>9539.1724532856242</v>
      </c>
    </row>
    <row r="43" spans="1:8">
      <c r="C43" s="1"/>
      <c r="D43" s="167"/>
      <c r="E43" s="168"/>
      <c r="F43" s="168"/>
      <c r="G43" s="168"/>
    </row>
  </sheetData>
  <mergeCells count="18">
    <mergeCell ref="B11:C11"/>
    <mergeCell ref="D43:G43"/>
    <mergeCell ref="A6:A9"/>
    <mergeCell ref="B6:B9"/>
    <mergeCell ref="C6:C9"/>
    <mergeCell ref="D6:G6"/>
    <mergeCell ref="B27:C27"/>
    <mergeCell ref="H6:H9"/>
    <mergeCell ref="D7:D9"/>
    <mergeCell ref="E7:E9"/>
    <mergeCell ref="F7:F9"/>
    <mergeCell ref="G7:G9"/>
    <mergeCell ref="B5:H5"/>
    <mergeCell ref="A1:B1"/>
    <mergeCell ref="C1:G1"/>
    <mergeCell ref="C2:H2"/>
    <mergeCell ref="C3:G3"/>
    <mergeCell ref="C4:G4"/>
  </mergeCells>
  <pageMargins left="0.25" right="0.25" top="0.75" bottom="0.75" header="0.3" footer="0.3"/>
  <pageSetup paperSize="9" scale="6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W27"/>
  <sheetViews>
    <sheetView tabSelected="1" topLeftCell="A11" zoomScaleNormal="100" workbookViewId="0">
      <selection activeCell="K13" sqref="K13"/>
    </sheetView>
  </sheetViews>
  <sheetFormatPr defaultColWidth="14" defaultRowHeight="12.75"/>
  <cols>
    <col min="1" max="1" width="7.42578125" style="51" customWidth="1"/>
    <col min="2" max="2" width="34.7109375" style="51" customWidth="1"/>
    <col min="3" max="3" width="19.85546875" style="51" customWidth="1"/>
    <col min="4" max="8" width="12" style="51" customWidth="1"/>
    <col min="9" max="9" width="12.42578125" style="50" customWidth="1"/>
    <col min="10" max="10" width="12.5703125" style="51" customWidth="1"/>
    <col min="11" max="17" width="14" style="51"/>
    <col min="18" max="18" width="18" style="51" customWidth="1"/>
    <col min="19" max="16384" width="14" style="51"/>
  </cols>
  <sheetData>
    <row r="2" spans="1:23" ht="15" customHeight="1">
      <c r="A2" s="50" t="s">
        <v>55</v>
      </c>
      <c r="B2" s="229" t="s">
        <v>82</v>
      </c>
      <c r="C2" s="229"/>
      <c r="D2" s="229"/>
      <c r="E2" s="229"/>
      <c r="F2" s="229"/>
      <c r="G2" s="229"/>
      <c r="H2" s="229"/>
      <c r="I2" s="229"/>
      <c r="J2" s="229"/>
    </row>
    <row r="3" spans="1:23">
      <c r="C3" s="230"/>
      <c r="D3" s="230"/>
      <c r="E3" s="230"/>
      <c r="F3" s="230"/>
      <c r="G3" s="230"/>
    </row>
    <row r="5" spans="1:23" ht="20.25" customHeight="1">
      <c r="A5" s="231" t="s">
        <v>29</v>
      </c>
      <c r="B5" s="231" t="s">
        <v>30</v>
      </c>
      <c r="C5" s="231" t="s">
        <v>31</v>
      </c>
      <c r="D5" s="52"/>
      <c r="E5" s="226" t="s">
        <v>32</v>
      </c>
      <c r="F5" s="227"/>
      <c r="G5" s="227"/>
      <c r="H5" s="227"/>
      <c r="I5" s="228"/>
      <c r="J5" s="219" t="s">
        <v>33</v>
      </c>
    </row>
    <row r="6" spans="1:23" ht="78.75" customHeight="1">
      <c r="A6" s="232"/>
      <c r="B6" s="232"/>
      <c r="C6" s="232"/>
      <c r="D6" s="220" t="s">
        <v>34</v>
      </c>
      <c r="E6" s="220" t="s">
        <v>35</v>
      </c>
      <c r="F6" s="222" t="s">
        <v>36</v>
      </c>
      <c r="G6" s="220" t="s">
        <v>37</v>
      </c>
      <c r="H6" s="220" t="s">
        <v>38</v>
      </c>
      <c r="I6" s="224" t="s">
        <v>39</v>
      </c>
      <c r="J6" s="219"/>
      <c r="L6" s="53" t="s">
        <v>53</v>
      </c>
      <c r="M6" s="53" t="s">
        <v>54</v>
      </c>
    </row>
    <row r="7" spans="1:23" ht="19.5" customHeight="1">
      <c r="A7" s="233"/>
      <c r="B7" s="233"/>
      <c r="C7" s="233"/>
      <c r="D7" s="221"/>
      <c r="E7" s="221"/>
      <c r="F7" s="223"/>
      <c r="G7" s="221"/>
      <c r="H7" s="221"/>
      <c r="I7" s="225"/>
      <c r="J7" s="219"/>
      <c r="L7" s="54">
        <v>2020</v>
      </c>
      <c r="M7" s="54">
        <v>2021</v>
      </c>
    </row>
    <row r="8" spans="1:23" ht="33.75" customHeight="1">
      <c r="A8" s="55"/>
      <c r="B8" s="53" t="s">
        <v>49</v>
      </c>
      <c r="C8" s="55"/>
      <c r="D8" s="80">
        <f>'ССР 2 кв 2018'!G45/1000</f>
        <v>2.0971452295519657</v>
      </c>
      <c r="E8" s="56">
        <f>'ССР 2 кв 2018'!E44/1000</f>
        <v>11.959013997865329</v>
      </c>
      <c r="F8" s="57">
        <f>'ССР 2 кв 2018'!F40/1000</f>
        <v>24.072832047999999</v>
      </c>
      <c r="G8" s="56">
        <f>'ССР 2 кв 2018'!G44/1000</f>
        <v>4.5455578900000004</v>
      </c>
      <c r="H8" s="56">
        <v>0</v>
      </c>
      <c r="I8" s="73">
        <f>SUM(D8:H8)</f>
        <v>42.674549165417289</v>
      </c>
      <c r="J8" s="48">
        <f>I8*1.18</f>
        <v>50.355968015192396</v>
      </c>
    </row>
    <row r="9" spans="1:23" ht="33.75" customHeight="1">
      <c r="A9" s="55"/>
      <c r="B9" s="53" t="s">
        <v>50</v>
      </c>
      <c r="C9" s="55"/>
      <c r="D9" s="56">
        <v>0</v>
      </c>
      <c r="E9" s="56">
        <v>0</v>
      </c>
      <c r="F9" s="57">
        <v>0</v>
      </c>
      <c r="G9" s="56">
        <v>0</v>
      </c>
      <c r="H9" s="56">
        <v>0</v>
      </c>
      <c r="I9" s="73">
        <f>SUM(D9:H9)</f>
        <v>0</v>
      </c>
      <c r="J9" s="49"/>
      <c r="L9" s="58"/>
    </row>
    <row r="10" spans="1:23" ht="33.75" customHeight="1">
      <c r="A10" s="55"/>
      <c r="B10" s="53" t="s">
        <v>51</v>
      </c>
      <c r="C10" s="55"/>
      <c r="D10" s="56">
        <f>SUM(D8:D9)</f>
        <v>2.0971452295519657</v>
      </c>
      <c r="E10" s="56">
        <f>SUM(E8:E9)</f>
        <v>11.959013997865329</v>
      </c>
      <c r="F10" s="56">
        <f t="shared" ref="F10:I10" si="0">SUM(F8:F9)</f>
        <v>24.072832047999999</v>
      </c>
      <c r="G10" s="56">
        <f t="shared" si="0"/>
        <v>4.5455578900000004</v>
      </c>
      <c r="H10" s="56">
        <f t="shared" si="0"/>
        <v>0</v>
      </c>
      <c r="I10" s="73">
        <f t="shared" si="0"/>
        <v>42.674549165417289</v>
      </c>
      <c r="J10" s="48">
        <f>I10*1.2</f>
        <v>51.209458998500743</v>
      </c>
      <c r="O10" s="59"/>
      <c r="S10" s="218"/>
      <c r="T10" s="218"/>
      <c r="U10" s="218"/>
      <c r="V10" s="218"/>
      <c r="W10" s="218"/>
    </row>
    <row r="11" spans="1:23" ht="33.75" customHeight="1">
      <c r="A11" s="60">
        <v>1</v>
      </c>
      <c r="B11" s="60" t="s">
        <v>40</v>
      </c>
      <c r="C11" s="60"/>
      <c r="D11" s="61">
        <f>D10</f>
        <v>2.0971452295519657</v>
      </c>
      <c r="E11" s="61">
        <f t="shared" ref="E11:I11" si="1">E10</f>
        <v>11.959013997865329</v>
      </c>
      <c r="F11" s="61">
        <f t="shared" si="1"/>
        <v>24.072832047999999</v>
      </c>
      <c r="G11" s="61">
        <f t="shared" si="1"/>
        <v>4.5455578900000004</v>
      </c>
      <c r="H11" s="61">
        <f t="shared" si="1"/>
        <v>0</v>
      </c>
      <c r="I11" s="74">
        <f t="shared" si="1"/>
        <v>42.674549165417289</v>
      </c>
      <c r="J11" s="49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</row>
    <row r="12" spans="1:23" ht="91.5" customHeight="1">
      <c r="A12" s="53">
        <v>2</v>
      </c>
      <c r="B12" s="53" t="s">
        <v>41</v>
      </c>
      <c r="C12" s="55" t="s">
        <v>179</v>
      </c>
      <c r="D12" s="56">
        <v>4.24</v>
      </c>
      <c r="E12" s="56">
        <v>7.1</v>
      </c>
      <c r="F12" s="56">
        <v>4.78</v>
      </c>
      <c r="G12" s="56">
        <v>20.85</v>
      </c>
      <c r="H12" s="56">
        <v>9.43</v>
      </c>
      <c r="I12" s="48"/>
      <c r="J12" s="48"/>
      <c r="O12" s="59"/>
      <c r="R12" s="62"/>
    </row>
    <row r="13" spans="1:23" ht="34.5" customHeight="1">
      <c r="A13" s="60">
        <v>3</v>
      </c>
      <c r="B13" s="64" t="s">
        <v>42</v>
      </c>
      <c r="C13" s="64" t="s">
        <v>85</v>
      </c>
      <c r="D13" s="61">
        <f>D11/D12</f>
        <v>0.49460972395093528</v>
      </c>
      <c r="E13" s="61">
        <f t="shared" ref="E13:G13" si="2">E11/E12</f>
        <v>1.6843681687134267</v>
      </c>
      <c r="F13" s="61">
        <f t="shared" si="2"/>
        <v>5.0361573322175728</v>
      </c>
      <c r="G13" s="61">
        <f t="shared" si="2"/>
        <v>0.21801236882494004</v>
      </c>
      <c r="H13" s="61">
        <f>H11/H12</f>
        <v>0</v>
      </c>
      <c r="I13" s="75">
        <f>SUM(D13:H13)</f>
        <v>7.4331475937068747</v>
      </c>
      <c r="J13" s="65">
        <f>I13*1.2</f>
        <v>8.9197771124482497</v>
      </c>
      <c r="L13" s="58"/>
      <c r="M13" s="58"/>
      <c r="N13" s="58"/>
      <c r="O13" s="58"/>
      <c r="P13" s="58"/>
      <c r="Q13" s="58"/>
    </row>
    <row r="14" spans="1:23" ht="59.25" customHeight="1">
      <c r="A14" s="53">
        <v>4</v>
      </c>
      <c r="B14" s="53" t="s">
        <v>43</v>
      </c>
      <c r="C14" s="53" t="s">
        <v>86</v>
      </c>
      <c r="D14" s="66">
        <v>3.99</v>
      </c>
      <c r="E14" s="66">
        <v>6.55</v>
      </c>
      <c r="F14" s="66">
        <v>4.4400000000000004</v>
      </c>
      <c r="G14" s="66">
        <v>13.38</v>
      </c>
      <c r="H14" s="66">
        <v>8.74</v>
      </c>
      <c r="I14" s="48"/>
      <c r="J14" s="63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</row>
    <row r="15" spans="1:23" ht="42.75" customHeight="1">
      <c r="A15" s="60">
        <v>5</v>
      </c>
      <c r="B15" s="60" t="s">
        <v>44</v>
      </c>
      <c r="C15" s="60" t="s">
        <v>87</v>
      </c>
      <c r="D15" s="68">
        <f>D13*D14</f>
        <v>1.9734927985642319</v>
      </c>
      <c r="E15" s="68">
        <f>E13*E14</f>
        <v>11.032611505072945</v>
      </c>
      <c r="F15" s="68">
        <f>F13*F14</f>
        <v>22.360538555046023</v>
      </c>
      <c r="G15" s="68">
        <f>G13*G14</f>
        <v>2.917005494877698</v>
      </c>
      <c r="H15" s="68">
        <f>H13*H14</f>
        <v>0</v>
      </c>
      <c r="I15" s="75">
        <f>SUM(D15:H15)</f>
        <v>38.283648353560899</v>
      </c>
      <c r="J15" s="65">
        <f>I15*1.18</f>
        <v>45.174705057201855</v>
      </c>
      <c r="L15" s="58"/>
      <c r="M15" s="58"/>
      <c r="N15" s="58"/>
      <c r="O15" s="58"/>
      <c r="P15" s="58"/>
    </row>
    <row r="16" spans="1:23">
      <c r="A16" s="231">
        <v>6</v>
      </c>
      <c r="B16" s="231" t="s">
        <v>178</v>
      </c>
      <c r="C16" s="69" t="s">
        <v>88</v>
      </c>
      <c r="D16" s="70">
        <v>105.3</v>
      </c>
      <c r="E16" s="70">
        <v>105.3</v>
      </c>
      <c r="F16" s="70">
        <v>105.3</v>
      </c>
      <c r="G16" s="70">
        <v>105.3</v>
      </c>
      <c r="H16" s="70">
        <v>105.3</v>
      </c>
      <c r="I16" s="48"/>
      <c r="J16" s="63"/>
    </row>
    <row r="17" spans="1:17">
      <c r="A17" s="232"/>
      <c r="B17" s="232"/>
      <c r="C17" s="69" t="s">
        <v>89</v>
      </c>
      <c r="D17" s="70">
        <v>107.4</v>
      </c>
      <c r="E17" s="70">
        <v>107.4</v>
      </c>
      <c r="F17" s="70">
        <v>107.4</v>
      </c>
      <c r="G17" s="70">
        <v>107.4</v>
      </c>
      <c r="H17" s="70">
        <v>107.4</v>
      </c>
      <c r="I17" s="48"/>
      <c r="J17" s="63"/>
    </row>
    <row r="18" spans="1:17">
      <c r="A18" s="232"/>
      <c r="B18" s="232"/>
      <c r="C18" s="69" t="s">
        <v>90</v>
      </c>
      <c r="D18" s="70">
        <v>103.6</v>
      </c>
      <c r="E18" s="70">
        <v>103.6</v>
      </c>
      <c r="F18" s="70">
        <v>103.6</v>
      </c>
      <c r="G18" s="70">
        <v>103.6</v>
      </c>
      <c r="H18" s="70">
        <v>103.6</v>
      </c>
      <c r="I18" s="48"/>
      <c r="J18" s="63"/>
    </row>
    <row r="19" spans="1:17">
      <c r="A19" s="232"/>
      <c r="B19" s="232"/>
      <c r="C19" s="69" t="s">
        <v>91</v>
      </c>
      <c r="D19" s="70">
        <v>103.7</v>
      </c>
      <c r="E19" s="70">
        <v>103.7</v>
      </c>
      <c r="F19" s="70">
        <v>103.7</v>
      </c>
      <c r="G19" s="70">
        <v>103.7</v>
      </c>
      <c r="H19" s="70">
        <v>103.7</v>
      </c>
      <c r="I19" s="48"/>
      <c r="J19" s="63"/>
    </row>
    <row r="20" spans="1:17">
      <c r="A20" s="232"/>
      <c r="B20" s="232"/>
      <c r="C20" s="69" t="s">
        <v>92</v>
      </c>
      <c r="D20" s="70">
        <v>103.7</v>
      </c>
      <c r="E20" s="70">
        <v>103.7</v>
      </c>
      <c r="F20" s="70">
        <v>103.7</v>
      </c>
      <c r="G20" s="70">
        <v>103.7</v>
      </c>
      <c r="H20" s="70">
        <v>103.7</v>
      </c>
      <c r="I20" s="48"/>
      <c r="J20" s="63"/>
    </row>
    <row r="21" spans="1:17">
      <c r="A21" s="232"/>
      <c r="B21" s="232"/>
      <c r="C21" s="69" t="s">
        <v>93</v>
      </c>
      <c r="D21" s="70">
        <v>103.8</v>
      </c>
      <c r="E21" s="70">
        <v>103.8</v>
      </c>
      <c r="F21" s="70">
        <v>103.8</v>
      </c>
      <c r="G21" s="70">
        <v>103.8</v>
      </c>
      <c r="H21" s="70">
        <v>103.8</v>
      </c>
      <c r="I21" s="48"/>
      <c r="J21" s="63"/>
    </row>
    <row r="22" spans="1:17">
      <c r="A22" s="233"/>
      <c r="B22" s="233"/>
      <c r="C22" s="69" t="s">
        <v>94</v>
      </c>
      <c r="D22" s="70">
        <v>103.8</v>
      </c>
      <c r="E22" s="70">
        <v>103.8</v>
      </c>
      <c r="F22" s="70">
        <v>103.8</v>
      </c>
      <c r="G22" s="70">
        <v>103.8</v>
      </c>
      <c r="H22" s="70">
        <v>103.8</v>
      </c>
      <c r="I22" s="48"/>
      <c r="J22" s="63"/>
    </row>
    <row r="23" spans="1:17" ht="83.25" customHeight="1">
      <c r="A23" s="53">
        <v>7</v>
      </c>
      <c r="B23" s="53" t="s">
        <v>47</v>
      </c>
      <c r="C23" s="53" t="s">
        <v>46</v>
      </c>
      <c r="D23" s="71">
        <f>D17*D18/10000</f>
        <v>1.1126639999999999</v>
      </c>
      <c r="E23" s="71">
        <f t="shared" ref="E23:H23" si="3">E17*E18/10000</f>
        <v>1.1126639999999999</v>
      </c>
      <c r="F23" s="71">
        <f t="shared" si="3"/>
        <v>1.1126639999999999</v>
      </c>
      <c r="G23" s="71">
        <f t="shared" si="3"/>
        <v>1.1126639999999999</v>
      </c>
      <c r="H23" s="71">
        <f t="shared" si="3"/>
        <v>1.1126639999999999</v>
      </c>
      <c r="I23" s="48"/>
      <c r="J23" s="63"/>
      <c r="L23" s="58"/>
      <c r="M23" s="58"/>
      <c r="N23" s="58"/>
      <c r="O23" s="58"/>
    </row>
    <row r="24" spans="1:17" ht="48" customHeight="1">
      <c r="A24" s="53">
        <v>8</v>
      </c>
      <c r="B24" s="53" t="s">
        <v>52</v>
      </c>
      <c r="C24" s="53" t="s">
        <v>180</v>
      </c>
      <c r="D24" s="71">
        <f>5.1/1.2</f>
        <v>4.25</v>
      </c>
      <c r="E24" s="71">
        <f t="shared" ref="E24:H24" si="4">E8*E23</f>
        <v>13.306364350920827</v>
      </c>
      <c r="F24" s="71">
        <f t="shared" si="4"/>
        <v>26.784973597855867</v>
      </c>
      <c r="G24" s="71">
        <f t="shared" si="4"/>
        <v>5.0576786241189602</v>
      </c>
      <c r="H24" s="71">
        <f t="shared" si="4"/>
        <v>0</v>
      </c>
      <c r="I24" s="48">
        <f>SUM(E24:H24)+D24</f>
        <v>49.399016572895661</v>
      </c>
      <c r="J24" s="63">
        <f>(I24-D24)*1.2+5.1</f>
        <v>59.278819887474796</v>
      </c>
      <c r="L24" s="58"/>
      <c r="M24" s="58"/>
      <c r="N24" s="58"/>
      <c r="O24" s="58"/>
      <c r="P24" s="58"/>
      <c r="Q24" s="58"/>
    </row>
    <row r="25" spans="1:17" ht="72.75" customHeight="1">
      <c r="A25" s="60">
        <v>9</v>
      </c>
      <c r="B25" s="60" t="s">
        <v>45</v>
      </c>
      <c r="C25" s="60"/>
      <c r="D25" s="72">
        <f>D24</f>
        <v>4.25</v>
      </c>
      <c r="E25" s="72">
        <f t="shared" ref="E25:H25" si="5">E24</f>
        <v>13.306364350920827</v>
      </c>
      <c r="F25" s="72">
        <f t="shared" si="5"/>
        <v>26.784973597855867</v>
      </c>
      <c r="G25" s="72">
        <f t="shared" si="5"/>
        <v>5.0576786241189602</v>
      </c>
      <c r="H25" s="72">
        <f t="shared" si="5"/>
        <v>0</v>
      </c>
      <c r="I25" s="76">
        <f>SUM(D25:H25)</f>
        <v>49.399016572895661</v>
      </c>
      <c r="J25" s="65">
        <f>J24</f>
        <v>59.278819887474796</v>
      </c>
    </row>
    <row r="27" spans="1:17">
      <c r="C27" s="51" t="s">
        <v>181</v>
      </c>
    </row>
  </sheetData>
  <mergeCells count="16">
    <mergeCell ref="B2:J2"/>
    <mergeCell ref="C3:G3"/>
    <mergeCell ref="A16:A22"/>
    <mergeCell ref="B16:B22"/>
    <mergeCell ref="A5:A7"/>
    <mergeCell ref="B5:B7"/>
    <mergeCell ref="C5:C7"/>
    <mergeCell ref="S10:W10"/>
    <mergeCell ref="J5:J7"/>
    <mergeCell ref="D6:D7"/>
    <mergeCell ref="E6:E7"/>
    <mergeCell ref="F6:F7"/>
    <mergeCell ref="G6:G7"/>
    <mergeCell ref="H6:H7"/>
    <mergeCell ref="I6:I7"/>
    <mergeCell ref="E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ССР 2 кв 2018</vt:lpstr>
      <vt:lpstr>ПИР</vt:lpstr>
      <vt:lpstr>ССР 2001 год</vt:lpstr>
      <vt:lpstr>сводка затрат</vt:lpstr>
      <vt:lpstr>ПИР!Область_печати</vt:lpstr>
      <vt:lpstr>'ССР 2 кв 2018'!Область_печати</vt:lpstr>
      <vt:lpstr>'ССР 2001 год'!Область_печати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2020-02-27T19:52:47Z</dcterms:modified>
</cp:coreProperties>
</file>