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Пользователь\Desktop\2021кор ИПР)\F0225_1153926028850_39_24.02.20\F0225_1153926028850_39\паспорта,карты,формы 20, РС, ПЗ, акты\J 19-01\J  19-01_паспорт_карта\"/>
    </mc:Choice>
  </mc:AlternateContent>
  <xr:revisionPtr revIDLastSave="0" documentId="13_ncr:1_{D22DE9E2-1E20-4F7E-AFA1-825713493054}" xr6:coauthVersionLast="46" xr6:coauthVersionMax="46"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3"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график'!$A$1:$M$54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56" i="29" l="1"/>
  <c r="P56" i="29"/>
  <c r="P58" i="29"/>
  <c r="C81" i="35" l="1"/>
  <c r="B81" i="35"/>
  <c r="P30" i="29"/>
  <c r="P24" i="29"/>
  <c r="L28" i="29"/>
  <c r="I54" i="16" l="1"/>
  <c r="I53" i="16"/>
  <c r="L34" i="29"/>
  <c r="B47" i="35"/>
  <c r="B52" i="35"/>
  <c r="C58" i="35"/>
  <c r="D58" i="35" s="1"/>
  <c r="E58" i="35" s="1"/>
  <c r="F58" i="35" s="1"/>
  <c r="G58" i="35" s="1"/>
  <c r="H58" i="35" s="1"/>
  <c r="I58" i="35" s="1"/>
  <c r="J58" i="35" s="1"/>
  <c r="K58" i="35" s="1"/>
  <c r="L58" i="35" s="1"/>
  <c r="AG32" i="29"/>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8"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G119" i="35"/>
  <c r="I119" i="35"/>
  <c r="D51" i="35"/>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C51" i="35"/>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D91" i="35"/>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91" i="35"/>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C50" i="35" s="1"/>
  <c r="D74" i="35"/>
  <c r="C52" i="35"/>
  <c r="C47" i="35"/>
  <c r="C61" i="35" s="1"/>
  <c r="C60" i="35" s="1"/>
  <c r="H137" i="35"/>
  <c r="D49" i="35" s="1"/>
  <c r="C85" i="35"/>
  <c r="C99" i="35" s="1"/>
  <c r="B46" i="35"/>
  <c r="C108" i="35" l="1"/>
  <c r="E108" i="35"/>
  <c r="D108" i="35"/>
  <c r="D47" i="35"/>
  <c r="D61" i="35" s="1"/>
  <c r="D60" i="35" s="1"/>
  <c r="E74" i="35"/>
  <c r="I137" i="35"/>
  <c r="E49" i="35" s="1"/>
  <c r="F141" i="35"/>
  <c r="G140" i="35"/>
  <c r="G141" i="35" s="1"/>
  <c r="H109" i="35"/>
  <c r="F108" i="35"/>
  <c r="B73" i="35" l="1"/>
  <c r="B85" i="35" s="1"/>
  <c r="B99" i="35" s="1"/>
  <c r="C59" i="35"/>
  <c r="E47" i="35"/>
  <c r="E61" i="35" s="1"/>
  <c r="F47" i="35"/>
  <c r="F61" i="35" s="1"/>
  <c r="F60" i="35" s="1"/>
  <c r="J137" i="35"/>
  <c r="F49" i="35" s="1"/>
  <c r="H140" i="35"/>
  <c r="H141" i="35"/>
  <c r="D73" i="35" l="1"/>
  <c r="D85" i="35" s="1"/>
  <c r="C66" i="35"/>
  <c r="C68" i="35" s="1"/>
  <c r="C75" i="35" s="1"/>
  <c r="E60" i="35"/>
  <c r="F74" i="35"/>
  <c r="K137" i="35"/>
  <c r="G49" i="35" s="1"/>
  <c r="I109" i="35"/>
  <c r="H108" i="35"/>
  <c r="G74" i="35"/>
  <c r="G52" i="35"/>
  <c r="G47" i="35"/>
  <c r="G61" i="35" s="1"/>
  <c r="G60" i="35" s="1"/>
  <c r="I140" i="35"/>
  <c r="I141" i="35" s="1"/>
  <c r="E73" i="35" l="1"/>
  <c r="E85" i="35" s="1"/>
  <c r="L137" i="35"/>
  <c r="H49" i="35" s="1"/>
  <c r="D50" i="35" s="1"/>
  <c r="D59" i="35" s="1"/>
  <c r="H74" i="35"/>
  <c r="H52" i="35"/>
  <c r="H47" i="35"/>
  <c r="J140" i="35"/>
  <c r="J109" i="35"/>
  <c r="I108" i="35"/>
  <c r="E50" i="35" s="1"/>
  <c r="E59" i="35" s="1"/>
  <c r="D80" i="35" l="1"/>
  <c r="D66" i="35"/>
  <c r="M137" i="35"/>
  <c r="I49" i="35" s="1"/>
  <c r="K109" i="35"/>
  <c r="J108" i="35"/>
  <c r="F50" i="35" s="1"/>
  <c r="F59" i="35" s="1"/>
  <c r="K140" i="35"/>
  <c r="K141" i="35" s="1"/>
  <c r="J141" i="35"/>
  <c r="I74" i="35"/>
  <c r="I47" i="35"/>
  <c r="I52" i="35"/>
  <c r="E80" i="35"/>
  <c r="E66" i="35"/>
  <c r="F73" i="35" l="1"/>
  <c r="F85" i="35" s="1"/>
  <c r="F99" i="35" s="1"/>
  <c r="G73" i="35"/>
  <c r="G85" i="35" s="1"/>
  <c r="G99" i="35" s="1"/>
  <c r="N137" i="35"/>
  <c r="J49" i="35" s="1"/>
  <c r="J74" i="35"/>
  <c r="J52" i="35"/>
  <c r="J47" i="35"/>
  <c r="F80" i="35"/>
  <c r="F66" i="35"/>
  <c r="F68" i="35" s="1"/>
  <c r="L140" i="35"/>
  <c r="L141" i="35"/>
  <c r="L109" i="35"/>
  <c r="K108" i="35"/>
  <c r="G50" i="35" s="1"/>
  <c r="G59" i="35" s="1"/>
  <c r="H73" i="35" l="1"/>
  <c r="H85" i="35" s="1"/>
  <c r="H99" i="35" s="1"/>
  <c r="O137" i="35"/>
  <c r="K49" i="35" s="1"/>
  <c r="F75" i="35"/>
  <c r="G80" i="35"/>
  <c r="G66"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c r="AU141" i="35"/>
  <c r="AW140" i="35" l="1"/>
  <c r="AW141" i="35"/>
  <c r="AX140" i="35" l="1"/>
  <c r="AY140" i="35" l="1"/>
  <c r="AY141" i="35" s="1"/>
  <c r="AX141" i="35"/>
  <c r="B37" i="26" l="1"/>
  <c r="B33" i="26"/>
  <c r="B90" i="26"/>
  <c r="B32" i="26"/>
  <c r="B53" i="26"/>
  <c r="B62" i="26"/>
  <c r="B54" i="26"/>
  <c r="B70" i="26"/>
  <c r="D32" i="29"/>
  <c r="F27" i="29"/>
  <c r="G27" i="29" s="1"/>
  <c r="F31" i="29"/>
  <c r="G31" i="29" s="1"/>
  <c r="P29" i="29"/>
  <c r="AE29" i="29" s="1"/>
  <c r="P27" i="29"/>
  <c r="AE27" i="29" s="1"/>
  <c r="P26" i="29"/>
  <c r="AE26" i="29" s="1"/>
  <c r="P25" i="29"/>
  <c r="AE25" i="29" s="1"/>
  <c r="P31" i="29"/>
  <c r="AE31" i="29" s="1"/>
  <c r="D34" i="29"/>
  <c r="D33" i="29"/>
  <c r="E128" i="35" l="1"/>
  <c r="D99" i="35" s="1"/>
  <c r="P32" i="29"/>
  <c r="AE32" i="29" s="1"/>
  <c r="E32" i="29"/>
  <c r="P33" i="29"/>
  <c r="AE33" i="29" s="1"/>
  <c r="E33" i="29"/>
  <c r="P34" i="29"/>
  <c r="AE34" i="29" s="1"/>
  <c r="E34" i="29"/>
  <c r="B30" i="26"/>
  <c r="D30" i="29"/>
  <c r="E30" i="29" s="1"/>
  <c r="I33" i="29"/>
  <c r="I32" i="29"/>
  <c r="P5" i="33"/>
  <c r="P6" i="33"/>
  <c r="P7" i="33"/>
  <c r="P8" i="33"/>
  <c r="P9" i="33"/>
  <c r="P2" i="33"/>
  <c r="I4" i="33"/>
  <c r="L4" i="33"/>
  <c r="J2" i="33"/>
  <c r="P4" i="33" l="1"/>
  <c r="P3" i="33" s="1"/>
  <c r="Q2" i="33" s="1"/>
  <c r="I30" i="29"/>
  <c r="I28" i="29" s="1"/>
  <c r="I24" i="29" s="1"/>
  <c r="D28" i="29"/>
  <c r="D52" i="29"/>
  <c r="E52" i="29" s="1"/>
  <c r="AE30" i="29"/>
  <c r="D24" i="29" l="1"/>
  <c r="E24" i="29" s="1"/>
  <c r="E28" i="29"/>
  <c r="C51" i="7"/>
  <c r="P52" i="29"/>
  <c r="AE52" i="29" s="1"/>
  <c r="C50" i="7"/>
  <c r="B27" i="26"/>
  <c r="P28" i="29"/>
  <c r="AE28" i="29" s="1"/>
  <c r="B113" i="26" l="1"/>
  <c r="B114" i="26"/>
  <c r="F128" i="35"/>
  <c r="B128" i="35" s="1"/>
  <c r="B126" i="35" s="1"/>
  <c r="B29" i="35" s="1"/>
  <c r="AE24" i="29"/>
  <c r="B75" i="26"/>
  <c r="B83" i="26"/>
  <c r="B79" i="26"/>
  <c r="B67" i="26"/>
  <c r="B34" i="26"/>
  <c r="B63" i="26"/>
  <c r="B71" i="26"/>
  <c r="B87" i="26"/>
  <c r="B55" i="26"/>
  <c r="B59" i="26"/>
  <c r="E99" i="35" l="1"/>
  <c r="AQ99" i="35" s="1"/>
  <c r="A100" i="35" s="1"/>
  <c r="B25" i="35"/>
  <c r="B50" i="35"/>
  <c r="B59" i="35" s="1"/>
  <c r="B122" i="35"/>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B55" i="35" l="1"/>
  <c r="B56" i="35" s="1"/>
  <c r="B69" i="35" s="1"/>
  <c r="B77" i="35" s="1"/>
  <c r="D76" i="35"/>
  <c r="E67"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F29" i="29"/>
  <c r="G29" i="29" s="1"/>
  <c r="C78" i="35" l="1"/>
  <c r="G75" i="35"/>
  <c r="D77" i="35"/>
  <c r="D70" i="35"/>
  <c r="E53" i="35"/>
  <c r="D82" i="35"/>
  <c r="I67" i="35"/>
  <c r="H76" i="35"/>
  <c r="H68" i="35"/>
  <c r="H24" i="29"/>
  <c r="H75" i="35" l="1"/>
  <c r="E55" i="35"/>
  <c r="E82" i="35" s="1"/>
  <c r="D71" i="35"/>
  <c r="D72" i="35" s="1"/>
  <c r="I76" i="35"/>
  <c r="J67" i="35"/>
  <c r="I68" i="35"/>
  <c r="F28" i="29"/>
  <c r="G28" i="29" s="1"/>
  <c r="E56" i="35" l="1"/>
  <c r="E69" i="35" s="1"/>
  <c r="E77" i="35" s="1"/>
  <c r="I75" i="35"/>
  <c r="D78" i="35"/>
  <c r="J76" i="35"/>
  <c r="K67" i="35"/>
  <c r="J68" i="35"/>
  <c r="F53" i="35"/>
  <c r="H57" i="29"/>
  <c r="F58" i="29"/>
  <c r="G58" i="29" s="1"/>
  <c r="F59" i="29"/>
  <c r="G59" i="29" s="1"/>
  <c r="F60" i="29"/>
  <c r="G60" i="29" s="1"/>
  <c r="F61" i="29"/>
  <c r="G61" i="29" s="1"/>
  <c r="F62" i="29"/>
  <c r="G62" i="29" s="1"/>
  <c r="F63" i="29"/>
  <c r="G63" i="29" s="1"/>
  <c r="F64" i="29"/>
  <c r="G64" i="29" s="1"/>
  <c r="F54" i="29"/>
  <c r="G54" i="29" s="1"/>
  <c r="F57" i="29"/>
  <c r="G57" i="29" s="1"/>
  <c r="F50" i="29"/>
  <c r="G50" i="29" s="1"/>
  <c r="F45" i="29"/>
  <c r="G45" i="29" s="1"/>
  <c r="F25" i="29"/>
  <c r="G25" i="29" s="1"/>
  <c r="F26" i="29"/>
  <c r="G26" i="29" s="1"/>
  <c r="E70" i="35" l="1"/>
  <c r="E71" i="35" s="1"/>
  <c r="E72" i="35" s="1"/>
  <c r="F32" i="29"/>
  <c r="G32" i="29" s="1"/>
  <c r="J75" i="35"/>
  <c r="F55" i="35"/>
  <c r="F56" i="35" s="1"/>
  <c r="F69" i="35" s="1"/>
  <c r="L67" i="35"/>
  <c r="K76" i="35"/>
  <c r="K68" i="35"/>
  <c r="F42" i="29"/>
  <c r="G42" i="29" s="1"/>
  <c r="F37" i="29"/>
  <c r="G37" i="29" s="1"/>
  <c r="E78" i="35" l="1"/>
  <c r="F77" i="35"/>
  <c r="F70" i="35"/>
  <c r="K75" i="35"/>
  <c r="L76" i="35"/>
  <c r="M67" i="35"/>
  <c r="L68" i="35"/>
  <c r="G53" i="35"/>
  <c r="F82" i="35"/>
  <c r="G26" i="5"/>
  <c r="G55" i="35" l="1"/>
  <c r="G82" i="35" s="1"/>
  <c r="L75" i="35"/>
  <c r="N67" i="35"/>
  <c r="M76" i="35"/>
  <c r="M68" i="35"/>
  <c r="F71" i="35"/>
  <c r="F72" i="35" s="1"/>
  <c r="C45" i="7"/>
  <c r="H53" i="35" l="1"/>
  <c r="H55" i="35" s="1"/>
  <c r="H82" i="35" s="1"/>
  <c r="M75" i="35"/>
  <c r="N76" i="35"/>
  <c r="O67" i="35"/>
  <c r="N68" i="35"/>
  <c r="G56" i="35"/>
  <c r="G69" i="35" s="1"/>
  <c r="F78" i="35"/>
  <c r="O27" i="13"/>
  <c r="N75" i="35" l="1"/>
  <c r="I53" i="35"/>
  <c r="P67" i="35"/>
  <c r="O76" i="35"/>
  <c r="O68" i="35"/>
  <c r="G77" i="35"/>
  <c r="G70" i="35"/>
  <c r="G71" i="35" s="1"/>
  <c r="G72" i="35" s="1"/>
  <c r="H56" i="35"/>
  <c r="H69" i="35" s="1"/>
  <c r="L30" i="15"/>
  <c r="Q67" i="35" l="1"/>
  <c r="P76" i="35"/>
  <c r="P68" i="35"/>
  <c r="G78" i="35"/>
  <c r="I55" i="35"/>
  <c r="I82" i="35" s="1"/>
  <c r="H77" i="35"/>
  <c r="H70" i="35"/>
  <c r="H71" i="35" s="1"/>
  <c r="O75" i="35"/>
  <c r="F51" i="29"/>
  <c r="G51" i="29" s="1"/>
  <c r="F49" i="29"/>
  <c r="G49" i="29" s="1"/>
  <c r="F48" i="29"/>
  <c r="G48" i="29" s="1"/>
  <c r="F47" i="29"/>
  <c r="G47" i="29" s="1"/>
  <c r="F46" i="29"/>
  <c r="G46" i="29" s="1"/>
  <c r="F44" i="29"/>
  <c r="G44" i="29" s="1"/>
  <c r="F43" i="29"/>
  <c r="G43" i="29" s="1"/>
  <c r="F41" i="29"/>
  <c r="G41" i="29" s="1"/>
  <c r="F40" i="29"/>
  <c r="G40" i="29" s="1"/>
  <c r="F39" i="29"/>
  <c r="G39" i="29" s="1"/>
  <c r="F36" i="29"/>
  <c r="G36" i="29" s="1"/>
  <c r="F35" i="29"/>
  <c r="G35" i="29" s="1"/>
  <c r="J53" i="35" l="1"/>
  <c r="J55" i="35" s="1"/>
  <c r="J56" i="35" s="1"/>
  <c r="J69" i="35" s="1"/>
  <c r="I56" i="35"/>
  <c r="I69" i="35" s="1"/>
  <c r="I77" i="35" s="1"/>
  <c r="P75" i="35"/>
  <c r="H72" i="35"/>
  <c r="H78" i="35"/>
  <c r="R67" i="35"/>
  <c r="Q76" i="35"/>
  <c r="Q68" i="35"/>
  <c r="F55" i="29"/>
  <c r="G55" i="29" s="1"/>
  <c r="F56" i="29"/>
  <c r="G56" i="29" s="1"/>
  <c r="F38" i="29"/>
  <c r="G38" i="29" s="1"/>
  <c r="F53" i="29"/>
  <c r="G53" i="29"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J77" i="35"/>
  <c r="J70" i="35"/>
  <c r="Q75" i="35"/>
  <c r="I71" i="35"/>
  <c r="I78" i="35" s="1"/>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119" i="26"/>
  <c r="B118" i="26" s="1"/>
  <c r="B117" i="26"/>
  <c r="B116" i="26"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F33" i="29"/>
  <c r="G33" i="29" s="1"/>
  <c r="AK67" i="35" l="1"/>
  <c r="AJ76" i="35"/>
  <c r="AJ68" i="35"/>
  <c r="S77" i="35"/>
  <c r="S70" i="35"/>
  <c r="R72" i="35"/>
  <c r="AI75" i="35"/>
  <c r="T53" i="35"/>
  <c r="S82" i="35"/>
  <c r="T55" i="35" l="1"/>
  <c r="T82" i="35" s="1"/>
  <c r="AJ75" i="35"/>
  <c r="S71" i="35"/>
  <c r="S78" i="35" s="1"/>
  <c r="AK76" i="35"/>
  <c r="AL67" i="35"/>
  <c r="AK68" i="35"/>
  <c r="F34" i="29"/>
  <c r="G34" i="29" s="1"/>
  <c r="T56" i="35" l="1"/>
  <c r="T69" i="35" s="1"/>
  <c r="T70" i="35" s="1"/>
  <c r="S72" i="35"/>
  <c r="U53" i="35"/>
  <c r="AK75" i="35"/>
  <c r="AM67" i="35"/>
  <c r="AL76" i="35"/>
  <c r="AL68" i="35"/>
  <c r="F30" i="29"/>
  <c r="G30" i="29" s="1"/>
  <c r="T77" i="35" l="1"/>
  <c r="AL75" i="35"/>
  <c r="U55" i="35"/>
  <c r="U56" i="35" s="1"/>
  <c r="U69" i="35" s="1"/>
  <c r="AM76" i="35"/>
  <c r="AN67" i="35"/>
  <c r="AM68" i="35"/>
  <c r="T71" i="35"/>
  <c r="T78" i="35" s="1"/>
  <c r="F24" i="29"/>
  <c r="G24" i="29" s="1"/>
  <c r="F52" i="29"/>
  <c r="G52" i="29"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F79" i="35"/>
  <c r="F83" i="35" s="1"/>
  <c r="F86" i="35" s="1"/>
  <c r="B86" i="35"/>
  <c r="B88" i="35"/>
  <c r="B84" i="35"/>
  <c r="B89" i="35" s="1"/>
  <c r="C83" i="35"/>
  <c r="C86" i="35" s="1"/>
  <c r="E87" i="35" l="1"/>
  <c r="D87" i="35"/>
  <c r="C87" i="35"/>
  <c r="F87" i="35"/>
  <c r="F90" i="35" s="1"/>
  <c r="B87" i="35"/>
  <c r="B90" i="35" s="1"/>
  <c r="F88" i="35"/>
  <c r="C84" i="35"/>
  <c r="C89" i="35" s="1"/>
  <c r="D88" i="35"/>
  <c r="D84" i="35"/>
  <c r="C88" i="35"/>
  <c r="E88" i="35"/>
  <c r="F84" i="35"/>
  <c r="E84" i="35"/>
  <c r="E89" i="35" s="1"/>
  <c r="G79" i="35"/>
  <c r="H79" i="35" s="1"/>
  <c r="H83" i="35" s="1"/>
  <c r="H86" i="35" s="1"/>
  <c r="C90" i="35" l="1"/>
  <c r="D89" i="35"/>
  <c r="I79" i="35"/>
  <c r="J79" i="35" s="1"/>
  <c r="J83" i="35" s="1"/>
  <c r="J86" i="35" s="1"/>
  <c r="G83" i="35"/>
  <c r="F89" i="35"/>
  <c r="D90" i="35"/>
  <c r="E90" i="35"/>
  <c r="K79" i="35" l="1"/>
  <c r="K83" i="35" s="1"/>
  <c r="K86" i="35" s="1"/>
  <c r="G86" i="35"/>
  <c r="G84" i="35"/>
  <c r="G89" i="35" s="1"/>
  <c r="G88" i="35"/>
  <c r="H84" i="35"/>
  <c r="H88" i="35"/>
  <c r="I83" i="35"/>
  <c r="I86" i="35" s="1"/>
  <c r="L79" i="35" l="1"/>
  <c r="H89" i="35"/>
  <c r="J88" i="35"/>
  <c r="K88" i="35"/>
  <c r="K84" i="35"/>
  <c r="I84" i="35"/>
  <c r="I89" i="35" s="1"/>
  <c r="J84" i="35"/>
  <c r="G87" i="35"/>
  <c r="G90" i="35" s="1"/>
  <c r="K87" i="35"/>
  <c r="I87" i="35"/>
  <c r="J87" i="35"/>
  <c r="H87" i="35"/>
  <c r="I88" i="35"/>
  <c r="L83" i="35"/>
  <c r="M79" i="35"/>
  <c r="K89" i="35" l="1"/>
  <c r="I90" i="35"/>
  <c r="K90" i="35"/>
  <c r="J89" i="35"/>
  <c r="L86" i="35"/>
  <c r="L84" i="35"/>
  <c r="L89" i="35" s="1"/>
  <c r="M83" i="35"/>
  <c r="M88" i="35" s="1"/>
  <c r="N79" i="35"/>
  <c r="H90" i="35"/>
  <c r="J90" i="35"/>
  <c r="L88" i="35"/>
  <c r="B105" i="35" s="1"/>
  <c r="G28" i="35" l="1"/>
  <c r="C105" i="35" s="1"/>
  <c r="M86" i="35"/>
  <c r="M87" i="35" s="1"/>
  <c r="N83" i="35"/>
  <c r="N84" i="35" s="1"/>
  <c r="O79" i="35"/>
  <c r="M84" i="35"/>
  <c r="M89" i="35" s="1"/>
  <c r="L87" i="35"/>
  <c r="M90" i="35" l="1"/>
  <c r="N89" i="35"/>
  <c r="N88" i="35"/>
  <c r="L90" i="35"/>
  <c r="G29" i="35" s="1"/>
  <c r="D105" i="35" s="1"/>
  <c r="G30" i="35"/>
  <c r="A105" i="35" s="1"/>
  <c r="O83" i="35"/>
  <c r="P79" i="35"/>
  <c r="N86" i="35"/>
  <c r="O86" i="35" l="1"/>
  <c r="O84" i="35"/>
  <c r="O89" i="35" s="1"/>
  <c r="O88" i="35"/>
  <c r="N87" i="35"/>
  <c r="N90" i="35" s="1"/>
  <c r="P83" i="35"/>
  <c r="Q79" i="35"/>
  <c r="O87" i="35" l="1"/>
  <c r="O90" i="35" s="1"/>
  <c r="Q83" i="35"/>
  <c r="R79" i="35"/>
  <c r="P86" i="35"/>
  <c r="P87" i="35" s="1"/>
  <c r="P90" i="35" s="1"/>
  <c r="P84" i="35"/>
  <c r="P89" i="35" s="1"/>
  <c r="P88" i="35"/>
  <c r="Q86" i="35" l="1"/>
  <c r="Q87" i="35" s="1"/>
  <c r="Q90" i="35" s="1"/>
  <c r="Q88" i="35"/>
  <c r="Q84" i="35"/>
  <c r="Q89" i="35" s="1"/>
  <c r="R83" i="35"/>
  <c r="S79" i="35"/>
  <c r="S83" i="35" l="1"/>
  <c r="T79" i="35"/>
  <c r="R86" i="35"/>
  <c r="R87" i="35" s="1"/>
  <c r="R90" i="35" s="1"/>
  <c r="R88" i="35"/>
  <c r="R84" i="35"/>
  <c r="R89" i="35" s="1"/>
  <c r="T83" i="35" l="1"/>
  <c r="U79" i="35"/>
  <c r="S86" i="35"/>
  <c r="S87" i="35" s="1"/>
  <c r="S90" i="35" s="1"/>
  <c r="S88" i="35"/>
  <c r="S84" i="35"/>
  <c r="S89" i="35" s="1"/>
  <c r="U83" i="35" l="1"/>
  <c r="V79" i="35"/>
  <c r="T86" i="35"/>
  <c r="T87" i="35" s="1"/>
  <c r="T90" i="35" s="1"/>
  <c r="T84" i="35"/>
  <c r="T89" i="35" s="1"/>
  <c r="T88" i="35"/>
  <c r="V83" i="35" l="1"/>
  <c r="W79" i="35"/>
  <c r="U86" i="35"/>
  <c r="U87" i="35" s="1"/>
  <c r="U90" i="35" s="1"/>
  <c r="U84" i="35"/>
  <c r="U89" i="35" s="1"/>
  <c r="U88" i="35"/>
  <c r="W83" i="35" l="1"/>
  <c r="X79" i="35"/>
  <c r="V86" i="35"/>
  <c r="V87" i="35" s="1"/>
  <c r="V90" i="35" s="1"/>
  <c r="V88" i="35"/>
  <c r="V84" i="35"/>
  <c r="V89" i="35" s="1"/>
  <c r="X83" i="35" l="1"/>
  <c r="Y79" i="35"/>
  <c r="W86" i="35"/>
  <c r="W87" i="35" s="1"/>
  <c r="W90" i="35" s="1"/>
  <c r="W84" i="35"/>
  <c r="W89" i="35" s="1"/>
  <c r="W88" i="35"/>
  <c r="Y83" i="35" l="1"/>
  <c r="Z79" i="35"/>
  <c r="X86" i="35"/>
  <c r="X87" i="35" s="1"/>
  <c r="X90" i="35" s="1"/>
  <c r="X88" i="35"/>
  <c r="X84" i="35"/>
  <c r="X89" i="35" s="1"/>
  <c r="Z83" i="35" l="1"/>
  <c r="AA79" i="35"/>
  <c r="Y86" i="35"/>
  <c r="Y87" i="35" s="1"/>
  <c r="Y90" i="35" s="1"/>
  <c r="Y84" i="35"/>
  <c r="Y89" i="35" s="1"/>
  <c r="Y88" i="35"/>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8" i="35"/>
  <c r="AD84" i="35"/>
  <c r="AD89" i="35" s="1"/>
  <c r="AF83" i="35" l="1"/>
  <c r="AG79" i="35"/>
  <c r="AE86" i="35"/>
  <c r="AE87" i="35" s="1"/>
  <c r="AE90" i="35" s="1"/>
  <c r="AE84" i="35"/>
  <c r="AE89" i="35" s="1"/>
  <c r="AE88" i="35"/>
  <c r="AF86" i="35" l="1"/>
  <c r="AF87" i="35" s="1"/>
  <c r="AF90" i="35" s="1"/>
  <c r="AF84" i="35"/>
  <c r="AF89" i="35" s="1"/>
  <c r="AF88" i="35"/>
  <c r="AG83" i="35"/>
  <c r="AH79" i="35"/>
  <c r="AH83" i="35" l="1"/>
  <c r="AI79" i="35"/>
  <c r="AG86" i="35"/>
  <c r="AG87" i="35" s="1"/>
  <c r="AG90" i="35" s="1"/>
  <c r="AG88" i="35"/>
  <c r="AG84" i="35"/>
  <c r="AG89" i="35" s="1"/>
  <c r="AH86" i="35" l="1"/>
  <c r="AH87" i="35" s="1"/>
  <c r="AH90" i="35" s="1"/>
  <c r="AH84" i="35"/>
  <c r="AH89" i="35" s="1"/>
  <c r="AH88" i="35"/>
  <c r="AI83" i="35"/>
  <c r="AJ79" i="35"/>
  <c r="AJ83" i="35" l="1"/>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<sst xmlns="http://schemas.openxmlformats.org/spreadsheetml/2006/main" count="1589" uniqueCount="692">
  <si>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</si>
  <si>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</si>
  <si>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</si>
  <si>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</si>
  <si>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</si>
  <si>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</si>
  <si>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</si>
  <si>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</si>
  <si>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</si>
  <si>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</si>
  <si>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</si>
  <si>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</si>
  <si>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</si>
  <si>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</si>
  <si>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</si>
  <si>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</si>
  <si>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</si>
  <si>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</si>
  <si>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</si>
  <si>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</si>
  <si>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</si>
  <si>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</si>
  <si>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</si>
  <si>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</si>
  <si>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</si>
  <si>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</si>
  <si>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</si>
  <si>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</si>
  <si>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</si>
  <si>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</si>
  <si>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</si>
  <si>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</si>
  <si>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</si>
  <si>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</si>
  <si>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</si>
  <si>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</si>
  <si>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</si>
  <si>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</si>
  <si>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</si>
  <si>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</si>
  <si>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</si>
  <si>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</si>
  <si>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</si>
  <si>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</si>
  <si>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</si>
  <si>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</si>
  <si>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</si>
  <si>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</si>
  <si>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</si>
  <si>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</si>
  <si>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</si>
  <si>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</si>
  <si>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</si>
  <si>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</si>
  <si>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</si>
  <si>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</si>
  <si>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</si>
  <si>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</si>
  <si>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</si>
  <si>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</si>
  <si>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</si>
  <si>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</si>
  <si>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</si>
  <si>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</si>
  <si>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</si>
  <si>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</si>
  <si>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</si>
  <si>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</si>
  <si>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</si>
  <si>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</si>
  <si>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</si>
  <si>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</si>
  <si>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</si>
  <si>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</si>
  <si>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</si>
  <si>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</si>
  <si>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</si>
  <si>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</si>
  <si>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</si>
  <si>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</si>
  <si>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</si>
  <si>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</si>
  <si>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</si>
  <si>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</si>
  <si>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</si>
  <si>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</si>
  <si>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</si>
  <si>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</si>
  <si>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</si>
  <si>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</si>
  <si>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</si>
  <si>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</si>
  <si>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</si>
  <si>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</si>
  <si>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</si>
  <si>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</si>
  <si>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</si>
  <si>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</si>
  <si>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</si>
  <si>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</si>
  <si>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</si>
  <si>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</si>
  <si>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</si>
  <si>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</si>
  <si>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</si>
  <si>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</si>
  <si>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</si>
  <si>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</si>
  <si>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</si>
  <si>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</si>
  <si>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</si>
  <si>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</si>
  <si>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</si>
  <si>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</si>
  <si>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</si>
  <si>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</si>
  <si>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</si>
  <si>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</si>
  <si>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</si>
  <si>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</si>
  <si>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</si>
  <si>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</si>
  <si>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</si>
  <si>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</si>
  <si>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</si>
  <si>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</si>
  <si>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</si>
  <si>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</si>
  <si>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</si>
  <si>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</si>
  <si>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</si>
  <si>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</si>
  <si>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</si>
  <si>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</si>
  <si>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</si>
  <si>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</si>
  <si>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</si>
  <si>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</si>
  <si>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</si>
  <si>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</si>
  <si>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</si>
  <si>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</si>
  <si>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</si>
  <si>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</si>
  <si>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</si>
  <si>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</si>
  <si>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</si>
  <si>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</si>
  <si>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</si>
  <si>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</si>
  <si>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</si>
  <si>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</si>
  <si>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</si>
  <si>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</si>
  <si>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</si>
  <si>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</si>
  <si>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</si>
  <si>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</si>
  <si>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</si>
  <si>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</si>
  <si>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</si>
  <si>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</si>
  <si>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</si>
  <si>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</si>
  <si>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</si>
  <si>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</si>
  <si>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</si>
  <si>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</si>
  <si>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</si>
  <si>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</si>
  <si>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</si>
  <si>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</si>
  <si>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</si>
  <si>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</si>
  <si>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</si>
  <si>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</si>
  <si>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</si>
  <si>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</si>
  <si>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</si>
  <si>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</si>
  <si>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</si>
  <si>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</si>
  <si>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</si>
  <si>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</si>
  <si>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</si>
  <si>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</si>
  <si>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</si>
  <si>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</si>
  <si>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</si>
  <si>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</si>
  <si>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</si>
  <si>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</si>
  <si>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</si>
  <si>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</si>
  <si>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</si>
  <si>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</si>
  <si>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</si>
  <si>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</si>
  <si>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</si>
  <si>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</si>
  <si>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</si>
  <si>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</si>
  <si>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</si>
  <si>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</si>
  <si>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</si>
  <si>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</si>
  <si>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</si>
  <si>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</si>
  <si>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</si>
  <si>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</si>
  <si>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</si>
  <si>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</si>
  <si>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</si>
  <si>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</si>
  <si>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</si>
  <si>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</si>
  <si>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</si>
  <si>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</si>
  <si>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</si>
  <si>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</si>
  <si>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</si>
  <si>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</si>
  <si>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</si>
  <si>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</si>
  <si>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</si>
  <si>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</si>
  <si>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</si>
  <si>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</si>
  <si>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</si>
  <si>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</si>
  <si>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</si>
  <si>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</si>
  <si>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</si>
  <si>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</si>
  <si>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</si>
  <si>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</si>
  <si>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</si>
  <si>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</si>
  <si>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</si>
  <si>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</si>
  <si>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</si>
  <si>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</si>
  <si>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</si>
  <si>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</si>
  <si>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</si>
  <si>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</si>
  <si>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</si>
  <si>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</si>
  <si>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</si>
  <si>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</si>
  <si>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</si>
  <si>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</si>
  <si>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</si>
  <si>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</si>
  <si>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</si>
  <si>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</si>
  <si>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</si>
  <si>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</si>
  <si>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</si>
  <si>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</si>
  <si>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</si>
  <si>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</si>
  <si>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</si>
  <si>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</si>
  <si>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</si>
  <si>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</si>
  <si>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</si>
  <si>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</si>
  <si>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</si>
  <si>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</si>
  <si>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</si>
  <si>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</si>
  <si>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</si>
  <si>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</si>
  <si>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</si>
  <si>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</si>
  <si>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</si>
  <si>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</si>
  <si>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</si>
  <si>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</si>
  <si>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</si>
  <si>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</si>
  <si>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</si>
  <si>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</si>
  <si>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</si>
  <si>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</si>
  <si>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</si>
  <si>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</si>
  <si>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</si>
  <si>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</si>
  <si>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</si>
  <si>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</si>
  <si>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</si>
  <si>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</si>
  <si>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</si>
  <si>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</si>
  <si>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</si>
  <si>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</si>
  <si>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</si>
  <si>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</si>
  <si>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</si>
  <si>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</si>
  <si>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</si>
  <si>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</si>
  <si>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</si>
  <si>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</si>
  <si>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</si>
  <si>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</si>
  <si>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</si>
  <si>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</si>
  <si>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</si>
  <si>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</si>
  <si>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</si>
  <si>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</si>
  <si>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</si>
  <si>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</si>
  <si>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</si>
  <si>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</si>
  <si>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</si>
  <si>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</si>
  <si>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</si>
  <si>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</si>
  <si>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</si>
  <si>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</si>
  <si>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</si>
  <si>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</si>
  <si>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</si>
  <si>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</si>
  <si>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</si>
  <si>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</si>
  <si>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</si>
  <si>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</si>
  <si>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</si>
  <si>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</si>
  <si>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</si>
  <si>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</si>
  <si>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</si>
  <si>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</si>
  <si>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</si>
  <si>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</si>
  <si>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</si>
  <si>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</si>
  <si>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</si>
  <si>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</si>
  <si>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</si>
  <si>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</si>
  <si>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</si>
  <si>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</si>
  <si>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</si>
  <si>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</si>
  <si>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</si>
  <si>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</si>
  <si>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</si>
  <si>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</si>
  <si>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</si>
  <si>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</si>
  <si>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</si>
  <si>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</si>
  <si>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</si>
  <si>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</si>
  <si>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</si>
  <si>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</si>
  <si>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</si>
  <si>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</si>
  <si>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</si>
  <si>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</si>
  <si>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</si>
  <si>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</si>
  <si>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</si>
  <si>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</si>
  <si>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</si>
  <si>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</si>
  <si>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</si>
  <si>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</si>
  <si>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</si>
  <si>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</si>
  <si>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</si>
  <si>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</si>
  <si>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</si>
  <si>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</si>
  <si>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</si>
  <si>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</si>
  <si>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</si>
  <si>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</si>
  <si>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</si>
  <si>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</si>
  <si>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</si>
  <si>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</si>
  <si>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</si>
  <si>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</si>
  <si>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</si>
  <si>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</si>
  <si>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</si>
  <si>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</si>
  <si>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</si>
  <si>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</si>
  <si>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</si>
  <si>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</si>
  <si>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</si>
  <si>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</si>
  <si>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</si>
  <si>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</si>
  <si>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</si>
  <si>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</si>
  <si>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</si>
  <si>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</si>
  <si>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</si>
  <si>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</si>
  <si>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</si>
  <si>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</si>
  <si>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</si>
  <si>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</si>
  <si>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</si>
  <si>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</si>
  <si>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</si>
  <si>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</si>
  <si>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</si>
  <si>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</si>
  <si>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</si>
  <si>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</si>
  <si>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</si>
  <si>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</si>
  <si>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</si>
  <si>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</si>
  <si>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</si>
  <si>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</si>
  <si>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</si>
  <si>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</si>
  <si>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</si>
  <si>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</si>
  <si>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</si>
  <si>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</si>
  <si>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</si>
  <si>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</si>
  <si>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</si>
  <si>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</si>
  <si>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</si>
  <si>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</si>
  <si>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</si>
  <si>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</si>
  <si>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</si>
  <si>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</si>
  <si>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</si>
  <si>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</si>
  <si>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</si>
  <si>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</si>
  <si>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</si>
  <si>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</si>
  <si>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</si>
  <si>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</si>
  <si>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</si>
  <si>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</si>
  <si>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</si>
  <si>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</si>
  <si>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</si>
  <si>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</si>
  <si>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</si>
  <si>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</si>
  <si>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</si>
  <si>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</si>
  <si>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</si>
  <si>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</si>
  <si>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</si>
  <si>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</si>
  <si>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</si>
  <si>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</si>
  <si>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</si>
  <si>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</si>
  <si>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</si>
  <si>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</si>
  <si>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</si>
  <si>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</si>
  <si>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</si>
  <si>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</si>
  <si>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</si>
  <si>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</si>
  <si>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</si>
  <si>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</si>
  <si>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</si>
  <si>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</si>
  <si>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</si>
  <si>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</si>
  <si>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</si>
  <si>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</si>
  <si>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</si>
  <si>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</si>
  <si>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</si>
  <si>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</si>
  <si>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</si>
  <si>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</si>
  <si>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</si>
  <si>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</si>
  <si>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</si>
  <si>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</si>
  <si>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</si>
  <si>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</si>
  <si>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</si>
  <si>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</si>
  <si>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</si>
  <si>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</si>
  <si>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</si>
  <si>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</si>
  <si>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</si>
  <si>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</si>
  <si>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</si>
  <si>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</si>
  <si>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</si>
  <si>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</si>
  <si>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</si>
  <si>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</si>
  <si>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</si>
  <si>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</si>
  <si>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</si>
  <si>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</si>
  <si>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</si>
  <si>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</si>
  <si>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</si>
  <si>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</si>
  <si>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</si>
  <si>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</si>
  <si>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</si>
  <si>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</si>
  <si>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</si>
  <si>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</si>
  <si>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</si>
  <si>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</si>
  <si>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</si>
  <si>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</si>
  <si>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</si>
  <si>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</si>
  <si>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</si>
  <si>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</si>
  <si>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</si>
  <si>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</si>
  <si>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</si>
  <si>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</si>
  <si>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</si>
  <si>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</si>
  <si>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</si>
  <si>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</si>
  <si>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</si>
  <si>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</si>
  <si>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</si>
  <si>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</si>
  <si>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</si>
  <si>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</si>
  <si>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</si>
  <si>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</si>
  <si>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</si>
  <si>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</si>
  <si>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</si>
  <si>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</si>
  <si>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</si>
  <si>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</si>
  <si>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</si>
  <si>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</si>
  <si>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</si>
  <si>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</si>
  <si>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</si>
  <si>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</si>
  <si>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</si>
  <si>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</si>
  <si>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</si>
  <si>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</si>
  <si>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</si>
  <si>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</si>
  <si>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</si>
  <si>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</si>
  <si>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</si>
  <si>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</si>
  <si>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</si>
  <si>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</si>
  <si>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</si>
  <si>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</si>
  <si>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</si>
  <si>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</si>
  <si>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</si>
  <si>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</si>
  <si>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</si>
  <si>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</si>
  <si>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</si>
  <si>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</si>
  <si>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</si>
  <si>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</si>
  <si>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</si>
  <si>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</si>
  <si>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</si>
  <si>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</si>
  <si>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</si>
  <si>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</si>
  <si>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</si>
  <si>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</si>
  <si>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</si>
  <si>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</si>
  <si>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</si>
  <si>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по состоянию на 01.01.2021</t>
  </si>
  <si>
    <t xml:space="preserve"> факт 2020</t>
  </si>
  <si>
    <t>январь</t>
  </si>
  <si>
    <t>февраль</t>
  </si>
  <si>
    <t>март</t>
  </si>
  <si>
    <t>апрель</t>
  </si>
  <si>
    <t>май</t>
  </si>
  <si>
    <t>июнь</t>
  </si>
  <si>
    <t>июль</t>
  </si>
  <si>
    <t>август</t>
  </si>
  <si>
    <t>сентябрь</t>
  </si>
  <si>
    <t>октябрь</t>
  </si>
  <si>
    <t>ноябрь</t>
  </si>
  <si>
    <t>декабрь</t>
  </si>
  <si>
    <t>ОБ</t>
  </si>
  <si>
    <t>всего</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</si>
  <si>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</si>
  <si>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</si>
  <si>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</si>
  <si>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</si>
  <si>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</si>
  <si>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</si>
  <si>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</si>
  <si>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</si>
  <si>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</si>
  <si>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</si>
  <si>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</si>
  <si>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</si>
  <si>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</si>
  <si>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</si>
  <si>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</si>
  <si>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</si>
  <si>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</si>
  <si>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</si>
  <si>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</si>
  <si>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</si>
  <si>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</si>
  <si>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</si>
  <si>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</si>
  <si>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</si>
  <si>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Год раскрытия информации: 2021 год</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</si>
  <si>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</si>
  <si>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</si>
  <si>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</si>
  <si>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</si>
  <si>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</si>
  <si>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</si>
  <si>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</si>
  <si>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</si>
  <si>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</si>
  <si>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</si>
  <si>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</si>
  <si>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</si>
  <si>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</si>
  <si>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</si>
  <si>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</si>
  <si>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</si>
  <si>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</si>
  <si>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</si>
  <si>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</si>
  <si>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</si>
  <si>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</si>
  <si>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</si>
  <si>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</si>
  <si>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</si>
  <si>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</si>
  <si>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</si>
  <si>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</si>
  <si>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</si>
  <si>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</si>
  <si>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</si>
  <si>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</si>
  <si>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</si>
  <si>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</si>
  <si>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</si>
  <si>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</si>
  <si>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</si>
  <si>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</si>
  <si>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</si>
  <si>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</si>
  <si>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</si>
  <si>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</si>
  <si>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</si>
  <si>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</si>
  <si>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</si>
  <si>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</si>
  <si>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</si>
  <si>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</si>
  <si>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</si>
  <si>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</si>
  <si>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</si>
  <si>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</si>
  <si>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</si>
  <si>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 xml:space="preserve">
оборудование которое поступит в 2021 году:
трансформаторы для дуга -гасящих реакторов 2 шт.  766 667 без НДС
дуга-гасящие реакторы 2 шт. 5 290 080 с НДС
система видеонаблюдения  646 869 без НДС
аппаратура связи 483 636 с НДС</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</si>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</sst>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b/>
      <sz val="11"/>
      <color theme="1"/>
      <name val="Calibri"/>
      <family val="2"/>
      <charset val="204"/>
      <scheme val="minor"/>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53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4" fontId="0" fillId="0" borderId="0" xfId="0" applyNumberFormat="1"/>
    <xf numFmtId="0" fontId="0" fillId="46" borderId="0" xfId="0" applyFill="1"/>
    <xf numFmtId="4" fontId="0" fillId="46" borderId="0" xfId="0" applyNumberFormat="1" applyFill="1"/>
    <xf numFmtId="4" fontId="74" fillId="46" borderId="0" xfId="0" applyNumberFormat="1" applyFont="1" applyFill="1"/>
    <xf numFmtId="4" fontId="74" fillId="0" borderId="0" xfId="0" applyNumberFormat="1" applyFont="1"/>
    <xf numFmtId="0" fontId="36" fillId="47" borderId="24" xfId="2" applyFont="1" applyFill="1" applyBorder="1" applyAlignment="1">
      <alignment horizontal="justify" vertical="top" wrapText="1"/>
    </xf>
    <xf numFmtId="172" fontId="36" fillId="47" borderId="24" xfId="2" applyNumberFormat="1" applyFont="1" applyFill="1" applyBorder="1" applyAlignment="1">
      <alignment horizontal="justify" vertical="top" wrapText="1"/>
    </xf>
    <xf numFmtId="4" fontId="75" fillId="25" borderId="24" xfId="2" applyNumberFormat="1" applyFont="1" applyFill="1" applyBorder="1" applyAlignment="1">
      <alignment horizontal="justify" vertical="top" wrapText="1"/>
    </xf>
    <xf numFmtId="4" fontId="75"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173" fontId="38" fillId="0" borderId="36" xfId="2" applyNumberFormat="1" applyFont="1" applyFill="1" applyBorder="1" applyAlignment="1">
      <alignment horizontal="center" vertical="center" wrapText="1"/>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5"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70" fontId="37" fillId="0" borderId="36" xfId="67" applyNumberFormat="1" applyFont="1" applyFill="1" applyBorder="1" applyAlignment="1">
      <alignment vertical="center"/>
    </xf>
    <xf numFmtId="176"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6"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8"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9"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3" fontId="36" fillId="0" borderId="54" xfId="67" applyNumberFormat="1" applyFont="1" applyFill="1" applyBorder="1" applyAlignment="1">
      <alignment vertical="center"/>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4"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2" fontId="37" fillId="0" borderId="36" xfId="67" applyNumberFormat="1" applyFont="1" applyFill="1" applyBorder="1" applyAlignment="1">
      <alignment vertical="center"/>
    </xf>
    <xf numFmtId="172"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2"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3" fontId="10" fillId="0" borderId="0" xfId="2" applyNumberFormat="1" applyFont="1" applyFill="1"/>
    <xf numFmtId="0" fontId="10" fillId="0" borderId="49" xfId="52" applyFont="1" applyFill="1" applyBorder="1" applyAlignment="1">
      <alignment horizontal="center" vertical="center"/>
    </xf>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2" xfId="2" applyFont="1" applyFill="1" applyBorder="1" applyAlignment="1">
      <alignment horizontal="center" vertical="center" wrapText="1"/>
    </xf>
    <xf numFmtId="173" fontId="10" fillId="0" borderId="36" xfId="2" applyNumberFormat="1" applyFont="1" applyFill="1" applyBorder="1" applyAlignment="1">
      <alignment horizontal="center" vertical="center" wrapText="1"/>
    </xf>
    <xf numFmtId="173"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166" fontId="10" fillId="0" borderId="3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1" xfId="2" applyFont="1" applyFill="1" applyBorder="1" applyAlignment="1">
      <alignment horizontal="center" vertical="center" wrapText="1"/>
    </xf>
    <xf numFmtId="0" fontId="45" fillId="0" borderId="0" xfId="1" applyFont="1" applyFill="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6"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 zoomScaleSheetLayoutView="100" workbookViewId="0">
      <selection activeCell="F7" sqref="F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88" t="s">
        <v>635</v>
      </c>
      <c r="B5" s="388"/>
      <c r="C5" s="388"/>
      <c r="D5" s="105"/>
      <c r="E5" s="105"/>
      <c r="F5" s="105"/>
      <c r="G5" s="105"/>
      <c r="H5" s="105"/>
      <c r="I5" s="105"/>
      <c r="J5" s="105"/>
    </row>
    <row r="6" spans="1:22" s="11" customFormat="1" ht="18.75" x14ac:dyDescent="0.3">
      <c r="A6" s="16"/>
      <c r="F6" s="15"/>
      <c r="G6" s="15"/>
      <c r="H6" s="14"/>
    </row>
    <row r="7" spans="1:22" s="11" customFormat="1" ht="18.75" x14ac:dyDescent="0.2">
      <c r="A7" s="392" t="s">
        <v>7</v>
      </c>
      <c r="B7" s="392"/>
      <c r="C7" s="3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5" t="s">
        <v>589</v>
      </c>
      <c r="B9" s="395"/>
      <c r="C9" s="395"/>
      <c r="D9" s="7"/>
      <c r="E9" s="7"/>
      <c r="F9" s="7"/>
      <c r="G9" s="7"/>
      <c r="H9" s="7"/>
      <c r="I9" s="12"/>
      <c r="J9" s="12"/>
      <c r="K9" s="12"/>
      <c r="L9" s="12"/>
      <c r="M9" s="12"/>
      <c r="N9" s="12"/>
      <c r="O9" s="12"/>
      <c r="P9" s="12"/>
      <c r="Q9" s="12"/>
      <c r="R9" s="12"/>
      <c r="S9" s="12"/>
      <c r="T9" s="12"/>
      <c r="U9" s="12"/>
      <c r="V9" s="12"/>
    </row>
    <row r="10" spans="1:22" s="11" customFormat="1" ht="18.75" x14ac:dyDescent="0.2">
      <c r="A10" s="389" t="s">
        <v>6</v>
      </c>
      <c r="B10" s="389"/>
      <c r="C10" s="3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3" t="s">
        <v>592</v>
      </c>
      <c r="B12" s="393"/>
      <c r="C12" s="393"/>
      <c r="D12" s="7"/>
      <c r="E12" s="7"/>
      <c r="F12" s="7"/>
      <c r="G12" s="7"/>
      <c r="H12" s="7"/>
      <c r="I12" s="12"/>
      <c r="J12" s="12"/>
      <c r="K12" s="12"/>
      <c r="L12" s="12"/>
      <c r="M12" s="12"/>
      <c r="N12" s="12"/>
      <c r="O12" s="12"/>
      <c r="P12" s="12"/>
      <c r="Q12" s="12"/>
      <c r="R12" s="12"/>
      <c r="S12" s="12"/>
      <c r="T12" s="12"/>
      <c r="U12" s="12"/>
      <c r="V12" s="12"/>
    </row>
    <row r="13" spans="1:22" s="11" customFormat="1" ht="18.75" x14ac:dyDescent="0.2">
      <c r="A13" s="389" t="s">
        <v>5</v>
      </c>
      <c r="B13" s="389"/>
      <c r="C13" s="3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94" t="s">
        <v>623</v>
      </c>
      <c r="B15" s="394"/>
      <c r="C15" s="394"/>
      <c r="D15" s="7"/>
      <c r="E15" s="7"/>
      <c r="F15" s="7"/>
      <c r="G15" s="7"/>
      <c r="H15" s="7"/>
      <c r="I15" s="7"/>
      <c r="J15" s="7"/>
      <c r="K15" s="7"/>
      <c r="L15" s="7"/>
      <c r="M15" s="7"/>
      <c r="N15" s="7"/>
      <c r="O15" s="7"/>
      <c r="P15" s="7"/>
      <c r="Q15" s="7"/>
      <c r="R15" s="7"/>
      <c r="S15" s="7"/>
      <c r="T15" s="7"/>
      <c r="U15" s="7"/>
      <c r="V15" s="7"/>
    </row>
    <row r="16" spans="1:22" s="3" customFormat="1" ht="15" customHeight="1" x14ac:dyDescent="0.2">
      <c r="A16" s="389" t="s">
        <v>4</v>
      </c>
      <c r="B16" s="389"/>
      <c r="C16" s="3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0" t="s">
        <v>408</v>
      </c>
      <c r="B18" s="391"/>
      <c r="C18" s="3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445</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540</v>
      </c>
      <c r="C23" s="30" t="s">
        <v>539</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5"/>
      <c r="B24" s="386"/>
      <c r="C24" s="387"/>
      <c r="D24" s="23"/>
      <c r="E24" s="23"/>
      <c r="F24" s="23"/>
      <c r="G24" s="23"/>
      <c r="H24" s="23"/>
      <c r="I24" s="22"/>
      <c r="J24" s="22"/>
      <c r="K24" s="22"/>
      <c r="L24" s="22"/>
      <c r="M24" s="22"/>
      <c r="N24" s="22"/>
      <c r="O24" s="22"/>
      <c r="P24" s="22"/>
      <c r="Q24" s="22"/>
      <c r="R24" s="22"/>
      <c r="S24" s="22"/>
      <c r="T24" s="21"/>
      <c r="U24" s="21"/>
      <c r="V24" s="21"/>
    </row>
    <row r="25" spans="1:22" s="127" customFormat="1" ht="58.5" customHeight="1" x14ac:dyDescent="0.2">
      <c r="A25" s="19" t="s">
        <v>60</v>
      </c>
      <c r="B25" s="103" t="s">
        <v>358</v>
      </c>
      <c r="C25" s="25" t="s">
        <v>544</v>
      </c>
      <c r="D25" s="125"/>
      <c r="E25" s="125"/>
      <c r="F25" s="125"/>
      <c r="G25" s="125"/>
      <c r="H25" s="124"/>
      <c r="I25" s="124"/>
      <c r="J25" s="124"/>
      <c r="K25" s="124"/>
      <c r="L25" s="124"/>
      <c r="M25" s="124"/>
      <c r="N25" s="124"/>
      <c r="O25" s="124"/>
      <c r="P25" s="124"/>
      <c r="Q25" s="124"/>
      <c r="R25" s="124"/>
      <c r="S25" s="126"/>
      <c r="T25" s="126"/>
      <c r="U25" s="126"/>
      <c r="V25" s="126"/>
    </row>
    <row r="26" spans="1:22" s="127" customFormat="1" ht="42.75" customHeight="1" x14ac:dyDescent="0.2">
      <c r="A26" s="19" t="s">
        <v>59</v>
      </c>
      <c r="B26" s="103" t="s">
        <v>72</v>
      </c>
      <c r="C26" s="25" t="s">
        <v>423</v>
      </c>
      <c r="D26" s="125"/>
      <c r="E26" s="125"/>
      <c r="F26" s="125"/>
      <c r="G26" s="125"/>
      <c r="H26" s="124"/>
      <c r="I26" s="124"/>
      <c r="J26" s="124"/>
      <c r="K26" s="124"/>
      <c r="L26" s="124"/>
      <c r="M26" s="124"/>
      <c r="N26" s="124"/>
      <c r="O26" s="124"/>
      <c r="P26" s="124"/>
      <c r="Q26" s="124"/>
      <c r="R26" s="124"/>
      <c r="S26" s="126"/>
      <c r="T26" s="126"/>
      <c r="U26" s="126"/>
      <c r="V26" s="126"/>
    </row>
    <row r="27" spans="1:22" s="127" customFormat="1" ht="51.75" customHeight="1" x14ac:dyDescent="0.2">
      <c r="A27" s="19" t="s">
        <v>57</v>
      </c>
      <c r="B27" s="103" t="s">
        <v>71</v>
      </c>
      <c r="C27" s="25" t="s">
        <v>585</v>
      </c>
      <c r="D27" s="125"/>
      <c r="E27" s="125"/>
      <c r="F27" s="125"/>
      <c r="G27" s="125"/>
      <c r="H27" s="124"/>
      <c r="I27" s="124"/>
      <c r="J27" s="124"/>
      <c r="K27" s="124"/>
      <c r="L27" s="124"/>
      <c r="M27" s="124"/>
      <c r="N27" s="124"/>
      <c r="O27" s="124"/>
      <c r="P27" s="124"/>
      <c r="Q27" s="124"/>
      <c r="R27" s="124"/>
      <c r="S27" s="126"/>
      <c r="T27" s="126"/>
      <c r="U27" s="126"/>
      <c r="V27" s="126"/>
    </row>
    <row r="28" spans="1:22" s="127" customFormat="1" ht="42.75" customHeight="1" x14ac:dyDescent="0.2">
      <c r="A28" s="19" t="s">
        <v>56</v>
      </c>
      <c r="B28" s="103" t="s">
        <v>359</v>
      </c>
      <c r="C28" s="25" t="s">
        <v>436</v>
      </c>
      <c r="D28" s="125"/>
      <c r="E28" s="125"/>
      <c r="F28" s="125"/>
      <c r="G28" s="125"/>
      <c r="H28" s="124"/>
      <c r="I28" s="124"/>
      <c r="J28" s="124"/>
      <c r="K28" s="124"/>
      <c r="L28" s="124"/>
      <c r="M28" s="124"/>
      <c r="N28" s="124"/>
      <c r="O28" s="124"/>
      <c r="P28" s="124"/>
      <c r="Q28" s="124"/>
      <c r="R28" s="124"/>
      <c r="S28" s="126"/>
      <c r="T28" s="126"/>
      <c r="U28" s="126"/>
      <c r="V28" s="126"/>
    </row>
    <row r="29" spans="1:22" s="127" customFormat="1" ht="51.75" customHeight="1" x14ac:dyDescent="0.2">
      <c r="A29" s="19" t="s">
        <v>54</v>
      </c>
      <c r="B29" s="103" t="s">
        <v>360</v>
      </c>
      <c r="C29" s="25" t="s">
        <v>436</v>
      </c>
      <c r="D29" s="125"/>
      <c r="E29" s="125"/>
      <c r="F29" s="125"/>
      <c r="G29" s="125"/>
      <c r="H29" s="124"/>
      <c r="I29" s="124"/>
      <c r="J29" s="124"/>
      <c r="K29" s="124"/>
      <c r="L29" s="124"/>
      <c r="M29" s="124"/>
      <c r="N29" s="124"/>
      <c r="O29" s="124"/>
      <c r="P29" s="124"/>
      <c r="Q29" s="124"/>
      <c r="R29" s="124"/>
      <c r="S29" s="126"/>
      <c r="T29" s="126"/>
      <c r="U29" s="126"/>
      <c r="V29" s="126"/>
    </row>
    <row r="30" spans="1:22" s="127" customFormat="1" ht="51.75" customHeight="1" x14ac:dyDescent="0.2">
      <c r="A30" s="19" t="s">
        <v>52</v>
      </c>
      <c r="B30" s="103" t="s">
        <v>361</v>
      </c>
      <c r="C30" s="25" t="s">
        <v>436</v>
      </c>
      <c r="D30" s="125"/>
      <c r="E30" s="125"/>
      <c r="F30" s="125"/>
      <c r="G30" s="125"/>
      <c r="H30" s="124"/>
      <c r="I30" s="124"/>
      <c r="J30" s="124"/>
      <c r="K30" s="124"/>
      <c r="L30" s="124"/>
      <c r="M30" s="124"/>
      <c r="N30" s="124"/>
      <c r="O30" s="124"/>
      <c r="P30" s="124"/>
      <c r="Q30" s="124"/>
      <c r="R30" s="124"/>
      <c r="S30" s="126"/>
      <c r="T30" s="126"/>
      <c r="U30" s="126"/>
      <c r="V30" s="126"/>
    </row>
    <row r="31" spans="1:22" s="127" customFormat="1" ht="51.75" customHeight="1" x14ac:dyDescent="0.2">
      <c r="A31" s="19" t="s">
        <v>70</v>
      </c>
      <c r="B31" s="103" t="s">
        <v>362</v>
      </c>
      <c r="C31" s="25" t="s">
        <v>437</v>
      </c>
      <c r="D31" s="125"/>
      <c r="E31" s="125"/>
      <c r="F31" s="125"/>
      <c r="G31" s="125"/>
      <c r="H31" s="124"/>
      <c r="I31" s="124"/>
      <c r="J31" s="124"/>
      <c r="K31" s="124"/>
      <c r="L31" s="124"/>
      <c r="M31" s="124"/>
      <c r="N31" s="124"/>
      <c r="O31" s="124"/>
      <c r="P31" s="124"/>
      <c r="Q31" s="124"/>
      <c r="R31" s="124"/>
      <c r="S31" s="126"/>
      <c r="T31" s="126"/>
      <c r="U31" s="126"/>
      <c r="V31" s="126"/>
    </row>
    <row r="32" spans="1:22" s="127" customFormat="1" ht="51.75" customHeight="1" x14ac:dyDescent="0.2">
      <c r="A32" s="19" t="s">
        <v>68</v>
      </c>
      <c r="B32" s="103" t="s">
        <v>363</v>
      </c>
      <c r="C32" s="25" t="s">
        <v>437</v>
      </c>
      <c r="D32" s="125"/>
      <c r="E32" s="125"/>
      <c r="F32" s="125"/>
      <c r="G32" s="125"/>
      <c r="H32" s="124"/>
      <c r="I32" s="124"/>
      <c r="J32" s="124"/>
      <c r="K32" s="124"/>
      <c r="L32" s="124"/>
      <c r="M32" s="124"/>
      <c r="N32" s="124"/>
      <c r="O32" s="124"/>
      <c r="P32" s="124"/>
      <c r="Q32" s="124"/>
      <c r="R32" s="124"/>
      <c r="S32" s="126"/>
      <c r="T32" s="126"/>
      <c r="U32" s="126"/>
      <c r="V32" s="126"/>
    </row>
    <row r="33" spans="1:22" s="127" customFormat="1" ht="101.25" customHeight="1" x14ac:dyDescent="0.2">
      <c r="A33" s="19" t="s">
        <v>67</v>
      </c>
      <c r="B33" s="103" t="s">
        <v>364</v>
      </c>
      <c r="C33" s="103" t="s">
        <v>554</v>
      </c>
      <c r="D33" s="125"/>
      <c r="E33" s="125"/>
      <c r="F33" s="125"/>
      <c r="G33" s="125"/>
      <c r="H33" s="124"/>
      <c r="I33" s="124"/>
      <c r="J33" s="124"/>
      <c r="K33" s="124"/>
      <c r="L33" s="124"/>
      <c r="M33" s="124"/>
      <c r="N33" s="124"/>
      <c r="O33" s="124"/>
      <c r="P33" s="124"/>
      <c r="Q33" s="124"/>
      <c r="R33" s="124"/>
      <c r="S33" s="126"/>
      <c r="T33" s="126"/>
      <c r="U33" s="126"/>
      <c r="V33" s="126"/>
    </row>
    <row r="34" spans="1:22" ht="111" customHeight="1" x14ac:dyDescent="0.25">
      <c r="A34" s="19" t="s">
        <v>377</v>
      </c>
      <c r="B34" s="30" t="s">
        <v>365</v>
      </c>
      <c r="C34" s="20" t="s">
        <v>561</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5"/>
      <c r="B39" s="386"/>
      <c r="C39" s="387"/>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8" t="s">
        <v>572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9"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t="s">
        <v>624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7"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573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5">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5"/>
      <c r="B47" s="386"/>
      <c r="C47" s="3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2"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2"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2" t="str">
        <f>CONCATENATE(ROUND('6.2. Паспорт фин осв ввод'!D24,2)," млн.руб.")</f>
        <v>414,92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2" t="str">
        <f>CONCATENATE(ROUND('6.2. Паспорт фин осв ввод'!D52,2)," млн.руб.")</f>
        <v>345,77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82" t="str">
        <f>'1. паспорт местоположение'!A5:C5</f>
        <v>Год раскрытия информации: 2021 год</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row>
    <row r="5" spans="1:29" ht="18.75" x14ac:dyDescent="0.3">
      <c r="A5" s="44"/>
      <c r="B5" s="44"/>
      <c r="C5" s="44"/>
      <c r="D5" s="44"/>
      <c r="E5" s="44"/>
      <c r="F5" s="44"/>
      <c r="L5" s="44"/>
      <c r="M5" s="44"/>
      <c r="T5" s="44"/>
      <c r="U5" s="44"/>
      <c r="AC5" s="14"/>
    </row>
    <row r="6" spans="1:29" ht="18.75" x14ac:dyDescent="0.25">
      <c r="A6" s="392" t="s">
        <v>7</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83" t="str">
        <f>'1. паспорт местоположение'!A9:C9</f>
        <v xml:space="preserve">Акционерное общество "Западная энергетическая компания" </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389" t="s">
        <v>6</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83" t="str">
        <f>'1. паспорт местоположение'!A12:C12</f>
        <v>J  19-01</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4"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389" t="s">
        <v>4</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7" t="s">
        <v>393</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76" t="s">
        <v>183</v>
      </c>
      <c r="B20" s="476" t="s">
        <v>182</v>
      </c>
      <c r="C20" s="471" t="s">
        <v>181</v>
      </c>
      <c r="D20" s="471"/>
      <c r="E20" s="486" t="s">
        <v>180</v>
      </c>
      <c r="F20" s="486"/>
      <c r="G20" s="476" t="s">
        <v>424</v>
      </c>
      <c r="H20" s="479" t="s">
        <v>425</v>
      </c>
      <c r="I20" s="480"/>
      <c r="J20" s="480"/>
      <c r="K20" s="480"/>
      <c r="L20" s="479" t="s">
        <v>426</v>
      </c>
      <c r="M20" s="480"/>
      <c r="N20" s="480"/>
      <c r="O20" s="480"/>
      <c r="P20" s="479" t="s">
        <v>427</v>
      </c>
      <c r="Q20" s="480"/>
      <c r="R20" s="480"/>
      <c r="S20" s="480"/>
      <c r="T20" s="479" t="s">
        <v>442</v>
      </c>
      <c r="U20" s="480"/>
      <c r="V20" s="480"/>
      <c r="W20" s="480"/>
      <c r="X20" s="479" t="s">
        <v>443</v>
      </c>
      <c r="Y20" s="480"/>
      <c r="Z20" s="480"/>
      <c r="AA20" s="480"/>
      <c r="AB20" s="488" t="s">
        <v>179</v>
      </c>
      <c r="AC20" s="488"/>
      <c r="AD20" s="65"/>
      <c r="AE20" s="65"/>
      <c r="AF20" s="65"/>
    </row>
    <row r="21" spans="1:32" ht="99.75" customHeight="1" x14ac:dyDescent="0.25">
      <c r="A21" s="477"/>
      <c r="B21" s="477"/>
      <c r="C21" s="471"/>
      <c r="D21" s="471"/>
      <c r="E21" s="486"/>
      <c r="F21" s="486"/>
      <c r="G21" s="477"/>
      <c r="H21" s="471" t="s">
        <v>2</v>
      </c>
      <c r="I21" s="471"/>
      <c r="J21" s="471" t="s">
        <v>9</v>
      </c>
      <c r="K21" s="471"/>
      <c r="L21" s="471" t="s">
        <v>2</v>
      </c>
      <c r="M21" s="471"/>
      <c r="N21" s="471" t="s">
        <v>9</v>
      </c>
      <c r="O21" s="471"/>
      <c r="P21" s="471" t="s">
        <v>2</v>
      </c>
      <c r="Q21" s="471"/>
      <c r="R21" s="471" t="s">
        <v>178</v>
      </c>
      <c r="S21" s="471"/>
      <c r="T21" s="471" t="s">
        <v>2</v>
      </c>
      <c r="U21" s="471"/>
      <c r="V21" s="471" t="s">
        <v>178</v>
      </c>
      <c r="W21" s="471"/>
      <c r="X21" s="471" t="s">
        <v>2</v>
      </c>
      <c r="Y21" s="471"/>
      <c r="Z21" s="471" t="s">
        <v>178</v>
      </c>
      <c r="AA21" s="471"/>
      <c r="AB21" s="488"/>
      <c r="AC21" s="488"/>
    </row>
    <row r="22" spans="1:32" ht="89.25" customHeight="1" x14ac:dyDescent="0.25">
      <c r="A22" s="478"/>
      <c r="B22" s="478"/>
      <c r="C22" s="62" t="s">
        <v>2</v>
      </c>
      <c r="D22" s="62" t="s">
        <v>178</v>
      </c>
      <c r="E22" s="64" t="s">
        <v>441</v>
      </c>
      <c r="F22" s="64" t="s">
        <v>487</v>
      </c>
      <c r="G22" s="478"/>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1" t="s">
        <v>9</v>
      </c>
    </row>
    <row r="23" spans="1:32" ht="19.5" customHeight="1" x14ac:dyDescent="0.25">
      <c r="A23" s="55">
        <v>1</v>
      </c>
      <c r="B23" s="55">
        <v>2</v>
      </c>
      <c r="C23" s="55">
        <v>3</v>
      </c>
      <c r="D23" s="55">
        <v>4</v>
      </c>
      <c r="E23" s="55">
        <v>5</v>
      </c>
      <c r="F23" s="55">
        <v>6</v>
      </c>
      <c r="G23" s="102">
        <v>7</v>
      </c>
      <c r="H23" s="102">
        <v>8</v>
      </c>
      <c r="I23" s="102">
        <v>9</v>
      </c>
      <c r="J23" s="102">
        <v>10</v>
      </c>
      <c r="K23" s="102">
        <v>11</v>
      </c>
      <c r="L23" s="123">
        <v>12</v>
      </c>
      <c r="M23" s="123">
        <v>13</v>
      </c>
      <c r="N23" s="123">
        <v>14</v>
      </c>
      <c r="O23" s="123">
        <v>15</v>
      </c>
      <c r="P23" s="123">
        <v>16</v>
      </c>
      <c r="Q23" s="123">
        <v>17</v>
      </c>
      <c r="R23" s="123">
        <v>18</v>
      </c>
      <c r="S23" s="123">
        <v>19</v>
      </c>
      <c r="T23" s="102">
        <v>12</v>
      </c>
      <c r="U23" s="102">
        <v>13</v>
      </c>
      <c r="V23" s="102">
        <v>14</v>
      </c>
      <c r="W23" s="102">
        <v>15</v>
      </c>
      <c r="X23" s="102">
        <v>16</v>
      </c>
      <c r="Y23" s="102">
        <v>17</v>
      </c>
      <c r="Z23" s="102">
        <v>18</v>
      </c>
      <c r="AA23" s="102">
        <v>19</v>
      </c>
      <c r="AB23" s="102">
        <v>20</v>
      </c>
      <c r="AC23" s="120">
        <f>AB23+1</f>
        <v>21</v>
      </c>
    </row>
    <row r="24" spans="1:32" ht="47.25" customHeight="1" x14ac:dyDescent="0.25">
      <c r="A24" s="60">
        <v>1</v>
      </c>
      <c r="B24" s="59" t="s">
        <v>177</v>
      </c>
      <c r="C24" s="116">
        <f>SUM(C25:C29)</f>
        <v>294.53059319620257</v>
      </c>
      <c r="D24" s="116">
        <v>0</v>
      </c>
      <c r="E24" s="116">
        <f>SUM(E25:E29)</f>
        <v>294.53059319620257</v>
      </c>
      <c r="F24" s="116">
        <f>SUM(F25:F29)</f>
        <v>293.97652119620255</v>
      </c>
      <c r="G24" s="116">
        <f>SUM(G25:G29)</f>
        <v>0</v>
      </c>
      <c r="H24" s="116">
        <f t="shared" ref="H24:M24" si="0">SUM(H25:H29)</f>
        <v>0.55407200000000001</v>
      </c>
      <c r="I24" s="116">
        <f t="shared" si="0"/>
        <v>0</v>
      </c>
      <c r="J24" s="116">
        <f t="shared" si="0"/>
        <v>0.55407200000000001</v>
      </c>
      <c r="K24" s="116">
        <f t="shared" si="0"/>
        <v>0</v>
      </c>
      <c r="L24" s="116">
        <f t="shared" si="0"/>
        <v>160.58748429999991</v>
      </c>
      <c r="M24" s="116">
        <f t="shared" si="0"/>
        <v>128.46998823999991</v>
      </c>
      <c r="N24" s="116">
        <f>SUM(N25:N29)</f>
        <v>134.10904273</v>
      </c>
      <c r="O24" s="116">
        <f t="shared" ref="O24:AA24" si="1">SUM(O25:O29)</f>
        <v>101.99154667000002</v>
      </c>
      <c r="P24" s="116">
        <f t="shared" si="1"/>
        <v>133.38903689620324</v>
      </c>
      <c r="Q24" s="116">
        <f t="shared" si="1"/>
        <v>0</v>
      </c>
      <c r="R24" s="116">
        <f t="shared" si="1"/>
        <v>0</v>
      </c>
      <c r="S24" s="116">
        <f t="shared" si="1"/>
        <v>0</v>
      </c>
      <c r="T24" s="116">
        <f t="shared" si="1"/>
        <v>0</v>
      </c>
      <c r="U24" s="116">
        <f t="shared" si="1"/>
        <v>0</v>
      </c>
      <c r="V24" s="116">
        <f t="shared" si="1"/>
        <v>0</v>
      </c>
      <c r="W24" s="116">
        <f t="shared" si="1"/>
        <v>0</v>
      </c>
      <c r="X24" s="116">
        <f t="shared" si="1"/>
        <v>0</v>
      </c>
      <c r="Y24" s="116">
        <f t="shared" si="1"/>
        <v>0</v>
      </c>
      <c r="Z24" s="116">
        <f t="shared" si="1"/>
        <v>0</v>
      </c>
      <c r="AA24" s="116">
        <f t="shared" si="1"/>
        <v>0</v>
      </c>
      <c r="AB24" s="122">
        <f t="shared" ref="AB24:AB64" si="2">SUM(H24,L24,P24,T24,X24)</f>
        <v>294.53059319620314</v>
      </c>
      <c r="AC24" s="122">
        <f>J24+N24+R24+V24+Z24</f>
        <v>134.66311472999999</v>
      </c>
    </row>
    <row r="25" spans="1:32" ht="24" customHeight="1" x14ac:dyDescent="0.25">
      <c r="A25" s="57" t="s">
        <v>176</v>
      </c>
      <c r="B25" s="33" t="s">
        <v>175</v>
      </c>
      <c r="C25" s="116">
        <v>0</v>
      </c>
      <c r="D25" s="116">
        <v>0</v>
      </c>
      <c r="E25" s="116">
        <f>C25</f>
        <v>0</v>
      </c>
      <c r="F25" s="116">
        <f>E25-G25-H25</f>
        <v>0</v>
      </c>
      <c r="G25" s="118">
        <v>0</v>
      </c>
      <c r="H25" s="118">
        <v>0</v>
      </c>
      <c r="I25" s="118">
        <v>0</v>
      </c>
      <c r="J25" s="118">
        <v>0</v>
      </c>
      <c r="K25" s="118">
        <v>0</v>
      </c>
      <c r="L25" s="118">
        <f>F25</f>
        <v>0</v>
      </c>
      <c r="M25" s="118">
        <v>0</v>
      </c>
      <c r="N25" s="118">
        <f>F25</f>
        <v>0</v>
      </c>
      <c r="O25" s="118">
        <v>0</v>
      </c>
      <c r="P25" s="118">
        <v>0</v>
      </c>
      <c r="Q25" s="118">
        <v>0</v>
      </c>
      <c r="R25" s="118">
        <v>0</v>
      </c>
      <c r="S25" s="118">
        <v>0</v>
      </c>
      <c r="T25" s="118">
        <v>0</v>
      </c>
      <c r="U25" s="118">
        <v>0</v>
      </c>
      <c r="V25" s="118">
        <v>0</v>
      </c>
      <c r="W25" s="118">
        <v>0</v>
      </c>
      <c r="X25" s="118">
        <v>0</v>
      </c>
      <c r="Y25" s="118">
        <v>0</v>
      </c>
      <c r="Z25" s="118">
        <v>0</v>
      </c>
      <c r="AA25" s="118">
        <v>0</v>
      </c>
      <c r="AB25" s="122">
        <f t="shared" si="2"/>
        <v>0</v>
      </c>
      <c r="AC25" s="122">
        <f t="shared" ref="AC25:AC64" si="3">J25+N25+R25+V25+Z25</f>
        <v>0</v>
      </c>
    </row>
    <row r="26" spans="1:32" x14ac:dyDescent="0.25">
      <c r="A26" s="57" t="s">
        <v>174</v>
      </c>
      <c r="B26" s="33" t="s">
        <v>173</v>
      </c>
      <c r="C26" s="116">
        <v>0</v>
      </c>
      <c r="D26" s="116">
        <v>0</v>
      </c>
      <c r="E26" s="116">
        <f>C26</f>
        <v>0</v>
      </c>
      <c r="F26" s="116">
        <f>E26-G26-H26</f>
        <v>0</v>
      </c>
      <c r="G26" s="118">
        <v>0</v>
      </c>
      <c r="H26" s="118">
        <v>0</v>
      </c>
      <c r="I26" s="118">
        <v>0</v>
      </c>
      <c r="J26" s="118">
        <v>0</v>
      </c>
      <c r="K26" s="118">
        <v>0</v>
      </c>
      <c r="L26" s="118">
        <f>F26</f>
        <v>0</v>
      </c>
      <c r="M26" s="118">
        <v>0</v>
      </c>
      <c r="N26" s="118">
        <f>F26</f>
        <v>0</v>
      </c>
      <c r="O26" s="118">
        <v>0</v>
      </c>
      <c r="P26" s="118">
        <v>0</v>
      </c>
      <c r="Q26" s="118">
        <v>0</v>
      </c>
      <c r="R26" s="118">
        <v>0</v>
      </c>
      <c r="S26" s="118">
        <v>0</v>
      </c>
      <c r="T26" s="118">
        <v>0</v>
      </c>
      <c r="U26" s="118">
        <v>0</v>
      </c>
      <c r="V26" s="118">
        <v>0</v>
      </c>
      <c r="W26" s="118">
        <v>0</v>
      </c>
      <c r="X26" s="118">
        <v>0</v>
      </c>
      <c r="Y26" s="118">
        <v>0</v>
      </c>
      <c r="Z26" s="118">
        <v>0</v>
      </c>
      <c r="AA26" s="118">
        <v>0</v>
      </c>
      <c r="AB26" s="122">
        <f t="shared" si="2"/>
        <v>0</v>
      </c>
      <c r="AC26" s="122">
        <f t="shared" si="3"/>
        <v>0</v>
      </c>
    </row>
    <row r="27" spans="1:32" ht="31.5" x14ac:dyDescent="0.25">
      <c r="A27" s="57" t="s">
        <v>172</v>
      </c>
      <c r="B27" s="33" t="s">
        <v>357</v>
      </c>
      <c r="C27" s="116">
        <v>0</v>
      </c>
      <c r="D27" s="116">
        <v>0</v>
      </c>
      <c r="E27" s="116">
        <f>C27</f>
        <v>0</v>
      </c>
      <c r="F27" s="116">
        <f>E27-G27-H27</f>
        <v>0</v>
      </c>
      <c r="G27" s="118">
        <v>0</v>
      </c>
      <c r="H27" s="118">
        <v>0</v>
      </c>
      <c r="I27" s="118">
        <v>0</v>
      </c>
      <c r="J27" s="118">
        <v>0</v>
      </c>
      <c r="K27" s="118">
        <v>0</v>
      </c>
      <c r="L27" s="118">
        <f>F27</f>
        <v>0</v>
      </c>
      <c r="M27" s="118">
        <v>0</v>
      </c>
      <c r="N27" s="118">
        <f>F27</f>
        <v>0</v>
      </c>
      <c r="O27" s="118">
        <v>0</v>
      </c>
      <c r="P27" s="118">
        <v>0</v>
      </c>
      <c r="Q27" s="118">
        <v>0</v>
      </c>
      <c r="R27" s="118">
        <v>0</v>
      </c>
      <c r="S27" s="118">
        <v>0</v>
      </c>
      <c r="T27" s="118">
        <v>0</v>
      </c>
      <c r="U27" s="118">
        <v>0</v>
      </c>
      <c r="V27" s="118">
        <v>0</v>
      </c>
      <c r="W27" s="118">
        <v>0</v>
      </c>
      <c r="X27" s="118">
        <v>0</v>
      </c>
      <c r="Y27" s="118">
        <v>0</v>
      </c>
      <c r="Z27" s="118">
        <v>0</v>
      </c>
      <c r="AA27" s="118">
        <v>0</v>
      </c>
      <c r="AB27" s="122">
        <f t="shared" si="2"/>
        <v>0</v>
      </c>
      <c r="AC27" s="122">
        <f t="shared" si="3"/>
        <v>0</v>
      </c>
      <c r="AF27" s="117"/>
    </row>
    <row r="28" spans="1:32" x14ac:dyDescent="0.25">
      <c r="A28" s="57" t="s">
        <v>171</v>
      </c>
      <c r="B28" s="33" t="s">
        <v>170</v>
      </c>
      <c r="C28" s="116">
        <f>C30*1.18</f>
        <v>294.53059319620257</v>
      </c>
      <c r="D28" s="116">
        <v>0</v>
      </c>
      <c r="E28" s="116">
        <f>C28</f>
        <v>294.53059319620257</v>
      </c>
      <c r="F28" s="116">
        <f>E28-G28-H28</f>
        <v>293.97652119620255</v>
      </c>
      <c r="G28" s="118">
        <v>0</v>
      </c>
      <c r="H28" s="118">
        <v>0.55407200000000001</v>
      </c>
      <c r="I28" s="118">
        <v>0</v>
      </c>
      <c r="J28" s="118">
        <v>0.55407200000000001</v>
      </c>
      <c r="K28" s="118">
        <v>0</v>
      </c>
      <c r="L28" s="118">
        <v>160.58748429999991</v>
      </c>
      <c r="M28" s="118">
        <v>128.46998823999991</v>
      </c>
      <c r="N28" s="118">
        <v>134.10904273</v>
      </c>
      <c r="O28" s="118">
        <v>101.99154667000002</v>
      </c>
      <c r="P28" s="118">
        <v>133.38903689620324</v>
      </c>
      <c r="Q28" s="118">
        <v>0</v>
      </c>
      <c r="R28" s="118">
        <v>0</v>
      </c>
      <c r="S28" s="118">
        <v>0</v>
      </c>
      <c r="T28" s="118">
        <v>0</v>
      </c>
      <c r="U28" s="118">
        <v>0</v>
      </c>
      <c r="V28" s="118">
        <v>0</v>
      </c>
      <c r="W28" s="118">
        <v>0</v>
      </c>
      <c r="X28" s="118">
        <v>0</v>
      </c>
      <c r="Y28" s="118">
        <v>0</v>
      </c>
      <c r="Z28" s="118">
        <v>0</v>
      </c>
      <c r="AA28" s="118">
        <v>0</v>
      </c>
      <c r="AB28" s="122">
        <f t="shared" si="2"/>
        <v>294.53059319620314</v>
      </c>
      <c r="AC28" s="122">
        <f t="shared" si="3"/>
        <v>134.66311472999999</v>
      </c>
    </row>
    <row r="29" spans="1:32" x14ac:dyDescent="0.25">
      <c r="A29" s="57" t="s">
        <v>169</v>
      </c>
      <c r="B29" s="61" t="s">
        <v>168</v>
      </c>
      <c r="C29" s="116">
        <v>0</v>
      </c>
      <c r="D29" s="116">
        <v>0</v>
      </c>
      <c r="E29" s="116">
        <f>C29</f>
        <v>0</v>
      </c>
      <c r="F29" s="116">
        <f>E29-G29-H29</f>
        <v>0</v>
      </c>
      <c r="G29" s="118">
        <v>0</v>
      </c>
      <c r="H29" s="118">
        <v>0</v>
      </c>
      <c r="I29" s="118">
        <v>0</v>
      </c>
      <c r="J29" s="118">
        <v>0</v>
      </c>
      <c r="K29" s="118">
        <v>0</v>
      </c>
      <c r="L29" s="118">
        <f>F29</f>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22">
        <f t="shared" si="2"/>
        <v>0</v>
      </c>
      <c r="AC29" s="122">
        <f t="shared" si="3"/>
        <v>0</v>
      </c>
      <c r="AF29" s="117"/>
    </row>
    <row r="30" spans="1:32" ht="47.25" x14ac:dyDescent="0.25">
      <c r="A30" s="60" t="s">
        <v>61</v>
      </c>
      <c r="B30" s="59" t="s">
        <v>167</v>
      </c>
      <c r="C30" s="116">
        <f>SUM(C31:C34)</f>
        <v>249.60219762390051</v>
      </c>
      <c r="D30" s="116">
        <v>0</v>
      </c>
      <c r="E30" s="116">
        <f t="shared" ref="E30:K30" si="4">SUM(E31:E34)</f>
        <v>249.60219762390051</v>
      </c>
      <c r="F30" s="116">
        <f t="shared" si="4"/>
        <v>249.13264508152764</v>
      </c>
      <c r="G30" s="116">
        <f t="shared" si="4"/>
        <v>0</v>
      </c>
      <c r="H30" s="116">
        <f t="shared" si="4"/>
        <v>0.46955254237288102</v>
      </c>
      <c r="I30" s="116">
        <f t="shared" si="4"/>
        <v>0</v>
      </c>
      <c r="J30" s="116">
        <f t="shared" si="4"/>
        <v>0.46955254237288102</v>
      </c>
      <c r="K30" s="116">
        <f t="shared" si="4"/>
        <v>0</v>
      </c>
      <c r="L30" s="116">
        <f>145.62859444541</f>
        <v>145.62859444540999</v>
      </c>
      <c r="M30" s="116">
        <v>145.6285944454101</v>
      </c>
      <c r="N30" s="116">
        <v>94.271501650000005</v>
      </c>
      <c r="O30" s="116">
        <v>94.27150164999999</v>
      </c>
      <c r="P30" s="116">
        <v>103.504050636118</v>
      </c>
      <c r="Q30" s="116">
        <f t="shared" ref="Q30:AA30" si="5">SUM(Q31:Q34)</f>
        <v>0</v>
      </c>
      <c r="R30" s="116">
        <f t="shared" si="5"/>
        <v>0</v>
      </c>
      <c r="S30" s="116">
        <f t="shared" si="5"/>
        <v>0</v>
      </c>
      <c r="T30" s="116">
        <f t="shared" si="5"/>
        <v>0</v>
      </c>
      <c r="U30" s="116">
        <f t="shared" si="5"/>
        <v>0</v>
      </c>
      <c r="V30" s="116">
        <f t="shared" si="5"/>
        <v>0</v>
      </c>
      <c r="W30" s="116">
        <f t="shared" si="5"/>
        <v>0</v>
      </c>
      <c r="X30" s="116">
        <f t="shared" si="5"/>
        <v>0</v>
      </c>
      <c r="Y30" s="116">
        <f t="shared" si="5"/>
        <v>0</v>
      </c>
      <c r="Z30" s="116">
        <f t="shared" si="5"/>
        <v>0</v>
      </c>
      <c r="AA30" s="116">
        <f t="shared" si="5"/>
        <v>0</v>
      </c>
      <c r="AB30" s="122">
        <f t="shared" si="2"/>
        <v>249.60219762390085</v>
      </c>
      <c r="AC30" s="122">
        <f t="shared" si="3"/>
        <v>94.741054192372886</v>
      </c>
      <c r="AE30" s="117"/>
    </row>
    <row r="31" spans="1:32" x14ac:dyDescent="0.25">
      <c r="A31" s="60" t="s">
        <v>166</v>
      </c>
      <c r="B31" s="33" t="s">
        <v>165</v>
      </c>
      <c r="C31" s="116">
        <f>4.7144209*1.41456447846*0.7</f>
        <v>4.6681966391545968</v>
      </c>
      <c r="D31" s="116">
        <v>0</v>
      </c>
      <c r="E31" s="116">
        <f>C31</f>
        <v>4.6681966391545968</v>
      </c>
      <c r="F31" s="116">
        <f>E31-G31-H31</f>
        <v>4.6681966391545968</v>
      </c>
      <c r="G31" s="118">
        <v>0</v>
      </c>
      <c r="H31" s="118">
        <v>0</v>
      </c>
      <c r="I31" s="118">
        <v>0</v>
      </c>
      <c r="J31" s="118">
        <v>0</v>
      </c>
      <c r="K31" s="118">
        <v>0</v>
      </c>
      <c r="L31" s="118">
        <f>F31</f>
        <v>4.6681966391545968</v>
      </c>
      <c r="M31" s="118">
        <v>4.6681966391545968</v>
      </c>
      <c r="N31" s="118">
        <v>0</v>
      </c>
      <c r="O31" s="118">
        <v>0</v>
      </c>
      <c r="P31" s="118">
        <v>0</v>
      </c>
      <c r="Q31" s="118">
        <v>0</v>
      </c>
      <c r="R31" s="118">
        <v>0</v>
      </c>
      <c r="S31" s="118">
        <v>0</v>
      </c>
      <c r="T31" s="118">
        <v>0</v>
      </c>
      <c r="U31" s="118">
        <v>0</v>
      </c>
      <c r="V31" s="118">
        <v>0</v>
      </c>
      <c r="W31" s="118">
        <v>0</v>
      </c>
      <c r="X31" s="118">
        <v>0</v>
      </c>
      <c r="Y31" s="118">
        <v>0</v>
      </c>
      <c r="Z31" s="118">
        <v>0</v>
      </c>
      <c r="AA31" s="118">
        <v>0</v>
      </c>
      <c r="AB31" s="122">
        <f t="shared" si="2"/>
        <v>4.6681966391545968</v>
      </c>
      <c r="AC31" s="122">
        <f t="shared" si="3"/>
        <v>0</v>
      </c>
    </row>
    <row r="32" spans="1:32" ht="31.5" x14ac:dyDescent="0.25">
      <c r="A32" s="60" t="s">
        <v>164</v>
      </c>
      <c r="B32" s="33" t="s">
        <v>163</v>
      </c>
      <c r="C32" s="116">
        <f>22.591709*1.41456447846*0.7</f>
        <v>22.370200341373565</v>
      </c>
      <c r="D32" s="116">
        <v>0</v>
      </c>
      <c r="E32" s="116">
        <f>C32</f>
        <v>22.370200341373565</v>
      </c>
      <c r="F32" s="116">
        <f>E32-G32-H32</f>
        <v>22.370200341373565</v>
      </c>
      <c r="G32" s="118">
        <v>0</v>
      </c>
      <c r="H32" s="118">
        <v>0</v>
      </c>
      <c r="I32" s="118">
        <v>0</v>
      </c>
      <c r="J32" s="118">
        <v>0</v>
      </c>
      <c r="K32" s="118">
        <v>0</v>
      </c>
      <c r="L32" s="118">
        <f>F32-P32</f>
        <v>13.076330611391265</v>
      </c>
      <c r="M32" s="118">
        <v>13.076330611391265</v>
      </c>
      <c r="N32" s="118">
        <v>1.979398</v>
      </c>
      <c r="O32" s="118">
        <v>1.979398</v>
      </c>
      <c r="P32" s="118">
        <f>F32*(P30/F30)</f>
        <v>9.2938697299822994</v>
      </c>
      <c r="Q32" s="118">
        <v>0</v>
      </c>
      <c r="R32" s="118">
        <v>0</v>
      </c>
      <c r="S32" s="118">
        <v>0</v>
      </c>
      <c r="T32" s="118">
        <v>0</v>
      </c>
      <c r="U32" s="118">
        <v>0</v>
      </c>
      <c r="V32" s="118">
        <v>0</v>
      </c>
      <c r="W32" s="118">
        <v>0</v>
      </c>
      <c r="X32" s="118">
        <v>0</v>
      </c>
      <c r="Y32" s="118">
        <v>0</v>
      </c>
      <c r="Z32" s="118">
        <v>0</v>
      </c>
      <c r="AA32" s="118">
        <v>0</v>
      </c>
      <c r="AB32" s="122">
        <f t="shared" si="2"/>
        <v>22.370200341373565</v>
      </c>
      <c r="AC32" s="122">
        <f t="shared" si="3"/>
        <v>1.979398</v>
      </c>
    </row>
    <row r="33" spans="1:29" x14ac:dyDescent="0.25">
      <c r="A33" s="60" t="s">
        <v>162</v>
      </c>
      <c r="B33" s="33" t="s">
        <v>161</v>
      </c>
      <c r="C33" s="119">
        <f>210.6058062*1.41456447846*0.7</f>
        <v>208.54084468556556</v>
      </c>
      <c r="D33" s="119">
        <v>0</v>
      </c>
      <c r="E33" s="116">
        <f>C33</f>
        <v>208.54084468556556</v>
      </c>
      <c r="F33" s="116">
        <f>E33-G33-H33</f>
        <v>208.54084468556556</v>
      </c>
      <c r="G33" s="118">
        <v>0</v>
      </c>
      <c r="H33" s="118">
        <v>0</v>
      </c>
      <c r="I33" s="118">
        <v>0</v>
      </c>
      <c r="J33" s="118">
        <v>0</v>
      </c>
      <c r="K33" s="118">
        <v>0</v>
      </c>
      <c r="L33" s="118">
        <f>F33-P33</f>
        <v>121.90096599375441</v>
      </c>
      <c r="M33" s="118">
        <v>121.90096599375441</v>
      </c>
      <c r="N33" s="118">
        <v>91.699434690000004</v>
      </c>
      <c r="O33" s="118">
        <v>91.699434690000004</v>
      </c>
      <c r="P33" s="118">
        <f>F33*(P30/F30)</f>
        <v>86.639878691811148</v>
      </c>
      <c r="Q33" s="118">
        <v>0</v>
      </c>
      <c r="R33" s="118">
        <v>0</v>
      </c>
      <c r="S33" s="118">
        <v>0</v>
      </c>
      <c r="T33" s="118">
        <v>0</v>
      </c>
      <c r="U33" s="118">
        <v>0</v>
      </c>
      <c r="V33" s="118">
        <v>0</v>
      </c>
      <c r="W33" s="118">
        <v>0</v>
      </c>
      <c r="X33" s="118">
        <v>0</v>
      </c>
      <c r="Y33" s="118">
        <v>0</v>
      </c>
      <c r="Z33" s="118">
        <v>0</v>
      </c>
      <c r="AA33" s="118">
        <v>0</v>
      </c>
      <c r="AB33" s="122">
        <f t="shared" si="2"/>
        <v>208.54084468556556</v>
      </c>
      <c r="AC33" s="122">
        <f t="shared" si="3"/>
        <v>91.699434690000004</v>
      </c>
    </row>
    <row r="34" spans="1:29" x14ac:dyDescent="0.25">
      <c r="A34" s="60" t="s">
        <v>160</v>
      </c>
      <c r="B34" s="33" t="s">
        <v>159</v>
      </c>
      <c r="C34" s="116">
        <f>14.1618106*1.41456447846*0.7</f>
        <v>14.022955957806809</v>
      </c>
      <c r="D34" s="116">
        <v>0</v>
      </c>
      <c r="E34" s="116">
        <f>C34</f>
        <v>14.022955957806809</v>
      </c>
      <c r="F34" s="116">
        <f>E34-G34-H34</f>
        <v>13.553403415433928</v>
      </c>
      <c r="G34" s="118">
        <v>0</v>
      </c>
      <c r="H34" s="118">
        <v>0.46955254237288102</v>
      </c>
      <c r="I34" s="118">
        <v>0</v>
      </c>
      <c r="J34" s="118">
        <v>0.46955254237288102</v>
      </c>
      <c r="K34" s="118">
        <v>0</v>
      </c>
      <c r="L34" s="118">
        <f>L30-L31-L32-L33</f>
        <v>5.9831012011097187</v>
      </c>
      <c r="M34" s="118">
        <v>5.9831012011097187</v>
      </c>
      <c r="N34" s="118">
        <v>0.59266895999999991</v>
      </c>
      <c r="O34" s="118">
        <v>0.59266895999999991</v>
      </c>
      <c r="P34" s="118">
        <f>P30-P31-P32-P33</f>
        <v>7.570302214324542</v>
      </c>
      <c r="Q34" s="118">
        <v>0</v>
      </c>
      <c r="R34" s="118">
        <v>0</v>
      </c>
      <c r="S34" s="118">
        <v>0</v>
      </c>
      <c r="T34" s="118">
        <v>0</v>
      </c>
      <c r="U34" s="118">
        <v>0</v>
      </c>
      <c r="V34" s="118">
        <v>0</v>
      </c>
      <c r="W34" s="118">
        <v>0</v>
      </c>
      <c r="X34" s="118">
        <v>0</v>
      </c>
      <c r="Y34" s="118">
        <v>0</v>
      </c>
      <c r="Z34" s="118">
        <v>0</v>
      </c>
      <c r="AA34" s="118">
        <v>0</v>
      </c>
      <c r="AB34" s="122">
        <f t="shared" si="2"/>
        <v>14.022955957807142</v>
      </c>
      <c r="AC34" s="122">
        <f t="shared" si="3"/>
        <v>1.0622215023728809</v>
      </c>
    </row>
    <row r="35" spans="1:29" ht="31.5" x14ac:dyDescent="0.25">
      <c r="A35" s="60" t="s">
        <v>60</v>
      </c>
      <c r="B35" s="59" t="s">
        <v>158</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22">
        <f t="shared" si="2"/>
        <v>0</v>
      </c>
      <c r="AC35" s="122">
        <f t="shared" si="3"/>
        <v>0</v>
      </c>
    </row>
    <row r="36" spans="1:29" ht="31.5" x14ac:dyDescent="0.25">
      <c r="A36" s="57" t="s">
        <v>157</v>
      </c>
      <c r="B36" s="56" t="s">
        <v>156</v>
      </c>
      <c r="C36" s="116">
        <v>0</v>
      </c>
      <c r="D36" s="116">
        <v>0</v>
      </c>
      <c r="E36" s="116">
        <v>0</v>
      </c>
      <c r="F36" s="116">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22">
        <f t="shared" si="2"/>
        <v>0</v>
      </c>
      <c r="AC36" s="122">
        <f t="shared" si="3"/>
        <v>0</v>
      </c>
    </row>
    <row r="37" spans="1:29" x14ac:dyDescent="0.25">
      <c r="A37" s="57" t="s">
        <v>155</v>
      </c>
      <c r="B37" s="56" t="s">
        <v>145</v>
      </c>
      <c r="C37" s="116">
        <v>80</v>
      </c>
      <c r="D37" s="116">
        <v>0</v>
      </c>
      <c r="E37" s="116">
        <f>C37</f>
        <v>80</v>
      </c>
      <c r="F37" s="116">
        <f>E37-G37-H37</f>
        <v>80</v>
      </c>
      <c r="G37" s="118">
        <v>0</v>
      </c>
      <c r="H37" s="118">
        <v>0</v>
      </c>
      <c r="I37" s="118">
        <v>0</v>
      </c>
      <c r="J37" s="118">
        <v>0</v>
      </c>
      <c r="K37" s="118">
        <v>0</v>
      </c>
      <c r="L37" s="118">
        <v>0</v>
      </c>
      <c r="M37" s="118">
        <v>0</v>
      </c>
      <c r="N37" s="118">
        <v>0</v>
      </c>
      <c r="O37" s="118">
        <v>0</v>
      </c>
      <c r="P37" s="118">
        <f t="shared" ref="P37:P42" si="6">F37</f>
        <v>80</v>
      </c>
      <c r="Q37" s="118">
        <v>0</v>
      </c>
      <c r="R37" s="118">
        <v>0</v>
      </c>
      <c r="S37" s="118">
        <v>0</v>
      </c>
      <c r="T37" s="118">
        <v>0</v>
      </c>
      <c r="U37" s="118">
        <v>0</v>
      </c>
      <c r="V37" s="118">
        <v>0</v>
      </c>
      <c r="W37" s="118">
        <v>0</v>
      </c>
      <c r="X37" s="118">
        <v>0</v>
      </c>
      <c r="Y37" s="118">
        <v>0</v>
      </c>
      <c r="Z37" s="118">
        <v>0</v>
      </c>
      <c r="AA37" s="118">
        <v>0</v>
      </c>
      <c r="AB37" s="122">
        <f t="shared" si="2"/>
        <v>80</v>
      </c>
      <c r="AC37" s="122">
        <f t="shared" si="3"/>
        <v>0</v>
      </c>
    </row>
    <row r="38" spans="1:29" x14ac:dyDescent="0.25">
      <c r="A38" s="57" t="s">
        <v>154</v>
      </c>
      <c r="B38" s="56" t="s">
        <v>143</v>
      </c>
      <c r="C38" s="116">
        <v>0</v>
      </c>
      <c r="D38" s="116">
        <v>0</v>
      </c>
      <c r="E38" s="116">
        <v>0</v>
      </c>
      <c r="F38" s="116">
        <v>0</v>
      </c>
      <c r="G38" s="118">
        <v>0</v>
      </c>
      <c r="H38" s="118">
        <v>0</v>
      </c>
      <c r="I38" s="118">
        <v>0</v>
      </c>
      <c r="J38" s="118">
        <v>0</v>
      </c>
      <c r="K38" s="118">
        <v>0</v>
      </c>
      <c r="L38" s="118">
        <v>0</v>
      </c>
      <c r="M38" s="118">
        <v>0</v>
      </c>
      <c r="N38" s="118">
        <v>0</v>
      </c>
      <c r="O38" s="118">
        <v>0</v>
      </c>
      <c r="P38" s="118">
        <f t="shared" si="6"/>
        <v>0</v>
      </c>
      <c r="Q38" s="118">
        <v>0</v>
      </c>
      <c r="R38" s="118">
        <v>0</v>
      </c>
      <c r="S38" s="118">
        <v>0</v>
      </c>
      <c r="T38" s="118">
        <v>0</v>
      </c>
      <c r="U38" s="118">
        <v>0</v>
      </c>
      <c r="V38" s="118">
        <v>0</v>
      </c>
      <c r="W38" s="118">
        <v>0</v>
      </c>
      <c r="X38" s="118">
        <v>0</v>
      </c>
      <c r="Y38" s="118">
        <v>0</v>
      </c>
      <c r="Z38" s="118">
        <v>0</v>
      </c>
      <c r="AA38" s="118">
        <v>0</v>
      </c>
      <c r="AB38" s="122">
        <f t="shared" si="2"/>
        <v>0</v>
      </c>
      <c r="AC38" s="122">
        <f t="shared" si="3"/>
        <v>0</v>
      </c>
    </row>
    <row r="39" spans="1:29" ht="31.5" x14ac:dyDescent="0.25">
      <c r="A39" s="57" t="s">
        <v>153</v>
      </c>
      <c r="B39" s="33" t="s">
        <v>141</v>
      </c>
      <c r="C39" s="116">
        <v>0</v>
      </c>
      <c r="D39" s="116">
        <v>0</v>
      </c>
      <c r="E39" s="116">
        <v>0</v>
      </c>
      <c r="F39" s="116">
        <v>0</v>
      </c>
      <c r="G39" s="118">
        <v>0</v>
      </c>
      <c r="H39" s="118">
        <v>0</v>
      </c>
      <c r="I39" s="118">
        <v>0</v>
      </c>
      <c r="J39" s="118">
        <v>0</v>
      </c>
      <c r="K39" s="118">
        <v>0</v>
      </c>
      <c r="L39" s="118">
        <v>0</v>
      </c>
      <c r="M39" s="118">
        <v>0</v>
      </c>
      <c r="N39" s="118">
        <v>0</v>
      </c>
      <c r="O39" s="118">
        <v>0</v>
      </c>
      <c r="P39" s="118">
        <f t="shared" si="6"/>
        <v>0</v>
      </c>
      <c r="Q39" s="118">
        <v>0</v>
      </c>
      <c r="R39" s="118">
        <v>0</v>
      </c>
      <c r="S39" s="118">
        <v>0</v>
      </c>
      <c r="T39" s="118">
        <v>0</v>
      </c>
      <c r="U39" s="118">
        <v>0</v>
      </c>
      <c r="V39" s="118">
        <v>0</v>
      </c>
      <c r="W39" s="118">
        <v>0</v>
      </c>
      <c r="X39" s="118">
        <v>0</v>
      </c>
      <c r="Y39" s="118">
        <v>0</v>
      </c>
      <c r="Z39" s="118">
        <v>0</v>
      </c>
      <c r="AA39" s="118">
        <v>0</v>
      </c>
      <c r="AB39" s="122">
        <f t="shared" si="2"/>
        <v>0</v>
      </c>
      <c r="AC39" s="122">
        <f t="shared" si="3"/>
        <v>0</v>
      </c>
    </row>
    <row r="40" spans="1:29" ht="31.5" x14ac:dyDescent="0.25">
      <c r="A40" s="57" t="s">
        <v>152</v>
      </c>
      <c r="B40" s="33" t="s">
        <v>139</v>
      </c>
      <c r="C40" s="116">
        <v>0</v>
      </c>
      <c r="D40" s="116">
        <v>0</v>
      </c>
      <c r="E40" s="116">
        <v>0</v>
      </c>
      <c r="F40" s="116">
        <v>0</v>
      </c>
      <c r="G40" s="118">
        <v>0</v>
      </c>
      <c r="H40" s="118">
        <v>0</v>
      </c>
      <c r="I40" s="118">
        <v>0</v>
      </c>
      <c r="J40" s="118">
        <v>0</v>
      </c>
      <c r="K40" s="118">
        <v>0</v>
      </c>
      <c r="L40" s="118">
        <v>0</v>
      </c>
      <c r="M40" s="118">
        <v>0</v>
      </c>
      <c r="N40" s="118">
        <v>0</v>
      </c>
      <c r="O40" s="118">
        <v>0</v>
      </c>
      <c r="P40" s="118">
        <f t="shared" si="6"/>
        <v>0</v>
      </c>
      <c r="Q40" s="118">
        <v>0</v>
      </c>
      <c r="R40" s="118">
        <v>0</v>
      </c>
      <c r="S40" s="118">
        <v>0</v>
      </c>
      <c r="T40" s="118">
        <v>0</v>
      </c>
      <c r="U40" s="118">
        <v>0</v>
      </c>
      <c r="V40" s="118">
        <v>0</v>
      </c>
      <c r="W40" s="118">
        <v>0</v>
      </c>
      <c r="X40" s="118">
        <v>0</v>
      </c>
      <c r="Y40" s="118">
        <v>0</v>
      </c>
      <c r="Z40" s="118">
        <v>0</v>
      </c>
      <c r="AA40" s="118">
        <v>0</v>
      </c>
      <c r="AB40" s="122">
        <f t="shared" si="2"/>
        <v>0</v>
      </c>
      <c r="AC40" s="122">
        <f t="shared" si="3"/>
        <v>0</v>
      </c>
    </row>
    <row r="41" spans="1:29" x14ac:dyDescent="0.25">
      <c r="A41" s="57" t="s">
        <v>151</v>
      </c>
      <c r="B41" s="33" t="s">
        <v>137</v>
      </c>
      <c r="C41" s="116">
        <v>0</v>
      </c>
      <c r="D41" s="116">
        <v>0</v>
      </c>
      <c r="E41" s="116">
        <v>0</v>
      </c>
      <c r="F41" s="116">
        <v>0</v>
      </c>
      <c r="G41" s="118">
        <v>0</v>
      </c>
      <c r="H41" s="118">
        <v>0</v>
      </c>
      <c r="I41" s="118">
        <v>0</v>
      </c>
      <c r="J41" s="118">
        <v>0</v>
      </c>
      <c r="K41" s="118">
        <v>0</v>
      </c>
      <c r="L41" s="118">
        <v>0</v>
      </c>
      <c r="M41" s="118">
        <v>0</v>
      </c>
      <c r="N41" s="118">
        <v>0</v>
      </c>
      <c r="O41" s="118">
        <v>0</v>
      </c>
      <c r="P41" s="118">
        <f t="shared" si="6"/>
        <v>0</v>
      </c>
      <c r="Q41" s="118">
        <v>0</v>
      </c>
      <c r="R41" s="118">
        <v>0</v>
      </c>
      <c r="S41" s="118">
        <v>0</v>
      </c>
      <c r="T41" s="118">
        <v>0</v>
      </c>
      <c r="U41" s="118">
        <v>0</v>
      </c>
      <c r="V41" s="118">
        <v>0</v>
      </c>
      <c r="W41" s="118">
        <v>0</v>
      </c>
      <c r="X41" s="118">
        <v>0</v>
      </c>
      <c r="Y41" s="118">
        <v>0</v>
      </c>
      <c r="Z41" s="118">
        <v>0</v>
      </c>
      <c r="AA41" s="118">
        <v>0</v>
      </c>
      <c r="AB41" s="122">
        <f t="shared" si="2"/>
        <v>0</v>
      </c>
      <c r="AC41" s="122">
        <f t="shared" si="3"/>
        <v>0</v>
      </c>
    </row>
    <row r="42" spans="1:29" ht="18.75" x14ac:dyDescent="0.25">
      <c r="A42" s="57" t="s">
        <v>150</v>
      </c>
      <c r="B42" s="56" t="s">
        <v>534</v>
      </c>
      <c r="C42" s="116">
        <v>34</v>
      </c>
      <c r="D42" s="116">
        <v>0</v>
      </c>
      <c r="E42" s="116">
        <v>34</v>
      </c>
      <c r="F42" s="116">
        <v>34</v>
      </c>
      <c r="G42" s="118">
        <v>0</v>
      </c>
      <c r="H42" s="118">
        <v>0</v>
      </c>
      <c r="I42" s="118">
        <v>0</v>
      </c>
      <c r="J42" s="118">
        <v>0</v>
      </c>
      <c r="K42" s="118">
        <v>0</v>
      </c>
      <c r="L42" s="118">
        <v>0</v>
      </c>
      <c r="M42" s="118">
        <v>0</v>
      </c>
      <c r="N42" s="118">
        <v>0</v>
      </c>
      <c r="O42" s="118">
        <v>0</v>
      </c>
      <c r="P42" s="118">
        <f t="shared" si="6"/>
        <v>34</v>
      </c>
      <c r="Q42" s="118">
        <v>0</v>
      </c>
      <c r="R42" s="118">
        <v>0</v>
      </c>
      <c r="S42" s="118">
        <v>0</v>
      </c>
      <c r="T42" s="118">
        <v>0</v>
      </c>
      <c r="U42" s="118">
        <v>0</v>
      </c>
      <c r="V42" s="118">
        <v>0</v>
      </c>
      <c r="W42" s="118">
        <v>0</v>
      </c>
      <c r="X42" s="118">
        <v>0</v>
      </c>
      <c r="Y42" s="118">
        <v>0</v>
      </c>
      <c r="Z42" s="118">
        <v>0</v>
      </c>
      <c r="AA42" s="118">
        <v>0</v>
      </c>
      <c r="AB42" s="122">
        <f t="shared" si="2"/>
        <v>34</v>
      </c>
      <c r="AC42" s="122">
        <f t="shared" si="3"/>
        <v>0</v>
      </c>
    </row>
    <row r="43" spans="1:29" x14ac:dyDescent="0.25">
      <c r="A43" s="60" t="s">
        <v>59</v>
      </c>
      <c r="B43" s="59" t="s">
        <v>149</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22">
        <f t="shared" si="2"/>
        <v>0</v>
      </c>
      <c r="AC43" s="122">
        <f t="shared" si="3"/>
        <v>0</v>
      </c>
    </row>
    <row r="44" spans="1:29" x14ac:dyDescent="0.25">
      <c r="A44" s="57" t="s">
        <v>148</v>
      </c>
      <c r="B44" s="33" t="s">
        <v>147</v>
      </c>
      <c r="C44" s="116">
        <v>0</v>
      </c>
      <c r="D44" s="116">
        <v>0</v>
      </c>
      <c r="E44" s="116">
        <v>0</v>
      </c>
      <c r="F44" s="116">
        <v>0</v>
      </c>
      <c r="G44" s="118">
        <v>0</v>
      </c>
      <c r="H44" s="118">
        <v>0</v>
      </c>
      <c r="I44" s="118">
        <v>0</v>
      </c>
      <c r="J44" s="118">
        <v>0</v>
      </c>
      <c r="K44" s="118">
        <v>0</v>
      </c>
      <c r="L44" s="118">
        <v>0</v>
      </c>
      <c r="M44" s="118">
        <v>0</v>
      </c>
      <c r="N44" s="118">
        <v>0</v>
      </c>
      <c r="O44" s="118">
        <v>0</v>
      </c>
      <c r="P44" s="118">
        <f t="shared" ref="P44:P50" si="7">F44</f>
        <v>0</v>
      </c>
      <c r="Q44" s="118">
        <v>0</v>
      </c>
      <c r="R44" s="118">
        <v>0</v>
      </c>
      <c r="S44" s="118">
        <v>0</v>
      </c>
      <c r="T44" s="118">
        <v>0</v>
      </c>
      <c r="U44" s="118">
        <v>0</v>
      </c>
      <c r="V44" s="118">
        <v>0</v>
      </c>
      <c r="W44" s="118">
        <v>0</v>
      </c>
      <c r="X44" s="118">
        <v>0</v>
      </c>
      <c r="Y44" s="118">
        <v>0</v>
      </c>
      <c r="Z44" s="118">
        <v>0</v>
      </c>
      <c r="AA44" s="118">
        <v>0</v>
      </c>
      <c r="AB44" s="122">
        <f t="shared" si="2"/>
        <v>0</v>
      </c>
      <c r="AC44" s="122">
        <f t="shared" si="3"/>
        <v>0</v>
      </c>
    </row>
    <row r="45" spans="1:29" x14ac:dyDescent="0.25">
      <c r="A45" s="57" t="s">
        <v>146</v>
      </c>
      <c r="B45" s="33" t="s">
        <v>145</v>
      </c>
      <c r="C45" s="116">
        <f>C37</f>
        <v>80</v>
      </c>
      <c r="D45" s="116">
        <v>0</v>
      </c>
      <c r="E45" s="116">
        <f>C45</f>
        <v>80</v>
      </c>
      <c r="F45" s="116">
        <f>E45-G45-H45</f>
        <v>80</v>
      </c>
      <c r="G45" s="118">
        <v>0</v>
      </c>
      <c r="H45" s="118">
        <v>0</v>
      </c>
      <c r="I45" s="118">
        <v>0</v>
      </c>
      <c r="J45" s="118">
        <v>0</v>
      </c>
      <c r="K45" s="118">
        <v>0</v>
      </c>
      <c r="L45" s="118">
        <v>0</v>
      </c>
      <c r="M45" s="118">
        <v>0</v>
      </c>
      <c r="N45" s="118">
        <v>0</v>
      </c>
      <c r="O45" s="118">
        <v>0</v>
      </c>
      <c r="P45" s="118">
        <f t="shared" si="7"/>
        <v>80</v>
      </c>
      <c r="Q45" s="118">
        <v>0</v>
      </c>
      <c r="R45" s="118">
        <v>0</v>
      </c>
      <c r="S45" s="118">
        <v>0</v>
      </c>
      <c r="T45" s="118">
        <v>0</v>
      </c>
      <c r="U45" s="118">
        <v>0</v>
      </c>
      <c r="V45" s="118">
        <v>0</v>
      </c>
      <c r="W45" s="118">
        <v>0</v>
      </c>
      <c r="X45" s="118">
        <v>0</v>
      </c>
      <c r="Y45" s="118">
        <v>0</v>
      </c>
      <c r="Z45" s="118">
        <v>0</v>
      </c>
      <c r="AA45" s="118">
        <v>0</v>
      </c>
      <c r="AB45" s="122">
        <f t="shared" si="2"/>
        <v>80</v>
      </c>
      <c r="AC45" s="122">
        <f t="shared" si="3"/>
        <v>0</v>
      </c>
    </row>
    <row r="46" spans="1:29" x14ac:dyDescent="0.25">
      <c r="A46" s="57" t="s">
        <v>144</v>
      </c>
      <c r="B46" s="33" t="s">
        <v>143</v>
      </c>
      <c r="C46" s="116">
        <v>0</v>
      </c>
      <c r="D46" s="116">
        <v>0</v>
      </c>
      <c r="E46" s="116">
        <v>0</v>
      </c>
      <c r="F46" s="116">
        <v>0</v>
      </c>
      <c r="G46" s="118">
        <v>0</v>
      </c>
      <c r="H46" s="118">
        <v>0</v>
      </c>
      <c r="I46" s="118">
        <v>0</v>
      </c>
      <c r="J46" s="118">
        <v>0</v>
      </c>
      <c r="K46" s="118">
        <v>0</v>
      </c>
      <c r="L46" s="118">
        <v>0</v>
      </c>
      <c r="M46" s="118">
        <v>0</v>
      </c>
      <c r="N46" s="118">
        <v>0</v>
      </c>
      <c r="O46" s="118">
        <v>0</v>
      </c>
      <c r="P46" s="118">
        <f t="shared" si="7"/>
        <v>0</v>
      </c>
      <c r="Q46" s="118">
        <v>0</v>
      </c>
      <c r="R46" s="118">
        <v>0</v>
      </c>
      <c r="S46" s="118">
        <v>0</v>
      </c>
      <c r="T46" s="118">
        <v>0</v>
      </c>
      <c r="U46" s="118">
        <v>0</v>
      </c>
      <c r="V46" s="118">
        <v>0</v>
      </c>
      <c r="W46" s="118">
        <v>0</v>
      </c>
      <c r="X46" s="118">
        <v>0</v>
      </c>
      <c r="Y46" s="118">
        <v>0</v>
      </c>
      <c r="Z46" s="118">
        <v>0</v>
      </c>
      <c r="AA46" s="118">
        <v>0</v>
      </c>
      <c r="AB46" s="122">
        <f t="shared" si="2"/>
        <v>0</v>
      </c>
      <c r="AC46" s="122">
        <f t="shared" si="3"/>
        <v>0</v>
      </c>
    </row>
    <row r="47" spans="1:29" ht="31.5" x14ac:dyDescent="0.25">
      <c r="A47" s="57" t="s">
        <v>142</v>
      </c>
      <c r="B47" s="33" t="s">
        <v>141</v>
      </c>
      <c r="C47" s="116">
        <v>0</v>
      </c>
      <c r="D47" s="116">
        <v>0</v>
      </c>
      <c r="E47" s="116">
        <v>0</v>
      </c>
      <c r="F47" s="116">
        <v>0</v>
      </c>
      <c r="G47" s="118">
        <v>0</v>
      </c>
      <c r="H47" s="118">
        <v>0</v>
      </c>
      <c r="I47" s="118">
        <v>0</v>
      </c>
      <c r="J47" s="118">
        <v>0</v>
      </c>
      <c r="K47" s="118">
        <v>0</v>
      </c>
      <c r="L47" s="118">
        <v>0</v>
      </c>
      <c r="M47" s="118">
        <v>0</v>
      </c>
      <c r="N47" s="118">
        <v>0</v>
      </c>
      <c r="O47" s="118">
        <v>0</v>
      </c>
      <c r="P47" s="118">
        <f t="shared" si="7"/>
        <v>0</v>
      </c>
      <c r="Q47" s="118">
        <v>0</v>
      </c>
      <c r="R47" s="118">
        <v>0</v>
      </c>
      <c r="S47" s="118">
        <v>0</v>
      </c>
      <c r="T47" s="118">
        <v>0</v>
      </c>
      <c r="U47" s="118">
        <v>0</v>
      </c>
      <c r="V47" s="118">
        <v>0</v>
      </c>
      <c r="W47" s="118">
        <v>0</v>
      </c>
      <c r="X47" s="118">
        <v>0</v>
      </c>
      <c r="Y47" s="118">
        <v>0</v>
      </c>
      <c r="Z47" s="118">
        <v>0</v>
      </c>
      <c r="AA47" s="118">
        <v>0</v>
      </c>
      <c r="AB47" s="122">
        <f t="shared" si="2"/>
        <v>0</v>
      </c>
      <c r="AC47" s="122">
        <f t="shared" si="3"/>
        <v>0</v>
      </c>
    </row>
    <row r="48" spans="1:29" ht="31.5" x14ac:dyDescent="0.25">
      <c r="A48" s="57" t="s">
        <v>140</v>
      </c>
      <c r="B48" s="33" t="s">
        <v>139</v>
      </c>
      <c r="C48" s="116">
        <v>0</v>
      </c>
      <c r="D48" s="116">
        <v>0</v>
      </c>
      <c r="E48" s="116">
        <v>0</v>
      </c>
      <c r="F48" s="116">
        <v>0</v>
      </c>
      <c r="G48" s="118">
        <v>0</v>
      </c>
      <c r="H48" s="118">
        <v>0</v>
      </c>
      <c r="I48" s="118">
        <v>0</v>
      </c>
      <c r="J48" s="118">
        <v>0</v>
      </c>
      <c r="K48" s="118">
        <v>0</v>
      </c>
      <c r="L48" s="118">
        <v>0</v>
      </c>
      <c r="M48" s="118">
        <v>0</v>
      </c>
      <c r="N48" s="118">
        <v>0</v>
      </c>
      <c r="O48" s="118">
        <v>0</v>
      </c>
      <c r="P48" s="118">
        <f t="shared" si="7"/>
        <v>0</v>
      </c>
      <c r="Q48" s="118">
        <v>0</v>
      </c>
      <c r="R48" s="118">
        <v>0</v>
      </c>
      <c r="S48" s="118">
        <v>0</v>
      </c>
      <c r="T48" s="118">
        <v>0</v>
      </c>
      <c r="U48" s="118">
        <v>0</v>
      </c>
      <c r="V48" s="118">
        <v>0</v>
      </c>
      <c r="W48" s="118">
        <v>0</v>
      </c>
      <c r="X48" s="118">
        <v>0</v>
      </c>
      <c r="Y48" s="118">
        <v>0</v>
      </c>
      <c r="Z48" s="118">
        <v>0</v>
      </c>
      <c r="AA48" s="118">
        <v>0</v>
      </c>
      <c r="AB48" s="122">
        <f t="shared" si="2"/>
        <v>0</v>
      </c>
      <c r="AC48" s="122">
        <f t="shared" si="3"/>
        <v>0</v>
      </c>
    </row>
    <row r="49" spans="1:29" x14ac:dyDescent="0.25">
      <c r="A49" s="57" t="s">
        <v>138</v>
      </c>
      <c r="B49" s="33" t="s">
        <v>137</v>
      </c>
      <c r="C49" s="116">
        <v>0</v>
      </c>
      <c r="D49" s="116">
        <v>0</v>
      </c>
      <c r="E49" s="116">
        <v>0</v>
      </c>
      <c r="F49" s="116">
        <v>0</v>
      </c>
      <c r="G49" s="118">
        <v>0</v>
      </c>
      <c r="H49" s="118">
        <v>0</v>
      </c>
      <c r="I49" s="118">
        <v>0</v>
      </c>
      <c r="J49" s="118">
        <v>0</v>
      </c>
      <c r="K49" s="118">
        <v>0</v>
      </c>
      <c r="L49" s="118">
        <v>0</v>
      </c>
      <c r="M49" s="118">
        <v>0</v>
      </c>
      <c r="N49" s="118">
        <v>0</v>
      </c>
      <c r="O49" s="118">
        <v>0</v>
      </c>
      <c r="P49" s="118">
        <f t="shared" si="7"/>
        <v>0</v>
      </c>
      <c r="Q49" s="118">
        <v>0</v>
      </c>
      <c r="R49" s="118">
        <v>0</v>
      </c>
      <c r="S49" s="118">
        <v>0</v>
      </c>
      <c r="T49" s="118">
        <v>0</v>
      </c>
      <c r="U49" s="118">
        <v>0</v>
      </c>
      <c r="V49" s="118">
        <v>0</v>
      </c>
      <c r="W49" s="118">
        <v>0</v>
      </c>
      <c r="X49" s="118">
        <v>0</v>
      </c>
      <c r="Y49" s="118">
        <v>0</v>
      </c>
      <c r="Z49" s="118">
        <v>0</v>
      </c>
      <c r="AA49" s="118">
        <v>0</v>
      </c>
      <c r="AB49" s="122">
        <f t="shared" si="2"/>
        <v>0</v>
      </c>
      <c r="AC49" s="122">
        <f t="shared" si="3"/>
        <v>0</v>
      </c>
    </row>
    <row r="50" spans="1:29" ht="18.75" x14ac:dyDescent="0.25">
      <c r="A50" s="57" t="s">
        <v>136</v>
      </c>
      <c r="B50" s="56" t="s">
        <v>534</v>
      </c>
      <c r="C50" s="116">
        <v>34</v>
      </c>
      <c r="D50" s="116">
        <v>0</v>
      </c>
      <c r="E50" s="116">
        <v>34</v>
      </c>
      <c r="F50" s="116">
        <v>34</v>
      </c>
      <c r="G50" s="118">
        <v>0</v>
      </c>
      <c r="H50" s="118">
        <v>0</v>
      </c>
      <c r="I50" s="118">
        <v>0</v>
      </c>
      <c r="J50" s="118">
        <v>0</v>
      </c>
      <c r="K50" s="118">
        <v>0</v>
      </c>
      <c r="L50" s="118">
        <v>0</v>
      </c>
      <c r="M50" s="118">
        <v>0</v>
      </c>
      <c r="N50" s="118">
        <v>0</v>
      </c>
      <c r="O50" s="118">
        <v>0</v>
      </c>
      <c r="P50" s="118">
        <f t="shared" si="7"/>
        <v>34</v>
      </c>
      <c r="Q50" s="118">
        <v>0</v>
      </c>
      <c r="R50" s="118">
        <v>0</v>
      </c>
      <c r="S50" s="118">
        <v>0</v>
      </c>
      <c r="T50" s="118">
        <v>0</v>
      </c>
      <c r="U50" s="118">
        <v>0</v>
      </c>
      <c r="V50" s="118">
        <v>0</v>
      </c>
      <c r="W50" s="118">
        <v>0</v>
      </c>
      <c r="X50" s="118">
        <v>0</v>
      </c>
      <c r="Y50" s="118">
        <v>0</v>
      </c>
      <c r="Z50" s="118">
        <v>0</v>
      </c>
      <c r="AA50" s="118">
        <v>0</v>
      </c>
      <c r="AB50" s="122">
        <f t="shared" si="2"/>
        <v>34</v>
      </c>
      <c r="AC50" s="122">
        <f t="shared" si="3"/>
        <v>0</v>
      </c>
    </row>
    <row r="51" spans="1:29" ht="35.25" customHeight="1" x14ac:dyDescent="0.25">
      <c r="A51" s="60" t="s">
        <v>57</v>
      </c>
      <c r="B51" s="59" t="s">
        <v>135</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22">
        <f t="shared" si="2"/>
        <v>0</v>
      </c>
      <c r="AC51" s="122">
        <f t="shared" si="3"/>
        <v>0</v>
      </c>
    </row>
    <row r="52" spans="1:29" x14ac:dyDescent="0.25">
      <c r="A52" s="57" t="s">
        <v>134</v>
      </c>
      <c r="B52" s="33" t="s">
        <v>133</v>
      </c>
      <c r="C52" s="116">
        <f>C30</f>
        <v>249.60219762390051</v>
      </c>
      <c r="D52" s="116">
        <v>0</v>
      </c>
      <c r="E52" s="116">
        <f>C52</f>
        <v>249.60219762390051</v>
      </c>
      <c r="F52" s="116">
        <f>E52-G52-H52</f>
        <v>249.60219762390051</v>
      </c>
      <c r="G52" s="118">
        <v>0</v>
      </c>
      <c r="H52" s="118">
        <v>0</v>
      </c>
      <c r="I52" s="118">
        <v>0</v>
      </c>
      <c r="J52" s="118">
        <v>0</v>
      </c>
      <c r="K52" s="118">
        <v>0</v>
      </c>
      <c r="L52" s="118">
        <v>0</v>
      </c>
      <c r="M52" s="118">
        <v>0</v>
      </c>
      <c r="N52" s="118">
        <v>0</v>
      </c>
      <c r="O52" s="118">
        <v>0</v>
      </c>
      <c r="P52" s="118">
        <f t="shared" ref="P52:P57" si="8">F52</f>
        <v>249.60219762390051</v>
      </c>
      <c r="Q52" s="118">
        <v>0</v>
      </c>
      <c r="R52" s="118">
        <v>0</v>
      </c>
      <c r="S52" s="118">
        <v>0</v>
      </c>
      <c r="T52" s="118">
        <v>0</v>
      </c>
      <c r="U52" s="118">
        <v>0</v>
      </c>
      <c r="V52" s="118">
        <v>0</v>
      </c>
      <c r="W52" s="118">
        <v>0</v>
      </c>
      <c r="X52" s="118">
        <v>0</v>
      </c>
      <c r="Y52" s="118">
        <v>0</v>
      </c>
      <c r="Z52" s="118">
        <v>0</v>
      </c>
      <c r="AA52" s="118">
        <v>0</v>
      </c>
      <c r="AB52" s="122">
        <f t="shared" si="2"/>
        <v>249.60219762390051</v>
      </c>
      <c r="AC52" s="122">
        <f t="shared" si="3"/>
        <v>0</v>
      </c>
    </row>
    <row r="53" spans="1:29" x14ac:dyDescent="0.25">
      <c r="A53" s="57" t="s">
        <v>132</v>
      </c>
      <c r="B53" s="33" t="s">
        <v>126</v>
      </c>
      <c r="C53" s="116">
        <v>0</v>
      </c>
      <c r="D53" s="116">
        <v>0</v>
      </c>
      <c r="E53" s="116">
        <f>C53</f>
        <v>0</v>
      </c>
      <c r="F53" s="116">
        <f>E53-G53-H53</f>
        <v>0</v>
      </c>
      <c r="G53" s="118">
        <v>0</v>
      </c>
      <c r="H53" s="118">
        <v>0</v>
      </c>
      <c r="I53" s="118">
        <v>0</v>
      </c>
      <c r="J53" s="118">
        <v>0</v>
      </c>
      <c r="K53" s="118">
        <v>0</v>
      </c>
      <c r="L53" s="118">
        <v>0</v>
      </c>
      <c r="M53" s="118">
        <v>0</v>
      </c>
      <c r="N53" s="118">
        <v>0</v>
      </c>
      <c r="O53" s="118">
        <v>0</v>
      </c>
      <c r="P53" s="118">
        <f t="shared" si="8"/>
        <v>0</v>
      </c>
      <c r="Q53" s="118">
        <v>0</v>
      </c>
      <c r="R53" s="118">
        <v>0</v>
      </c>
      <c r="S53" s="118">
        <v>0</v>
      </c>
      <c r="T53" s="118">
        <v>0</v>
      </c>
      <c r="U53" s="118">
        <v>0</v>
      </c>
      <c r="V53" s="118">
        <v>0</v>
      </c>
      <c r="W53" s="118">
        <v>0</v>
      </c>
      <c r="X53" s="118">
        <v>0</v>
      </c>
      <c r="Y53" s="118">
        <v>0</v>
      </c>
      <c r="Z53" s="118">
        <v>0</v>
      </c>
      <c r="AA53" s="118">
        <v>0</v>
      </c>
      <c r="AB53" s="122">
        <f t="shared" si="2"/>
        <v>0</v>
      </c>
      <c r="AC53" s="122">
        <f t="shared" si="3"/>
        <v>0</v>
      </c>
    </row>
    <row r="54" spans="1:29" x14ac:dyDescent="0.25">
      <c r="A54" s="57" t="s">
        <v>131</v>
      </c>
      <c r="B54" s="56" t="s">
        <v>125</v>
      </c>
      <c r="C54" s="116">
        <f>C45</f>
        <v>80</v>
      </c>
      <c r="D54" s="116">
        <v>0</v>
      </c>
      <c r="E54" s="116">
        <f>C54</f>
        <v>80</v>
      </c>
      <c r="F54" s="116">
        <f>E54-G54-H54</f>
        <v>80</v>
      </c>
      <c r="G54" s="118">
        <v>0</v>
      </c>
      <c r="H54" s="118">
        <v>0</v>
      </c>
      <c r="I54" s="118">
        <v>0</v>
      </c>
      <c r="J54" s="118">
        <v>0</v>
      </c>
      <c r="K54" s="118">
        <v>0</v>
      </c>
      <c r="L54" s="118">
        <v>0</v>
      </c>
      <c r="M54" s="118">
        <v>0</v>
      </c>
      <c r="N54" s="118">
        <v>0</v>
      </c>
      <c r="O54" s="118">
        <v>0</v>
      </c>
      <c r="P54" s="118">
        <f t="shared" si="8"/>
        <v>80</v>
      </c>
      <c r="Q54" s="118">
        <v>0</v>
      </c>
      <c r="R54" s="118">
        <v>0</v>
      </c>
      <c r="S54" s="118">
        <v>0</v>
      </c>
      <c r="T54" s="118">
        <v>0</v>
      </c>
      <c r="U54" s="118">
        <v>0</v>
      </c>
      <c r="V54" s="118">
        <v>0</v>
      </c>
      <c r="W54" s="118">
        <v>0</v>
      </c>
      <c r="X54" s="118">
        <v>0</v>
      </c>
      <c r="Y54" s="118">
        <v>0</v>
      </c>
      <c r="Z54" s="118">
        <v>0</v>
      </c>
      <c r="AA54" s="118">
        <v>0</v>
      </c>
      <c r="AB54" s="122">
        <f t="shared" si="2"/>
        <v>80</v>
      </c>
      <c r="AC54" s="122">
        <f t="shared" si="3"/>
        <v>0</v>
      </c>
    </row>
    <row r="55" spans="1:29" x14ac:dyDescent="0.25">
      <c r="A55" s="57" t="s">
        <v>130</v>
      </c>
      <c r="B55" s="56" t="s">
        <v>124</v>
      </c>
      <c r="C55" s="116">
        <v>0</v>
      </c>
      <c r="D55" s="116">
        <v>0</v>
      </c>
      <c r="E55" s="116">
        <v>0</v>
      </c>
      <c r="F55" s="116">
        <v>0</v>
      </c>
      <c r="G55" s="118">
        <v>0</v>
      </c>
      <c r="H55" s="118">
        <v>0</v>
      </c>
      <c r="I55" s="118">
        <v>0</v>
      </c>
      <c r="J55" s="118">
        <v>0</v>
      </c>
      <c r="K55" s="118">
        <v>0</v>
      </c>
      <c r="L55" s="118">
        <v>0</v>
      </c>
      <c r="M55" s="118">
        <v>0</v>
      </c>
      <c r="N55" s="118">
        <v>0</v>
      </c>
      <c r="O55" s="118">
        <v>0</v>
      </c>
      <c r="P55" s="118">
        <f t="shared" si="8"/>
        <v>0</v>
      </c>
      <c r="Q55" s="118">
        <v>0</v>
      </c>
      <c r="R55" s="118">
        <v>0</v>
      </c>
      <c r="S55" s="118">
        <v>0</v>
      </c>
      <c r="T55" s="118">
        <v>0</v>
      </c>
      <c r="U55" s="118">
        <v>0</v>
      </c>
      <c r="V55" s="118">
        <v>0</v>
      </c>
      <c r="W55" s="118">
        <v>0</v>
      </c>
      <c r="X55" s="118">
        <v>0</v>
      </c>
      <c r="Y55" s="118">
        <v>0</v>
      </c>
      <c r="Z55" s="118">
        <v>0</v>
      </c>
      <c r="AA55" s="118">
        <v>0</v>
      </c>
      <c r="AB55" s="122">
        <f t="shared" si="2"/>
        <v>0</v>
      </c>
      <c r="AC55" s="122">
        <f t="shared" si="3"/>
        <v>0</v>
      </c>
    </row>
    <row r="56" spans="1:29" x14ac:dyDescent="0.25">
      <c r="A56" s="57" t="s">
        <v>129</v>
      </c>
      <c r="B56" s="56" t="s">
        <v>123</v>
      </c>
      <c r="C56" s="116">
        <v>0</v>
      </c>
      <c r="D56" s="116">
        <v>0</v>
      </c>
      <c r="E56" s="116">
        <v>0</v>
      </c>
      <c r="F56" s="116">
        <v>0</v>
      </c>
      <c r="G56" s="118">
        <v>0</v>
      </c>
      <c r="H56" s="118">
        <v>0</v>
      </c>
      <c r="I56" s="118">
        <v>0</v>
      </c>
      <c r="J56" s="118">
        <v>0</v>
      </c>
      <c r="K56" s="118">
        <v>0</v>
      </c>
      <c r="L56" s="118">
        <v>0</v>
      </c>
      <c r="M56" s="118">
        <v>0</v>
      </c>
      <c r="N56" s="118">
        <v>0</v>
      </c>
      <c r="O56" s="118">
        <v>0</v>
      </c>
      <c r="P56" s="118">
        <f t="shared" si="8"/>
        <v>0</v>
      </c>
      <c r="Q56" s="118">
        <v>0</v>
      </c>
      <c r="R56" s="118">
        <v>0</v>
      </c>
      <c r="S56" s="118">
        <v>0</v>
      </c>
      <c r="T56" s="118">
        <v>0</v>
      </c>
      <c r="U56" s="118">
        <v>0</v>
      </c>
      <c r="V56" s="118">
        <v>0</v>
      </c>
      <c r="W56" s="118">
        <v>0</v>
      </c>
      <c r="X56" s="118">
        <v>0</v>
      </c>
      <c r="Y56" s="118">
        <v>0</v>
      </c>
      <c r="Z56" s="118">
        <v>0</v>
      </c>
      <c r="AA56" s="118">
        <v>0</v>
      </c>
      <c r="AB56" s="122">
        <f t="shared" si="2"/>
        <v>0</v>
      </c>
      <c r="AC56" s="122">
        <f t="shared" si="3"/>
        <v>0</v>
      </c>
    </row>
    <row r="57" spans="1:29" ht="18.75" x14ac:dyDescent="0.25">
      <c r="A57" s="57" t="s">
        <v>128</v>
      </c>
      <c r="B57" s="56" t="s">
        <v>534</v>
      </c>
      <c r="C57" s="116">
        <v>34</v>
      </c>
      <c r="D57" s="116">
        <v>0</v>
      </c>
      <c r="E57" s="116">
        <v>34</v>
      </c>
      <c r="F57" s="116">
        <v>34</v>
      </c>
      <c r="G57" s="118">
        <v>0</v>
      </c>
      <c r="H57" s="118">
        <v>0</v>
      </c>
      <c r="I57" s="118">
        <v>0</v>
      </c>
      <c r="J57" s="118">
        <v>0</v>
      </c>
      <c r="K57" s="118">
        <v>0</v>
      </c>
      <c r="L57" s="118">
        <v>0</v>
      </c>
      <c r="M57" s="118">
        <v>0</v>
      </c>
      <c r="N57" s="118">
        <v>0</v>
      </c>
      <c r="O57" s="118">
        <v>0</v>
      </c>
      <c r="P57" s="118">
        <f t="shared" si="8"/>
        <v>34</v>
      </c>
      <c r="Q57" s="118">
        <v>0</v>
      </c>
      <c r="R57" s="118">
        <v>0</v>
      </c>
      <c r="S57" s="118">
        <v>0</v>
      </c>
      <c r="T57" s="118">
        <v>0</v>
      </c>
      <c r="U57" s="118">
        <v>0</v>
      </c>
      <c r="V57" s="118">
        <v>0</v>
      </c>
      <c r="W57" s="118">
        <v>0</v>
      </c>
      <c r="X57" s="118">
        <v>0</v>
      </c>
      <c r="Y57" s="118">
        <v>0</v>
      </c>
      <c r="Z57" s="118">
        <v>0</v>
      </c>
      <c r="AA57" s="118">
        <v>0</v>
      </c>
      <c r="AB57" s="122">
        <f t="shared" si="2"/>
        <v>34</v>
      </c>
      <c r="AC57" s="122">
        <f t="shared" si="3"/>
        <v>0</v>
      </c>
    </row>
    <row r="58" spans="1:29" ht="36.75" customHeight="1" x14ac:dyDescent="0.25">
      <c r="A58" s="60" t="s">
        <v>56</v>
      </c>
      <c r="B58" s="71" t="s">
        <v>207</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22">
        <f t="shared" si="2"/>
        <v>0</v>
      </c>
      <c r="AC58" s="122">
        <f t="shared" si="3"/>
        <v>0</v>
      </c>
    </row>
    <row r="59" spans="1:29" x14ac:dyDescent="0.25">
      <c r="A59" s="60" t="s">
        <v>54</v>
      </c>
      <c r="B59" s="59" t="s">
        <v>127</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22">
        <f t="shared" si="2"/>
        <v>0</v>
      </c>
      <c r="AC59" s="122">
        <f t="shared" si="3"/>
        <v>0</v>
      </c>
    </row>
    <row r="60" spans="1:29" x14ac:dyDescent="0.25">
      <c r="A60" s="57" t="s">
        <v>201</v>
      </c>
      <c r="B60" s="58" t="s">
        <v>147</v>
      </c>
      <c r="C60" s="116">
        <v>0</v>
      </c>
      <c r="D60" s="116">
        <v>0</v>
      </c>
      <c r="E60" s="116">
        <v>0</v>
      </c>
      <c r="F60" s="116">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22">
        <f t="shared" si="2"/>
        <v>0</v>
      </c>
      <c r="AC60" s="122">
        <f t="shared" si="3"/>
        <v>0</v>
      </c>
    </row>
    <row r="61" spans="1:29" x14ac:dyDescent="0.25">
      <c r="A61" s="57" t="s">
        <v>202</v>
      </c>
      <c r="B61" s="58" t="s">
        <v>145</v>
      </c>
      <c r="C61" s="116">
        <v>0</v>
      </c>
      <c r="D61" s="116">
        <v>0</v>
      </c>
      <c r="E61" s="116">
        <v>0</v>
      </c>
      <c r="F61" s="116">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22">
        <f t="shared" si="2"/>
        <v>0</v>
      </c>
      <c r="AC61" s="122">
        <f t="shared" si="3"/>
        <v>0</v>
      </c>
    </row>
    <row r="62" spans="1:29" x14ac:dyDescent="0.25">
      <c r="A62" s="57" t="s">
        <v>203</v>
      </c>
      <c r="B62" s="58" t="s">
        <v>143</v>
      </c>
      <c r="C62" s="116">
        <v>0</v>
      </c>
      <c r="D62" s="116">
        <v>0</v>
      </c>
      <c r="E62" s="116">
        <v>0</v>
      </c>
      <c r="F62" s="116">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22">
        <f t="shared" si="2"/>
        <v>0</v>
      </c>
      <c r="AC62" s="122">
        <f t="shared" si="3"/>
        <v>0</v>
      </c>
    </row>
    <row r="63" spans="1:29" x14ac:dyDescent="0.25">
      <c r="A63" s="57" t="s">
        <v>204</v>
      </c>
      <c r="B63" s="58" t="s">
        <v>206</v>
      </c>
      <c r="C63" s="116">
        <v>0</v>
      </c>
      <c r="D63" s="116">
        <v>0</v>
      </c>
      <c r="E63" s="116">
        <v>0</v>
      </c>
      <c r="F63" s="116">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22">
        <f t="shared" si="2"/>
        <v>0</v>
      </c>
      <c r="AC63" s="122">
        <f t="shared" si="3"/>
        <v>0</v>
      </c>
    </row>
    <row r="64" spans="1:29" ht="18.75" x14ac:dyDescent="0.25">
      <c r="A64" s="57" t="s">
        <v>205</v>
      </c>
      <c r="B64" s="56" t="s">
        <v>122</v>
      </c>
      <c r="C64" s="116">
        <v>0</v>
      </c>
      <c r="D64" s="116">
        <v>0</v>
      </c>
      <c r="E64" s="116">
        <v>0</v>
      </c>
      <c r="F64" s="116">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122">
        <f t="shared" si="2"/>
        <v>0</v>
      </c>
      <c r="AC64" s="122">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4"/>
      <c r="C66" s="474"/>
      <c r="D66" s="474"/>
      <c r="E66" s="474"/>
      <c r="F66" s="474"/>
      <c r="G66" s="474"/>
      <c r="H66" s="474"/>
      <c r="I66" s="474"/>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5"/>
      <c r="C68" s="475"/>
      <c r="D68" s="475"/>
      <c r="E68" s="475"/>
      <c r="F68" s="475"/>
      <c r="G68" s="475"/>
      <c r="H68" s="475"/>
      <c r="I68" s="475"/>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4"/>
      <c r="C70" s="474"/>
      <c r="D70" s="474"/>
      <c r="E70" s="474"/>
      <c r="F70" s="474"/>
      <c r="G70" s="474"/>
      <c r="H70" s="474"/>
      <c r="I70" s="474"/>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4"/>
      <c r="C72" s="474"/>
      <c r="D72" s="474"/>
      <c r="E72" s="474"/>
      <c r="F72" s="474"/>
      <c r="G72" s="474"/>
      <c r="H72" s="474"/>
      <c r="I72" s="474"/>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5"/>
      <c r="C73" s="475"/>
      <c r="D73" s="475"/>
      <c r="E73" s="475"/>
      <c r="F73" s="475"/>
      <c r="G73" s="475"/>
      <c r="H73" s="475"/>
      <c r="I73" s="475"/>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4"/>
      <c r="C74" s="474"/>
      <c r="D74" s="474"/>
      <c r="E74" s="474"/>
      <c r="F74" s="474"/>
      <c r="G74" s="474"/>
      <c r="H74" s="474"/>
      <c r="I74" s="474"/>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81"/>
      <c r="C75" s="481"/>
      <c r="D75" s="481"/>
      <c r="E75" s="481"/>
      <c r="F75" s="481"/>
      <c r="G75" s="481"/>
      <c r="H75" s="481"/>
      <c r="I75" s="48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73"/>
      <c r="C77" s="473"/>
      <c r="D77" s="473"/>
      <c r="E77" s="473"/>
      <c r="F77" s="473"/>
      <c r="G77" s="473"/>
      <c r="H77" s="473"/>
      <c r="I77" s="473"/>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36" priority="26" operator="notEqual">
      <formula>0</formula>
    </cfRule>
  </conditionalFormatting>
  <conditionalFormatting sqref="AB24:AB64">
    <cfRule type="cellIs" dxfId="35" priority="25" operator="notEqual">
      <formula>0</formula>
    </cfRule>
  </conditionalFormatting>
  <conditionalFormatting sqref="I34 K25:M29 K46:K49 K55:K56 K51:M51 K58:M64 Q44:Q50 M46:M50 L45:L50 Q52:Q57 L52:M57 O52:O57 O35:Q43 O44:O50 O58:Q64 O51:Q51 O25:Q29 P31:Q34 K31:M44">
    <cfRule type="cellIs" dxfId="34" priority="24" operator="notEqual">
      <formula>0</formula>
    </cfRule>
  </conditionalFormatting>
  <conditionalFormatting sqref="G30:I30 K30:M30 O30:Y30">
    <cfRule type="cellIs" dxfId="33" priority="23" operator="notEqual">
      <formula>0</formula>
    </cfRule>
  </conditionalFormatting>
  <conditionalFormatting sqref="E45:I45">
    <cfRule type="cellIs" dxfId="32" priority="22" operator="notEqual">
      <formula>0</formula>
    </cfRule>
  </conditionalFormatting>
  <conditionalFormatting sqref="K45 M45">
    <cfRule type="cellIs" dxfId="31" priority="21" operator="notEqual">
      <formula>0</formula>
    </cfRule>
  </conditionalFormatting>
  <conditionalFormatting sqref="E52:I54">
    <cfRule type="cellIs" dxfId="30" priority="20" operator="notEqual">
      <formula>0</formula>
    </cfRule>
  </conditionalFormatting>
  <conditionalFormatting sqref="K52:K54">
    <cfRule type="cellIs" dxfId="29" priority="19" operator="notEqual">
      <formula>0</formula>
    </cfRule>
  </conditionalFormatting>
  <conditionalFormatting sqref="K50">
    <cfRule type="cellIs" dxfId="28" priority="17" operator="notEqual">
      <formula>0</formula>
    </cfRule>
  </conditionalFormatting>
  <conditionalFormatting sqref="K57">
    <cfRule type="cellIs" dxfId="27" priority="15" operator="notEqual">
      <formula>0</formula>
    </cfRule>
  </conditionalFormatting>
  <conditionalFormatting sqref="P44:P50">
    <cfRule type="cellIs" dxfId="26" priority="14" operator="notEqual">
      <formula>0</formula>
    </cfRule>
  </conditionalFormatting>
  <conditionalFormatting sqref="P52:P57">
    <cfRule type="cellIs" dxfId="25" priority="13" operator="notEqual">
      <formula>0</formula>
    </cfRule>
  </conditionalFormatting>
  <conditionalFormatting sqref="D24:D64">
    <cfRule type="cellIs" dxfId="24" priority="12" operator="notEqual">
      <formula>0</formula>
    </cfRule>
  </conditionalFormatting>
  <conditionalFormatting sqref="Z31:AA64 Z24:AA29">
    <cfRule type="cellIs" dxfId="23" priority="11" operator="notEqual">
      <formula>0</formula>
    </cfRule>
  </conditionalFormatting>
  <conditionalFormatting sqref="Z30:AA30">
    <cfRule type="cellIs" dxfId="22" priority="10" operator="notEqual">
      <formula>0</formula>
    </cfRule>
  </conditionalFormatting>
  <conditionalFormatting sqref="J55:J64 J46:J51 J31:J44 J24:J29">
    <cfRule type="cellIs" dxfId="21" priority="9" operator="notEqual">
      <formula>0</formula>
    </cfRule>
  </conditionalFormatting>
  <conditionalFormatting sqref="J30">
    <cfRule type="cellIs" dxfId="20" priority="8" operator="notEqual">
      <formula>0</formula>
    </cfRule>
  </conditionalFormatting>
  <conditionalFormatting sqref="J45">
    <cfRule type="cellIs" dxfId="19" priority="7" operator="notEqual">
      <formula>0</formula>
    </cfRule>
  </conditionalFormatting>
  <conditionalFormatting sqref="J52:J54">
    <cfRule type="cellIs" dxfId="18" priority="6" operator="notEqual">
      <formula>0</formula>
    </cfRule>
  </conditionalFormatting>
  <conditionalFormatting sqref="AC24:AC64">
    <cfRule type="cellIs" dxfId="17" priority="5" operator="notEqual">
      <formula>0</formula>
    </cfRule>
  </conditionalFormatting>
  <conditionalFormatting sqref="N24">
    <cfRule type="cellIs" dxfId="16" priority="4" operator="notEqual">
      <formula>0</formula>
    </cfRule>
  </conditionalFormatting>
  <conditionalFormatting sqref="N25:N29 N31:N64">
    <cfRule type="cellIs" dxfId="15" priority="3" operator="notEqual">
      <formula>0</formula>
    </cfRule>
  </conditionalFormatting>
  <conditionalFormatting sqref="N30">
    <cfRule type="cellIs" dxfId="14" priority="2" operator="notEqual">
      <formula>0</formula>
    </cfRule>
  </conditionalFormatting>
  <conditionalFormatting sqref="O31:O34">
    <cfRule type="cellIs" dxfId="1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zoomScale="70" zoomScaleNormal="70" zoomScaleSheetLayoutView="70" workbookViewId="0">
      <selection activeCell="X24" sqref="X24"/>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59" t="s">
        <v>66</v>
      </c>
    </row>
    <row r="2" spans="1:30" ht="18.75" x14ac:dyDescent="0.3">
      <c r="AD2" s="260" t="s">
        <v>8</v>
      </c>
    </row>
    <row r="3" spans="1:30" ht="18.75" x14ac:dyDescent="0.3">
      <c r="AD3" s="260" t="s">
        <v>65</v>
      </c>
    </row>
    <row r="4" spans="1:30" ht="18.75" customHeight="1" x14ac:dyDescent="0.25">
      <c r="A4" s="501" t="str">
        <f>'6.1. Паспорт сетевой график'!A5:M5</f>
        <v>Год раскрытия информации: 2021 год</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row>
    <row r="5" spans="1:30" ht="18.75" x14ac:dyDescent="0.3">
      <c r="AD5" s="260"/>
    </row>
    <row r="6" spans="1:30" ht="18.75" x14ac:dyDescent="0.25">
      <c r="A6" s="502" t="s">
        <v>7</v>
      </c>
      <c r="B6" s="502"/>
      <c r="C6" s="502"/>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c r="AD6" s="502"/>
    </row>
    <row r="7" spans="1:30" ht="18.75" x14ac:dyDescent="0.25">
      <c r="A7" s="367"/>
      <c r="B7" s="367"/>
      <c r="C7" s="367"/>
      <c r="D7" s="367"/>
      <c r="E7" s="367"/>
      <c r="F7" s="367"/>
      <c r="G7" s="367"/>
      <c r="H7" s="367"/>
      <c r="I7" s="367"/>
      <c r="J7" s="368"/>
      <c r="K7" s="368"/>
      <c r="L7" s="368"/>
      <c r="M7" s="368"/>
      <c r="N7" s="368"/>
      <c r="O7" s="368"/>
      <c r="P7" s="368"/>
      <c r="Q7" s="368"/>
      <c r="R7" s="368"/>
      <c r="S7" s="368"/>
      <c r="T7" s="368"/>
      <c r="U7" s="368"/>
      <c r="V7" s="368"/>
      <c r="W7" s="368"/>
      <c r="X7" s="368"/>
      <c r="Y7" s="368"/>
      <c r="Z7" s="368"/>
      <c r="AA7" s="368"/>
      <c r="AB7" s="368"/>
      <c r="AC7" s="368"/>
      <c r="AD7" s="368"/>
    </row>
    <row r="8" spans="1:30" x14ac:dyDescent="0.25">
      <c r="A8" s="503" t="str">
        <f>'6.1. Паспорт сетевой график'!A9</f>
        <v xml:space="preserve">Акционерное общество "Западная энергетическая компания" </v>
      </c>
      <c r="B8" s="503"/>
      <c r="C8" s="503"/>
      <c r="D8" s="503"/>
      <c r="E8" s="503"/>
      <c r="F8" s="503"/>
      <c r="G8" s="503"/>
      <c r="H8" s="503"/>
      <c r="I8" s="503"/>
      <c r="J8" s="503"/>
      <c r="K8" s="503"/>
      <c r="L8" s="503"/>
      <c r="M8" s="503"/>
      <c r="N8" s="503"/>
      <c r="O8" s="503"/>
      <c r="P8" s="503"/>
      <c r="Q8" s="503"/>
      <c r="R8" s="503"/>
      <c r="S8" s="503"/>
      <c r="T8" s="503"/>
      <c r="U8" s="503"/>
      <c r="V8" s="503"/>
      <c r="W8" s="503"/>
      <c r="X8" s="503"/>
      <c r="Y8" s="503"/>
      <c r="Z8" s="503"/>
      <c r="AA8" s="503"/>
      <c r="AB8" s="503"/>
      <c r="AC8" s="503"/>
      <c r="AD8" s="503"/>
    </row>
    <row r="9" spans="1:30" ht="18.75" customHeight="1" x14ac:dyDescent="0.25">
      <c r="A9" s="463" t="s">
        <v>6</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row>
    <row r="10" spans="1:30" ht="18.75" x14ac:dyDescent="0.25">
      <c r="A10" s="367"/>
      <c r="B10" s="367"/>
      <c r="C10" s="367"/>
      <c r="D10" s="367"/>
      <c r="E10" s="367"/>
      <c r="F10" s="367"/>
      <c r="G10" s="367"/>
      <c r="H10" s="367"/>
      <c r="I10" s="367"/>
      <c r="J10" s="368"/>
      <c r="K10" s="368"/>
      <c r="L10" s="368"/>
      <c r="M10" s="368"/>
      <c r="N10" s="368"/>
      <c r="O10" s="368"/>
      <c r="P10" s="368"/>
      <c r="Q10" s="368"/>
      <c r="R10" s="368"/>
      <c r="S10" s="368"/>
      <c r="T10" s="368"/>
      <c r="U10" s="368"/>
      <c r="V10" s="368"/>
      <c r="W10" s="368"/>
      <c r="X10" s="368"/>
      <c r="Y10" s="368"/>
      <c r="Z10" s="368"/>
      <c r="AA10" s="368"/>
      <c r="AB10" s="368"/>
      <c r="AC10" s="368"/>
      <c r="AD10" s="368"/>
    </row>
    <row r="11" spans="1:30" x14ac:dyDescent="0.25">
      <c r="A11" s="503" t="str">
        <f>'6.1. Паспорт сетевой график'!A12</f>
        <v>J  19-01</v>
      </c>
      <c r="B11" s="503"/>
      <c r="C11" s="503"/>
      <c r="D11" s="503"/>
      <c r="E11" s="503"/>
      <c r="F11" s="503"/>
      <c r="G11" s="503"/>
      <c r="H11" s="503"/>
      <c r="I11" s="503"/>
      <c r="J11" s="503"/>
      <c r="K11" s="503"/>
      <c r="L11" s="503"/>
      <c r="M11" s="503"/>
      <c r="N11" s="503"/>
      <c r="O11" s="503"/>
      <c r="P11" s="503"/>
      <c r="Q11" s="503"/>
      <c r="R11" s="503"/>
      <c r="S11" s="503"/>
      <c r="T11" s="503"/>
      <c r="U11" s="503"/>
      <c r="V11" s="503"/>
      <c r="W11" s="503"/>
      <c r="X11" s="503"/>
      <c r="Y11" s="503"/>
      <c r="Z11" s="503"/>
      <c r="AA11" s="503"/>
      <c r="AB11" s="503"/>
      <c r="AC11" s="503"/>
      <c r="AD11" s="503"/>
    </row>
    <row r="12" spans="1:30" x14ac:dyDescent="0.25">
      <c r="A12" s="463" t="s">
        <v>5</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c r="AB12" s="463"/>
      <c r="AC12" s="463"/>
      <c r="AD12" s="463"/>
    </row>
    <row r="13" spans="1:30" ht="16.5" customHeight="1" x14ac:dyDescent="0.3">
      <c r="A13" s="161"/>
      <c r="B13" s="161"/>
      <c r="C13" s="161"/>
      <c r="D13" s="161"/>
      <c r="E13" s="161"/>
      <c r="F13" s="161"/>
      <c r="G13" s="161"/>
      <c r="H13" s="161"/>
      <c r="I13" s="161"/>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490"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row>
    <row r="15" spans="1:30" ht="15.75" customHeight="1" x14ac:dyDescent="0.25">
      <c r="A15" s="463" t="s">
        <v>4</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row>
    <row r="16" spans="1:30"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row>
    <row r="18" spans="1:33" x14ac:dyDescent="0.25">
      <c r="A18" s="485" t="s">
        <v>393</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row>
    <row r="19" spans="1:33" ht="49.5" customHeight="1" x14ac:dyDescent="0.25">
      <c r="E19" s="64" t="s">
        <v>582</v>
      </c>
      <c r="F19" s="64" t="s">
        <v>582</v>
      </c>
      <c r="G19" s="64" t="s">
        <v>583</v>
      </c>
      <c r="H19" s="64" t="s">
        <v>584</v>
      </c>
      <c r="I19" s="64" t="s">
        <v>584</v>
      </c>
      <c r="M19" s="369"/>
    </row>
    <row r="20" spans="1:33" ht="33" customHeight="1" x14ac:dyDescent="0.25">
      <c r="A20" s="491" t="s">
        <v>183</v>
      </c>
      <c r="B20" s="491" t="s">
        <v>182</v>
      </c>
      <c r="C20" s="495" t="s">
        <v>181</v>
      </c>
      <c r="D20" s="496"/>
      <c r="E20" s="495" t="s">
        <v>180</v>
      </c>
      <c r="F20" s="499"/>
      <c r="G20" s="496"/>
      <c r="H20" s="491" t="s">
        <v>594</v>
      </c>
      <c r="I20" s="491" t="s">
        <v>596</v>
      </c>
      <c r="J20" s="370"/>
      <c r="K20" s="370"/>
      <c r="L20" s="370">
        <v>2020</v>
      </c>
      <c r="M20" s="370"/>
      <c r="N20" s="370"/>
      <c r="O20" s="370"/>
      <c r="P20" s="370">
        <v>2021</v>
      </c>
      <c r="Q20" s="370"/>
      <c r="R20" s="370"/>
      <c r="S20" s="370"/>
      <c r="T20" s="370">
        <v>2022</v>
      </c>
      <c r="U20" s="370"/>
      <c r="V20" s="370"/>
      <c r="W20" s="370"/>
      <c r="X20" s="370">
        <v>2023</v>
      </c>
      <c r="Y20" s="370"/>
      <c r="Z20" s="370"/>
      <c r="AA20" s="370"/>
      <c r="AB20" s="370">
        <v>2024</v>
      </c>
      <c r="AC20" s="370"/>
      <c r="AD20" s="494" t="s">
        <v>179</v>
      </c>
      <c r="AE20" s="494"/>
    </row>
    <row r="21" spans="1:33" ht="99.75" customHeight="1" x14ac:dyDescent="0.25">
      <c r="A21" s="492"/>
      <c r="B21" s="492"/>
      <c r="C21" s="497"/>
      <c r="D21" s="498"/>
      <c r="E21" s="497"/>
      <c r="F21" s="500"/>
      <c r="G21" s="498"/>
      <c r="H21" s="492"/>
      <c r="I21" s="492"/>
      <c r="J21" s="489" t="s">
        <v>541</v>
      </c>
      <c r="K21" s="489"/>
      <c r="L21" s="489" t="s">
        <v>9</v>
      </c>
      <c r="M21" s="489"/>
      <c r="N21" s="489" t="s">
        <v>541</v>
      </c>
      <c r="O21" s="489"/>
      <c r="P21" s="489" t="s">
        <v>542</v>
      </c>
      <c r="Q21" s="489"/>
      <c r="R21" s="489" t="s">
        <v>541</v>
      </c>
      <c r="S21" s="489"/>
      <c r="T21" s="489" t="s">
        <v>178</v>
      </c>
      <c r="U21" s="489"/>
      <c r="V21" s="489" t="s">
        <v>541</v>
      </c>
      <c r="W21" s="489"/>
      <c r="X21" s="489" t="s">
        <v>178</v>
      </c>
      <c r="Y21" s="489"/>
      <c r="Z21" s="489" t="s">
        <v>541</v>
      </c>
      <c r="AA21" s="489"/>
      <c r="AB21" s="489" t="s">
        <v>178</v>
      </c>
      <c r="AC21" s="489"/>
      <c r="AD21" s="494"/>
      <c r="AE21" s="494"/>
    </row>
    <row r="22" spans="1:33" ht="89.25" customHeight="1" x14ac:dyDescent="0.25">
      <c r="A22" s="493"/>
      <c r="B22" s="493"/>
      <c r="C22" s="64" t="s">
        <v>541</v>
      </c>
      <c r="D22" s="371" t="s">
        <v>178</v>
      </c>
      <c r="E22" s="64" t="s">
        <v>575</v>
      </c>
      <c r="F22" s="64" t="s">
        <v>593</v>
      </c>
      <c r="G22" s="64" t="s">
        <v>595</v>
      </c>
      <c r="H22" s="493"/>
      <c r="I22" s="493"/>
      <c r="J22" s="372" t="s">
        <v>375</v>
      </c>
      <c r="K22" s="372" t="s">
        <v>376</v>
      </c>
      <c r="L22" s="372" t="s">
        <v>375</v>
      </c>
      <c r="M22" s="372" t="s">
        <v>376</v>
      </c>
      <c r="N22" s="372" t="s">
        <v>375</v>
      </c>
      <c r="O22" s="372" t="s">
        <v>376</v>
      </c>
      <c r="P22" s="372" t="s">
        <v>375</v>
      </c>
      <c r="Q22" s="372" t="s">
        <v>376</v>
      </c>
      <c r="R22" s="372" t="s">
        <v>375</v>
      </c>
      <c r="S22" s="372" t="s">
        <v>376</v>
      </c>
      <c r="T22" s="372" t="s">
        <v>375</v>
      </c>
      <c r="U22" s="372" t="s">
        <v>376</v>
      </c>
      <c r="V22" s="372" t="s">
        <v>375</v>
      </c>
      <c r="W22" s="372" t="s">
        <v>376</v>
      </c>
      <c r="X22" s="372" t="s">
        <v>375</v>
      </c>
      <c r="Y22" s="372" t="s">
        <v>376</v>
      </c>
      <c r="Z22" s="372" t="s">
        <v>375</v>
      </c>
      <c r="AA22" s="372" t="s">
        <v>376</v>
      </c>
      <c r="AB22" s="372" t="s">
        <v>375</v>
      </c>
      <c r="AC22" s="372" t="s">
        <v>376</v>
      </c>
      <c r="AD22" s="373" t="s">
        <v>541</v>
      </c>
      <c r="AE22" s="373" t="s">
        <v>543</v>
      </c>
    </row>
    <row r="23" spans="1:33" ht="19.5" customHeight="1" x14ac:dyDescent="0.25">
      <c r="A23" s="374">
        <v>1</v>
      </c>
      <c r="B23" s="374">
        <v>2</v>
      </c>
      <c r="C23" s="374">
        <v>4</v>
      </c>
      <c r="D23" s="373">
        <v>5</v>
      </c>
      <c r="E23" s="374">
        <v>6</v>
      </c>
      <c r="F23" s="374">
        <v>6</v>
      </c>
      <c r="G23" s="374">
        <v>7</v>
      </c>
      <c r="H23" s="374">
        <v>8</v>
      </c>
      <c r="I23" s="373"/>
      <c r="J23" s="374">
        <v>9</v>
      </c>
      <c r="K23" s="374">
        <v>10</v>
      </c>
      <c r="L23" s="373">
        <v>11</v>
      </c>
      <c r="M23" s="373">
        <v>12</v>
      </c>
      <c r="N23" s="374">
        <v>13</v>
      </c>
      <c r="O23" s="374">
        <v>14</v>
      </c>
      <c r="P23" s="373">
        <v>15</v>
      </c>
      <c r="Q23" s="373">
        <v>16</v>
      </c>
      <c r="R23" s="374">
        <v>17</v>
      </c>
      <c r="S23" s="374">
        <v>18</v>
      </c>
      <c r="T23" s="373">
        <v>19</v>
      </c>
      <c r="U23" s="373">
        <v>20</v>
      </c>
      <c r="V23" s="374">
        <v>21</v>
      </c>
      <c r="W23" s="374">
        <v>22</v>
      </c>
      <c r="X23" s="373">
        <v>23</v>
      </c>
      <c r="Y23" s="373">
        <v>24</v>
      </c>
      <c r="Z23" s="374">
        <v>25</v>
      </c>
      <c r="AA23" s="374">
        <v>26</v>
      </c>
      <c r="AB23" s="373">
        <v>27</v>
      </c>
      <c r="AC23" s="373">
        <v>28</v>
      </c>
      <c r="AD23" s="375">
        <v>29</v>
      </c>
      <c r="AE23" s="375">
        <v>30</v>
      </c>
    </row>
    <row r="24" spans="1:33" ht="47.25" customHeight="1" x14ac:dyDescent="0.25">
      <c r="A24" s="57">
        <v>1</v>
      </c>
      <c r="B24" s="33" t="s">
        <v>177</v>
      </c>
      <c r="C24" s="118" t="s">
        <v>544</v>
      </c>
      <c r="D24" s="376">
        <f>SUM(D25:D29)</f>
        <v>414.924959</v>
      </c>
      <c r="E24" s="118">
        <f>D24</f>
        <v>414.924959</v>
      </c>
      <c r="F24" s="118">
        <f>E24</f>
        <v>414.924959</v>
      </c>
      <c r="G24" s="118">
        <f t="shared" ref="G24:G64" si="0">F24-L24</f>
        <v>198.03839099999996</v>
      </c>
      <c r="H24" s="118">
        <f>H30*1.2</f>
        <v>0</v>
      </c>
      <c r="I24" s="376">
        <f>SUM(I25:I29)</f>
        <v>217.21359563999999</v>
      </c>
      <c r="J24" s="118" t="s">
        <v>544</v>
      </c>
      <c r="K24" s="118" t="s">
        <v>544</v>
      </c>
      <c r="L24" s="376">
        <v>216.88656800000004</v>
      </c>
      <c r="M24" s="376">
        <v>0</v>
      </c>
      <c r="N24" s="118" t="s">
        <v>544</v>
      </c>
      <c r="O24" s="118" t="s">
        <v>544</v>
      </c>
      <c r="P24" s="376">
        <f>D24-L24</f>
        <v>198.03839099999996</v>
      </c>
      <c r="Q24" s="376">
        <v>0</v>
      </c>
      <c r="R24" s="118">
        <v>0</v>
      </c>
      <c r="S24" s="118">
        <v>0</v>
      </c>
      <c r="T24" s="376">
        <v>0</v>
      </c>
      <c r="U24" s="376">
        <v>0</v>
      </c>
      <c r="V24" s="118">
        <v>0</v>
      </c>
      <c r="W24" s="118">
        <v>0</v>
      </c>
      <c r="X24" s="376">
        <v>0</v>
      </c>
      <c r="Y24" s="376">
        <v>0</v>
      </c>
      <c r="Z24" s="118">
        <v>0</v>
      </c>
      <c r="AA24" s="118">
        <v>0</v>
      </c>
      <c r="AB24" s="376">
        <v>0</v>
      </c>
      <c r="AC24" s="376">
        <v>0</v>
      </c>
      <c r="AD24" s="118" t="s">
        <v>544</v>
      </c>
      <c r="AE24" s="118">
        <f>L24+P24+T24+X24+AB24</f>
        <v>414.924959</v>
      </c>
    </row>
    <row r="25" spans="1:33" ht="24" customHeight="1" x14ac:dyDescent="0.25">
      <c r="A25" s="57" t="s">
        <v>176</v>
      </c>
      <c r="B25" s="33" t="s">
        <v>175</v>
      </c>
      <c r="C25" s="118" t="s">
        <v>544</v>
      </c>
      <c r="D25" s="376">
        <v>0</v>
      </c>
      <c r="E25" s="118">
        <f t="shared" ref="E25:E64" si="1">D25</f>
        <v>0</v>
      </c>
      <c r="F25" s="118">
        <f t="shared" ref="F25:F64" si="2">E25</f>
        <v>0</v>
      </c>
      <c r="G25" s="118">
        <f t="shared" si="0"/>
        <v>0</v>
      </c>
      <c r="H25" s="118">
        <v>0</v>
      </c>
      <c r="I25" s="376">
        <v>0</v>
      </c>
      <c r="J25" s="118" t="s">
        <v>544</v>
      </c>
      <c r="K25" s="118" t="s">
        <v>544</v>
      </c>
      <c r="L25" s="376">
        <v>0</v>
      </c>
      <c r="M25" s="376">
        <v>0</v>
      </c>
      <c r="N25" s="118" t="s">
        <v>544</v>
      </c>
      <c r="O25" s="118" t="s">
        <v>544</v>
      </c>
      <c r="P25" s="376">
        <f t="shared" ref="P25:P34" si="3">D25-L25</f>
        <v>0</v>
      </c>
      <c r="Q25" s="376">
        <v>0</v>
      </c>
      <c r="R25" s="118">
        <v>0</v>
      </c>
      <c r="S25" s="118">
        <v>0</v>
      </c>
      <c r="T25" s="376">
        <v>0</v>
      </c>
      <c r="U25" s="376">
        <v>0</v>
      </c>
      <c r="V25" s="118">
        <v>0</v>
      </c>
      <c r="W25" s="118">
        <v>0</v>
      </c>
      <c r="X25" s="376">
        <v>0</v>
      </c>
      <c r="Y25" s="376">
        <v>0</v>
      </c>
      <c r="Z25" s="118">
        <v>0</v>
      </c>
      <c r="AA25" s="118">
        <v>0</v>
      </c>
      <c r="AB25" s="376">
        <v>0</v>
      </c>
      <c r="AC25" s="376">
        <v>0</v>
      </c>
      <c r="AD25" s="118" t="s">
        <v>544</v>
      </c>
      <c r="AE25" s="118">
        <f t="shared" ref="AE25:AE64" si="4">L25+P25+T25+X25+AB25</f>
        <v>0</v>
      </c>
    </row>
    <row r="26" spans="1:33" x14ac:dyDescent="0.25">
      <c r="A26" s="57" t="s">
        <v>174</v>
      </c>
      <c r="B26" s="33" t="s">
        <v>173</v>
      </c>
      <c r="C26" s="118" t="s">
        <v>544</v>
      </c>
      <c r="D26" s="376">
        <v>0</v>
      </c>
      <c r="E26" s="118">
        <f t="shared" si="1"/>
        <v>0</v>
      </c>
      <c r="F26" s="118">
        <f t="shared" si="2"/>
        <v>0</v>
      </c>
      <c r="G26" s="118">
        <f t="shared" si="0"/>
        <v>0</v>
      </c>
      <c r="H26" s="118">
        <v>0</v>
      </c>
      <c r="I26" s="376">
        <v>0</v>
      </c>
      <c r="J26" s="118" t="s">
        <v>544</v>
      </c>
      <c r="K26" s="118" t="s">
        <v>544</v>
      </c>
      <c r="L26" s="376">
        <v>0</v>
      </c>
      <c r="M26" s="376">
        <v>0</v>
      </c>
      <c r="N26" s="118" t="s">
        <v>544</v>
      </c>
      <c r="O26" s="118" t="s">
        <v>544</v>
      </c>
      <c r="P26" s="376">
        <f t="shared" si="3"/>
        <v>0</v>
      </c>
      <c r="Q26" s="376">
        <v>0</v>
      </c>
      <c r="R26" s="118">
        <v>0</v>
      </c>
      <c r="S26" s="118">
        <v>0</v>
      </c>
      <c r="T26" s="376">
        <v>0</v>
      </c>
      <c r="U26" s="376">
        <v>0</v>
      </c>
      <c r="V26" s="118">
        <v>0</v>
      </c>
      <c r="W26" s="118">
        <v>0</v>
      </c>
      <c r="X26" s="376">
        <v>0</v>
      </c>
      <c r="Y26" s="376">
        <v>0</v>
      </c>
      <c r="Z26" s="118">
        <v>0</v>
      </c>
      <c r="AA26" s="118">
        <v>0</v>
      </c>
      <c r="AB26" s="376">
        <v>0</v>
      </c>
      <c r="AC26" s="376">
        <v>0</v>
      </c>
      <c r="AD26" s="118" t="s">
        <v>544</v>
      </c>
      <c r="AE26" s="118">
        <f t="shared" si="4"/>
        <v>0</v>
      </c>
    </row>
    <row r="27" spans="1:33" ht="31.5" x14ac:dyDescent="0.25">
      <c r="A27" s="57" t="s">
        <v>172</v>
      </c>
      <c r="B27" s="33" t="s">
        <v>357</v>
      </c>
      <c r="C27" s="118" t="s">
        <v>544</v>
      </c>
      <c r="D27" s="376">
        <v>0</v>
      </c>
      <c r="E27" s="118">
        <f t="shared" si="1"/>
        <v>0</v>
      </c>
      <c r="F27" s="118">
        <f t="shared" si="2"/>
        <v>0</v>
      </c>
      <c r="G27" s="118">
        <f t="shared" si="0"/>
        <v>0</v>
      </c>
      <c r="H27" s="118">
        <v>0</v>
      </c>
      <c r="I27" s="376">
        <v>0</v>
      </c>
      <c r="J27" s="118" t="s">
        <v>544</v>
      </c>
      <c r="K27" s="118" t="s">
        <v>544</v>
      </c>
      <c r="L27" s="376">
        <v>0</v>
      </c>
      <c r="M27" s="376">
        <v>0</v>
      </c>
      <c r="N27" s="118" t="s">
        <v>544</v>
      </c>
      <c r="O27" s="118" t="s">
        <v>544</v>
      </c>
      <c r="P27" s="376">
        <f t="shared" si="3"/>
        <v>0</v>
      </c>
      <c r="Q27" s="376">
        <v>0</v>
      </c>
      <c r="R27" s="118">
        <v>0</v>
      </c>
      <c r="S27" s="118">
        <v>0</v>
      </c>
      <c r="T27" s="376">
        <v>0</v>
      </c>
      <c r="U27" s="376">
        <v>0</v>
      </c>
      <c r="V27" s="118">
        <v>0</v>
      </c>
      <c r="W27" s="118">
        <v>0</v>
      </c>
      <c r="X27" s="376">
        <v>0</v>
      </c>
      <c r="Y27" s="376">
        <v>0</v>
      </c>
      <c r="Z27" s="118">
        <v>0</v>
      </c>
      <c r="AA27" s="118">
        <v>0</v>
      </c>
      <c r="AB27" s="376">
        <v>0</v>
      </c>
      <c r="AC27" s="376">
        <v>0</v>
      </c>
      <c r="AD27" s="118" t="s">
        <v>544</v>
      </c>
      <c r="AE27" s="118">
        <f t="shared" si="4"/>
        <v>0</v>
      </c>
    </row>
    <row r="28" spans="1:33" x14ac:dyDescent="0.25">
      <c r="A28" s="57" t="s">
        <v>171</v>
      </c>
      <c r="B28" s="33" t="s">
        <v>545</v>
      </c>
      <c r="C28" s="118" t="s">
        <v>544</v>
      </c>
      <c r="D28" s="376">
        <f>D30*1.2</f>
        <v>414.924959</v>
      </c>
      <c r="E28" s="118">
        <f t="shared" si="1"/>
        <v>414.924959</v>
      </c>
      <c r="F28" s="118">
        <f t="shared" si="2"/>
        <v>414.924959</v>
      </c>
      <c r="G28" s="118">
        <f t="shared" si="0"/>
        <v>198.03839099999996</v>
      </c>
      <c r="H28" s="118">
        <v>0</v>
      </c>
      <c r="I28" s="376">
        <f>I30*1.2</f>
        <v>217.21359563999999</v>
      </c>
      <c r="J28" s="118" t="s">
        <v>544</v>
      </c>
      <c r="K28" s="118" t="s">
        <v>544</v>
      </c>
      <c r="L28" s="376">
        <f>L24</f>
        <v>216.88656800000004</v>
      </c>
      <c r="M28" s="376">
        <v>0</v>
      </c>
      <c r="N28" s="118" t="s">
        <v>544</v>
      </c>
      <c r="O28" s="118" t="s">
        <v>544</v>
      </c>
      <c r="P28" s="376">
        <f t="shared" si="3"/>
        <v>198.03839099999996</v>
      </c>
      <c r="Q28" s="376">
        <v>0</v>
      </c>
      <c r="R28" s="118">
        <v>0</v>
      </c>
      <c r="S28" s="118">
        <v>0</v>
      </c>
      <c r="T28" s="376">
        <v>0</v>
      </c>
      <c r="U28" s="376">
        <v>0</v>
      </c>
      <c r="V28" s="118">
        <v>0</v>
      </c>
      <c r="W28" s="118">
        <v>0</v>
      </c>
      <c r="X28" s="376">
        <v>0</v>
      </c>
      <c r="Y28" s="376">
        <v>0</v>
      </c>
      <c r="Z28" s="118">
        <v>0</v>
      </c>
      <c r="AA28" s="118">
        <v>0</v>
      </c>
      <c r="AB28" s="376">
        <v>0</v>
      </c>
      <c r="AC28" s="376">
        <v>0</v>
      </c>
      <c r="AD28" s="118" t="s">
        <v>544</v>
      </c>
      <c r="AE28" s="118">
        <f t="shared" si="4"/>
        <v>414.924959</v>
      </c>
    </row>
    <row r="29" spans="1:33" x14ac:dyDescent="0.25">
      <c r="A29" s="57" t="s">
        <v>169</v>
      </c>
      <c r="B29" s="61" t="s">
        <v>168</v>
      </c>
      <c r="C29" s="118" t="s">
        <v>544</v>
      </c>
      <c r="D29" s="376">
        <v>0</v>
      </c>
      <c r="E29" s="118">
        <f t="shared" si="1"/>
        <v>0</v>
      </c>
      <c r="F29" s="118">
        <f t="shared" si="2"/>
        <v>0</v>
      </c>
      <c r="G29" s="118">
        <f t="shared" si="0"/>
        <v>0</v>
      </c>
      <c r="H29" s="118">
        <v>0</v>
      </c>
      <c r="I29" s="376">
        <v>0</v>
      </c>
      <c r="J29" s="377" t="s">
        <v>544</v>
      </c>
      <c r="K29" s="118" t="s">
        <v>544</v>
      </c>
      <c r="L29" s="376">
        <v>0</v>
      </c>
      <c r="M29" s="376">
        <v>0</v>
      </c>
      <c r="N29" s="118" t="s">
        <v>544</v>
      </c>
      <c r="O29" s="118" t="s">
        <v>544</v>
      </c>
      <c r="P29" s="376">
        <f t="shared" si="3"/>
        <v>0</v>
      </c>
      <c r="Q29" s="376">
        <v>0</v>
      </c>
      <c r="R29" s="118">
        <v>0</v>
      </c>
      <c r="S29" s="118">
        <v>0</v>
      </c>
      <c r="T29" s="376">
        <v>0</v>
      </c>
      <c r="U29" s="376">
        <v>0</v>
      </c>
      <c r="V29" s="118">
        <v>0</v>
      </c>
      <c r="W29" s="118">
        <v>0</v>
      </c>
      <c r="X29" s="376">
        <v>0</v>
      </c>
      <c r="Y29" s="376">
        <v>0</v>
      </c>
      <c r="Z29" s="118">
        <v>0</v>
      </c>
      <c r="AA29" s="118">
        <v>0</v>
      </c>
      <c r="AB29" s="376">
        <v>0</v>
      </c>
      <c r="AC29" s="376">
        <v>0</v>
      </c>
      <c r="AD29" s="118" t="s">
        <v>544</v>
      </c>
      <c r="AE29" s="118">
        <f t="shared" si="4"/>
        <v>0</v>
      </c>
    </row>
    <row r="30" spans="1:33" ht="122.25" customHeight="1" x14ac:dyDescent="0.25">
      <c r="A30" s="57" t="s">
        <v>61</v>
      </c>
      <c r="B30" s="33" t="s">
        <v>167</v>
      </c>
      <c r="C30" s="118" t="s">
        <v>544</v>
      </c>
      <c r="D30" s="376">
        <f>SUM(D31:D34)</f>
        <v>345.77079916666668</v>
      </c>
      <c r="E30" s="118">
        <f t="shared" si="1"/>
        <v>345.77079916666668</v>
      </c>
      <c r="F30" s="118">
        <f t="shared" si="2"/>
        <v>345.77079916666668</v>
      </c>
      <c r="G30" s="118">
        <f t="shared" si="0"/>
        <v>164.31249616666665</v>
      </c>
      <c r="H30" s="118">
        <v>0</v>
      </c>
      <c r="I30" s="376">
        <f>SUM(I31:I34)</f>
        <v>181.0113297</v>
      </c>
      <c r="J30" s="118" t="s">
        <v>544</v>
      </c>
      <c r="K30" s="118" t="s">
        <v>544</v>
      </c>
      <c r="L30" s="376">
        <v>181.45830300000003</v>
      </c>
      <c r="M30" s="376">
        <v>0</v>
      </c>
      <c r="N30" s="118" t="s">
        <v>544</v>
      </c>
      <c r="O30" s="118" t="s">
        <v>544</v>
      </c>
      <c r="P30" s="376">
        <f>D30-L30</f>
        <v>164.31249616666665</v>
      </c>
      <c r="Q30" s="376">
        <v>0</v>
      </c>
      <c r="R30" s="118">
        <v>0</v>
      </c>
      <c r="S30" s="118">
        <v>0</v>
      </c>
      <c r="T30" s="376">
        <v>0</v>
      </c>
      <c r="U30" s="376">
        <v>0</v>
      </c>
      <c r="V30" s="118">
        <v>0</v>
      </c>
      <c r="W30" s="118">
        <v>0</v>
      </c>
      <c r="X30" s="376">
        <v>0</v>
      </c>
      <c r="Y30" s="376">
        <v>0</v>
      </c>
      <c r="Z30" s="118">
        <v>0</v>
      </c>
      <c r="AA30" s="118">
        <v>0</v>
      </c>
      <c r="AB30" s="376">
        <v>0</v>
      </c>
      <c r="AC30" s="376">
        <v>0</v>
      </c>
      <c r="AD30" s="118" t="s">
        <v>544</v>
      </c>
      <c r="AE30" s="118">
        <f t="shared" si="4"/>
        <v>345.77079916666668</v>
      </c>
      <c r="AG30" s="378" t="s">
        <v>688</v>
      </c>
    </row>
    <row r="31" spans="1:33" x14ac:dyDescent="0.25">
      <c r="A31" s="57" t="s">
        <v>166</v>
      </c>
      <c r="B31" s="33" t="s">
        <v>165</v>
      </c>
      <c r="C31" s="118" t="s">
        <v>544</v>
      </c>
      <c r="D31" s="376">
        <v>0</v>
      </c>
      <c r="E31" s="118">
        <f t="shared" si="1"/>
        <v>0</v>
      </c>
      <c r="F31" s="118">
        <f t="shared" si="2"/>
        <v>0</v>
      </c>
      <c r="G31" s="118">
        <f t="shared" si="0"/>
        <v>0</v>
      </c>
      <c r="H31" s="118">
        <v>0</v>
      </c>
      <c r="I31" s="376">
        <v>0</v>
      </c>
      <c r="J31" s="118" t="s">
        <v>544</v>
      </c>
      <c r="K31" s="118" t="s">
        <v>544</v>
      </c>
      <c r="L31" s="376">
        <v>0</v>
      </c>
      <c r="M31" s="376">
        <v>0</v>
      </c>
      <c r="N31" s="118" t="s">
        <v>544</v>
      </c>
      <c r="O31" s="118" t="s">
        <v>544</v>
      </c>
      <c r="P31" s="376">
        <f t="shared" si="3"/>
        <v>0</v>
      </c>
      <c r="Q31" s="376">
        <v>0</v>
      </c>
      <c r="R31" s="118">
        <v>0</v>
      </c>
      <c r="S31" s="118">
        <v>0</v>
      </c>
      <c r="T31" s="376">
        <v>0</v>
      </c>
      <c r="U31" s="376">
        <v>0</v>
      </c>
      <c r="V31" s="118">
        <v>0</v>
      </c>
      <c r="W31" s="118">
        <v>0</v>
      </c>
      <c r="X31" s="376">
        <v>0</v>
      </c>
      <c r="Y31" s="376">
        <v>0</v>
      </c>
      <c r="Z31" s="118">
        <v>0</v>
      </c>
      <c r="AA31" s="118">
        <v>0</v>
      </c>
      <c r="AB31" s="376">
        <v>0</v>
      </c>
      <c r="AC31" s="376">
        <v>0</v>
      </c>
      <c r="AD31" s="118" t="s">
        <v>544</v>
      </c>
      <c r="AE31" s="118">
        <f t="shared" si="4"/>
        <v>0</v>
      </c>
    </row>
    <row r="32" spans="1:33" ht="31.5" x14ac:dyDescent="0.25">
      <c r="A32" s="57" t="s">
        <v>164</v>
      </c>
      <c r="B32" s="33" t="s">
        <v>163</v>
      </c>
      <c r="C32" s="118" t="s">
        <v>544</v>
      </c>
      <c r="D32" s="376">
        <f>(90.190759+76.753931)/1.2+50.19268</f>
        <v>189.313255</v>
      </c>
      <c r="E32" s="118">
        <f t="shared" si="1"/>
        <v>189.313255</v>
      </c>
      <c r="F32" s="118">
        <f t="shared" si="2"/>
        <v>189.313255</v>
      </c>
      <c r="G32" s="118">
        <f t="shared" si="0"/>
        <v>100.504892</v>
      </c>
      <c r="H32" s="118">
        <v>0</v>
      </c>
      <c r="I32" s="376">
        <f>88808363/1000000</f>
        <v>88.808363</v>
      </c>
      <c r="J32" s="118" t="s">
        <v>544</v>
      </c>
      <c r="K32" s="118" t="s">
        <v>544</v>
      </c>
      <c r="L32" s="376">
        <v>88.808363</v>
      </c>
      <c r="M32" s="376">
        <v>0</v>
      </c>
      <c r="N32" s="118" t="s">
        <v>544</v>
      </c>
      <c r="O32" s="118" t="s">
        <v>544</v>
      </c>
      <c r="P32" s="376">
        <f t="shared" si="3"/>
        <v>100.504892</v>
      </c>
      <c r="Q32" s="376">
        <v>0</v>
      </c>
      <c r="R32" s="118">
        <v>0</v>
      </c>
      <c r="S32" s="118">
        <v>0</v>
      </c>
      <c r="T32" s="376">
        <v>0</v>
      </c>
      <c r="U32" s="376">
        <v>0</v>
      </c>
      <c r="V32" s="118">
        <v>0</v>
      </c>
      <c r="W32" s="118">
        <v>0</v>
      </c>
      <c r="X32" s="376">
        <v>0</v>
      </c>
      <c r="Y32" s="376">
        <v>0</v>
      </c>
      <c r="Z32" s="118">
        <v>0</v>
      </c>
      <c r="AA32" s="118">
        <v>0</v>
      </c>
      <c r="AB32" s="376">
        <v>0</v>
      </c>
      <c r="AC32" s="376">
        <v>0</v>
      </c>
      <c r="AD32" s="118" t="s">
        <v>544</v>
      </c>
      <c r="AE32" s="118">
        <f t="shared" si="4"/>
        <v>189.313255</v>
      </c>
      <c r="AG32" s="379">
        <f>766667+5290080+646869+483636</f>
        <v>7187252</v>
      </c>
    </row>
    <row r="33" spans="1:31" x14ac:dyDescent="0.25">
      <c r="A33" s="57" t="s">
        <v>162</v>
      </c>
      <c r="B33" s="33" t="s">
        <v>161</v>
      </c>
      <c r="C33" s="118" t="s">
        <v>544</v>
      </c>
      <c r="D33" s="376">
        <f>157.164344/1.2</f>
        <v>130.97028666666668</v>
      </c>
      <c r="E33" s="118">
        <f t="shared" si="1"/>
        <v>130.97028666666668</v>
      </c>
      <c r="F33" s="118">
        <f t="shared" si="2"/>
        <v>130.97028666666668</v>
      </c>
      <c r="G33" s="118">
        <f t="shared" si="0"/>
        <v>38.767319966666676</v>
      </c>
      <c r="H33" s="118">
        <v>0</v>
      </c>
      <c r="I33" s="376">
        <f>92202966.7/1000000</f>
        <v>92.202966700000005</v>
      </c>
      <c r="J33" s="118" t="s">
        <v>544</v>
      </c>
      <c r="K33" s="118" t="s">
        <v>544</v>
      </c>
      <c r="L33" s="376">
        <v>92.202966700000005</v>
      </c>
      <c r="M33" s="376">
        <v>0</v>
      </c>
      <c r="N33" s="118" t="s">
        <v>544</v>
      </c>
      <c r="O33" s="118" t="s">
        <v>544</v>
      </c>
      <c r="P33" s="376">
        <f t="shared" si="3"/>
        <v>38.767319966666676</v>
      </c>
      <c r="Q33" s="376">
        <v>0</v>
      </c>
      <c r="R33" s="118">
        <v>0</v>
      </c>
      <c r="S33" s="118">
        <v>0</v>
      </c>
      <c r="T33" s="376">
        <v>0</v>
      </c>
      <c r="U33" s="376">
        <v>0</v>
      </c>
      <c r="V33" s="118">
        <v>0</v>
      </c>
      <c r="W33" s="118">
        <v>0</v>
      </c>
      <c r="X33" s="376">
        <v>0</v>
      </c>
      <c r="Y33" s="376">
        <v>0</v>
      </c>
      <c r="Z33" s="118">
        <v>0</v>
      </c>
      <c r="AA33" s="118">
        <v>0</v>
      </c>
      <c r="AB33" s="376">
        <v>0</v>
      </c>
      <c r="AC33" s="376">
        <v>0</v>
      </c>
      <c r="AD33" s="118" t="s">
        <v>544</v>
      </c>
      <c r="AE33" s="118">
        <f t="shared" si="4"/>
        <v>130.97028666666668</v>
      </c>
    </row>
    <row r="34" spans="1:31" x14ac:dyDescent="0.25">
      <c r="A34" s="57" t="s">
        <v>160</v>
      </c>
      <c r="B34" s="33" t="s">
        <v>159</v>
      </c>
      <c r="C34" s="118" t="s">
        <v>544</v>
      </c>
      <c r="D34" s="376">
        <f>30.584709/1.2</f>
        <v>25.487257500000002</v>
      </c>
      <c r="E34" s="118">
        <f t="shared" si="1"/>
        <v>25.487257500000002</v>
      </c>
      <c r="F34" s="118">
        <f t="shared" si="2"/>
        <v>25.487257500000002</v>
      </c>
      <c r="G34" s="118">
        <f t="shared" si="0"/>
        <v>25.040284199999977</v>
      </c>
      <c r="H34" s="118">
        <v>0</v>
      </c>
      <c r="I34" s="376">
        <v>0</v>
      </c>
      <c r="J34" s="118" t="s">
        <v>544</v>
      </c>
      <c r="K34" s="118" t="s">
        <v>544</v>
      </c>
      <c r="L34" s="376">
        <f>L30-L31-L32-L33</f>
        <v>0.44697330000002466</v>
      </c>
      <c r="M34" s="376">
        <v>0</v>
      </c>
      <c r="N34" s="118" t="s">
        <v>544</v>
      </c>
      <c r="O34" s="118" t="s">
        <v>544</v>
      </c>
      <c r="P34" s="376">
        <f t="shared" si="3"/>
        <v>25.040284199999977</v>
      </c>
      <c r="Q34" s="376">
        <v>0</v>
      </c>
      <c r="R34" s="118">
        <v>0</v>
      </c>
      <c r="S34" s="118">
        <v>0</v>
      </c>
      <c r="T34" s="376">
        <v>0</v>
      </c>
      <c r="U34" s="376">
        <v>0</v>
      </c>
      <c r="V34" s="118">
        <v>0</v>
      </c>
      <c r="W34" s="118">
        <v>0</v>
      </c>
      <c r="X34" s="376">
        <v>0</v>
      </c>
      <c r="Y34" s="376">
        <v>0</v>
      </c>
      <c r="Z34" s="118">
        <v>0</v>
      </c>
      <c r="AA34" s="118">
        <v>0</v>
      </c>
      <c r="AB34" s="376">
        <v>0</v>
      </c>
      <c r="AC34" s="376">
        <v>0</v>
      </c>
      <c r="AD34" s="118" t="s">
        <v>544</v>
      </c>
      <c r="AE34" s="118">
        <f t="shared" si="4"/>
        <v>25.487257500000002</v>
      </c>
    </row>
    <row r="35" spans="1:31" ht="31.5" x14ac:dyDescent="0.25">
      <c r="A35" s="57" t="s">
        <v>60</v>
      </c>
      <c r="B35" s="33" t="s">
        <v>158</v>
      </c>
      <c r="C35" s="118" t="s">
        <v>544</v>
      </c>
      <c r="D35" s="376">
        <v>0</v>
      </c>
      <c r="E35" s="118">
        <f t="shared" si="1"/>
        <v>0</v>
      </c>
      <c r="F35" s="118">
        <f t="shared" si="2"/>
        <v>0</v>
      </c>
      <c r="G35" s="118">
        <f t="shared" si="0"/>
        <v>0</v>
      </c>
      <c r="H35" s="118">
        <v>0</v>
      </c>
      <c r="I35" s="376">
        <v>0</v>
      </c>
      <c r="J35" s="118" t="s">
        <v>544</v>
      </c>
      <c r="K35" s="118" t="s">
        <v>544</v>
      </c>
      <c r="L35" s="376">
        <v>0</v>
      </c>
      <c r="M35" s="376">
        <v>0</v>
      </c>
      <c r="N35" s="118" t="s">
        <v>544</v>
      </c>
      <c r="O35" s="118" t="s">
        <v>544</v>
      </c>
      <c r="P35" s="376">
        <v>0</v>
      </c>
      <c r="Q35" s="380">
        <v>2</v>
      </c>
      <c r="R35" s="118">
        <v>0</v>
      </c>
      <c r="S35" s="118">
        <v>0</v>
      </c>
      <c r="T35" s="376">
        <v>0</v>
      </c>
      <c r="U35" s="376">
        <v>0</v>
      </c>
      <c r="V35" s="118">
        <v>0</v>
      </c>
      <c r="W35" s="118">
        <v>0</v>
      </c>
      <c r="X35" s="376">
        <v>0</v>
      </c>
      <c r="Y35" s="376">
        <v>0</v>
      </c>
      <c r="Z35" s="118">
        <v>0</v>
      </c>
      <c r="AA35" s="118">
        <v>0</v>
      </c>
      <c r="AB35" s="376">
        <v>0</v>
      </c>
      <c r="AC35" s="376">
        <v>0</v>
      </c>
      <c r="AD35" s="118" t="s">
        <v>544</v>
      </c>
      <c r="AE35" s="118">
        <f t="shared" si="4"/>
        <v>0</v>
      </c>
    </row>
    <row r="36" spans="1:31" ht="31.5" x14ac:dyDescent="0.25">
      <c r="A36" s="57" t="s">
        <v>157</v>
      </c>
      <c r="B36" s="381" t="s">
        <v>156</v>
      </c>
      <c r="C36" s="118" t="s">
        <v>544</v>
      </c>
      <c r="D36" s="376">
        <v>0</v>
      </c>
      <c r="E36" s="118">
        <f t="shared" si="1"/>
        <v>0</v>
      </c>
      <c r="F36" s="118">
        <f t="shared" si="2"/>
        <v>0</v>
      </c>
      <c r="G36" s="118">
        <f t="shared" si="0"/>
        <v>0</v>
      </c>
      <c r="H36" s="118">
        <v>0</v>
      </c>
      <c r="I36" s="376">
        <v>0</v>
      </c>
      <c r="J36" s="382" t="s">
        <v>544</v>
      </c>
      <c r="K36" s="118" t="s">
        <v>544</v>
      </c>
      <c r="L36" s="376">
        <v>0</v>
      </c>
      <c r="M36" s="376">
        <v>0</v>
      </c>
      <c r="N36" s="118" t="s">
        <v>544</v>
      </c>
      <c r="O36" s="118" t="s">
        <v>544</v>
      </c>
      <c r="P36" s="376">
        <v>0</v>
      </c>
      <c r="Q36" s="380">
        <v>2</v>
      </c>
      <c r="R36" s="118">
        <v>0</v>
      </c>
      <c r="S36" s="118">
        <v>0</v>
      </c>
      <c r="T36" s="376">
        <v>0</v>
      </c>
      <c r="U36" s="376">
        <v>0</v>
      </c>
      <c r="V36" s="118">
        <v>0</v>
      </c>
      <c r="W36" s="118">
        <v>0</v>
      </c>
      <c r="X36" s="376">
        <v>0</v>
      </c>
      <c r="Y36" s="376">
        <v>0</v>
      </c>
      <c r="Z36" s="118">
        <v>0</v>
      </c>
      <c r="AA36" s="118">
        <v>0</v>
      </c>
      <c r="AB36" s="376">
        <v>0</v>
      </c>
      <c r="AC36" s="376">
        <v>0</v>
      </c>
      <c r="AD36" s="118" t="s">
        <v>544</v>
      </c>
      <c r="AE36" s="118">
        <f t="shared" si="4"/>
        <v>0</v>
      </c>
    </row>
    <row r="37" spans="1:31" x14ac:dyDescent="0.25">
      <c r="A37" s="57" t="s">
        <v>155</v>
      </c>
      <c r="B37" s="381" t="s">
        <v>145</v>
      </c>
      <c r="C37" s="118" t="s">
        <v>544</v>
      </c>
      <c r="D37" s="376">
        <v>32</v>
      </c>
      <c r="E37" s="118">
        <f t="shared" si="1"/>
        <v>32</v>
      </c>
      <c r="F37" s="118">
        <f t="shared" si="2"/>
        <v>32</v>
      </c>
      <c r="G37" s="118">
        <f t="shared" si="0"/>
        <v>32</v>
      </c>
      <c r="H37" s="118">
        <v>0</v>
      </c>
      <c r="I37" s="376">
        <v>0</v>
      </c>
      <c r="J37" s="382" t="s">
        <v>544</v>
      </c>
      <c r="K37" s="118" t="s">
        <v>544</v>
      </c>
      <c r="L37" s="376">
        <v>0</v>
      </c>
      <c r="M37" s="376">
        <v>0</v>
      </c>
      <c r="N37" s="118" t="s">
        <v>544</v>
      </c>
      <c r="O37" s="118" t="s">
        <v>544</v>
      </c>
      <c r="P37" s="376">
        <v>32</v>
      </c>
      <c r="Q37" s="380">
        <v>2</v>
      </c>
      <c r="R37" s="118">
        <v>0</v>
      </c>
      <c r="S37" s="118">
        <v>0</v>
      </c>
      <c r="T37" s="376">
        <v>0</v>
      </c>
      <c r="U37" s="376">
        <v>0</v>
      </c>
      <c r="V37" s="118">
        <v>0</v>
      </c>
      <c r="W37" s="118">
        <v>0</v>
      </c>
      <c r="X37" s="376">
        <v>0</v>
      </c>
      <c r="Y37" s="376">
        <v>0</v>
      </c>
      <c r="Z37" s="118">
        <v>0</v>
      </c>
      <c r="AA37" s="118">
        <v>0</v>
      </c>
      <c r="AB37" s="376">
        <v>0</v>
      </c>
      <c r="AC37" s="376">
        <v>0</v>
      </c>
      <c r="AD37" s="118" t="s">
        <v>544</v>
      </c>
      <c r="AE37" s="118">
        <f t="shared" si="4"/>
        <v>32</v>
      </c>
    </row>
    <row r="38" spans="1:31" x14ac:dyDescent="0.25">
      <c r="A38" s="57" t="s">
        <v>154</v>
      </c>
      <c r="B38" s="381" t="s">
        <v>143</v>
      </c>
      <c r="C38" s="118" t="s">
        <v>544</v>
      </c>
      <c r="D38" s="376">
        <v>0</v>
      </c>
      <c r="E38" s="118">
        <f t="shared" si="1"/>
        <v>0</v>
      </c>
      <c r="F38" s="118">
        <f t="shared" si="2"/>
        <v>0</v>
      </c>
      <c r="G38" s="118">
        <f t="shared" si="0"/>
        <v>0</v>
      </c>
      <c r="H38" s="118">
        <v>0</v>
      </c>
      <c r="I38" s="376">
        <v>0</v>
      </c>
      <c r="J38" s="382" t="s">
        <v>544</v>
      </c>
      <c r="K38" s="118" t="s">
        <v>544</v>
      </c>
      <c r="L38" s="376">
        <v>0</v>
      </c>
      <c r="M38" s="376">
        <v>0</v>
      </c>
      <c r="N38" s="118" t="s">
        <v>544</v>
      </c>
      <c r="O38" s="118" t="s">
        <v>544</v>
      </c>
      <c r="P38" s="376">
        <v>0</v>
      </c>
      <c r="Q38" s="380">
        <v>2</v>
      </c>
      <c r="R38" s="118">
        <v>0</v>
      </c>
      <c r="S38" s="118">
        <v>0</v>
      </c>
      <c r="T38" s="376">
        <v>0</v>
      </c>
      <c r="U38" s="376">
        <v>0</v>
      </c>
      <c r="V38" s="118">
        <v>0</v>
      </c>
      <c r="W38" s="118">
        <v>0</v>
      </c>
      <c r="X38" s="376">
        <v>0</v>
      </c>
      <c r="Y38" s="376">
        <v>0</v>
      </c>
      <c r="Z38" s="118">
        <v>0</v>
      </c>
      <c r="AA38" s="118">
        <v>0</v>
      </c>
      <c r="AB38" s="376">
        <v>0</v>
      </c>
      <c r="AC38" s="376">
        <v>0</v>
      </c>
      <c r="AD38" s="118" t="s">
        <v>544</v>
      </c>
      <c r="AE38" s="118">
        <f t="shared" si="4"/>
        <v>0</v>
      </c>
    </row>
    <row r="39" spans="1:31" ht="31.5" x14ac:dyDescent="0.25">
      <c r="A39" s="57" t="s">
        <v>153</v>
      </c>
      <c r="B39" s="33" t="s">
        <v>141</v>
      </c>
      <c r="C39" s="118" t="s">
        <v>544</v>
      </c>
      <c r="D39" s="376">
        <v>0</v>
      </c>
      <c r="E39" s="118">
        <f t="shared" si="1"/>
        <v>0</v>
      </c>
      <c r="F39" s="118">
        <f t="shared" si="2"/>
        <v>0</v>
      </c>
      <c r="G39" s="118">
        <f t="shared" si="0"/>
        <v>0</v>
      </c>
      <c r="H39" s="118">
        <v>0</v>
      </c>
      <c r="I39" s="376">
        <v>0</v>
      </c>
      <c r="J39" s="118" t="s">
        <v>544</v>
      </c>
      <c r="K39" s="118" t="s">
        <v>544</v>
      </c>
      <c r="L39" s="376">
        <v>0</v>
      </c>
      <c r="M39" s="376">
        <v>0</v>
      </c>
      <c r="N39" s="118" t="s">
        <v>544</v>
      </c>
      <c r="O39" s="118" t="s">
        <v>544</v>
      </c>
      <c r="P39" s="376">
        <v>0</v>
      </c>
      <c r="Q39" s="380">
        <v>2</v>
      </c>
      <c r="R39" s="118">
        <v>0</v>
      </c>
      <c r="S39" s="118">
        <v>0</v>
      </c>
      <c r="T39" s="376">
        <v>0</v>
      </c>
      <c r="U39" s="376">
        <v>0</v>
      </c>
      <c r="V39" s="118">
        <v>0</v>
      </c>
      <c r="W39" s="118">
        <v>0</v>
      </c>
      <c r="X39" s="376">
        <v>0</v>
      </c>
      <c r="Y39" s="376">
        <v>0</v>
      </c>
      <c r="Z39" s="118">
        <v>0</v>
      </c>
      <c r="AA39" s="118">
        <v>0</v>
      </c>
      <c r="AB39" s="376">
        <v>0</v>
      </c>
      <c r="AC39" s="376">
        <v>0</v>
      </c>
      <c r="AD39" s="118" t="s">
        <v>544</v>
      </c>
      <c r="AE39" s="118">
        <f t="shared" si="4"/>
        <v>0</v>
      </c>
    </row>
    <row r="40" spans="1:31" ht="31.5" x14ac:dyDescent="0.25">
      <c r="A40" s="57" t="s">
        <v>152</v>
      </c>
      <c r="B40" s="33" t="s">
        <v>139</v>
      </c>
      <c r="C40" s="118" t="s">
        <v>544</v>
      </c>
      <c r="D40" s="376">
        <v>5.6660000000000004</v>
      </c>
      <c r="E40" s="118">
        <f t="shared" si="1"/>
        <v>5.6660000000000004</v>
      </c>
      <c r="F40" s="118">
        <f t="shared" si="2"/>
        <v>5.6660000000000004</v>
      </c>
      <c r="G40" s="118">
        <f t="shared" si="0"/>
        <v>5.6660000000000004</v>
      </c>
      <c r="H40" s="118">
        <v>0</v>
      </c>
      <c r="I40" s="376">
        <v>0</v>
      </c>
      <c r="J40" s="118" t="s">
        <v>544</v>
      </c>
      <c r="K40" s="118" t="s">
        <v>544</v>
      </c>
      <c r="L40" s="376">
        <v>0</v>
      </c>
      <c r="M40" s="376">
        <v>0</v>
      </c>
      <c r="N40" s="118" t="s">
        <v>544</v>
      </c>
      <c r="O40" s="118" t="s">
        <v>544</v>
      </c>
      <c r="P40" s="376">
        <v>5.6660000000000004</v>
      </c>
      <c r="Q40" s="380">
        <v>2</v>
      </c>
      <c r="R40" s="118">
        <v>0</v>
      </c>
      <c r="S40" s="118">
        <v>0</v>
      </c>
      <c r="T40" s="376">
        <v>0</v>
      </c>
      <c r="U40" s="376">
        <v>0</v>
      </c>
      <c r="V40" s="118">
        <v>0</v>
      </c>
      <c r="W40" s="118">
        <v>0</v>
      </c>
      <c r="X40" s="376">
        <v>0</v>
      </c>
      <c r="Y40" s="376">
        <v>0</v>
      </c>
      <c r="Z40" s="118">
        <v>0</v>
      </c>
      <c r="AA40" s="118">
        <v>0</v>
      </c>
      <c r="AB40" s="376">
        <v>0</v>
      </c>
      <c r="AC40" s="376">
        <v>0</v>
      </c>
      <c r="AD40" s="118" t="s">
        <v>544</v>
      </c>
      <c r="AE40" s="118">
        <f t="shared" si="4"/>
        <v>5.6660000000000004</v>
      </c>
    </row>
    <row r="41" spans="1:31" x14ac:dyDescent="0.25">
      <c r="A41" s="57" t="s">
        <v>151</v>
      </c>
      <c r="B41" s="33" t="s">
        <v>137</v>
      </c>
      <c r="C41" s="118" t="s">
        <v>544</v>
      </c>
      <c r="D41" s="376">
        <v>0</v>
      </c>
      <c r="E41" s="118">
        <f t="shared" si="1"/>
        <v>0</v>
      </c>
      <c r="F41" s="118">
        <f t="shared" si="2"/>
        <v>0</v>
      </c>
      <c r="G41" s="118">
        <f t="shared" si="0"/>
        <v>0</v>
      </c>
      <c r="H41" s="118">
        <v>0</v>
      </c>
      <c r="I41" s="376">
        <v>0</v>
      </c>
      <c r="J41" s="118" t="s">
        <v>544</v>
      </c>
      <c r="K41" s="118" t="s">
        <v>544</v>
      </c>
      <c r="L41" s="376">
        <v>0</v>
      </c>
      <c r="M41" s="376">
        <v>0</v>
      </c>
      <c r="N41" s="118" t="s">
        <v>544</v>
      </c>
      <c r="O41" s="118" t="s">
        <v>544</v>
      </c>
      <c r="P41" s="376">
        <v>0</v>
      </c>
      <c r="Q41" s="380">
        <v>2</v>
      </c>
      <c r="R41" s="118">
        <v>0</v>
      </c>
      <c r="S41" s="118">
        <v>0</v>
      </c>
      <c r="T41" s="376">
        <v>0</v>
      </c>
      <c r="U41" s="376">
        <v>0</v>
      </c>
      <c r="V41" s="118">
        <v>0</v>
      </c>
      <c r="W41" s="118">
        <v>0</v>
      </c>
      <c r="X41" s="376">
        <v>0</v>
      </c>
      <c r="Y41" s="376">
        <v>0</v>
      </c>
      <c r="Z41" s="118">
        <v>0</v>
      </c>
      <c r="AA41" s="118">
        <v>0</v>
      </c>
      <c r="AB41" s="376">
        <v>0</v>
      </c>
      <c r="AC41" s="376">
        <v>0</v>
      </c>
      <c r="AD41" s="118" t="s">
        <v>544</v>
      </c>
      <c r="AE41" s="118">
        <f t="shared" si="4"/>
        <v>0</v>
      </c>
    </row>
    <row r="42" spans="1:31" ht="18.75" x14ac:dyDescent="0.25">
      <c r="A42" s="57" t="s">
        <v>150</v>
      </c>
      <c r="B42" s="381" t="s">
        <v>560</v>
      </c>
      <c r="C42" s="118" t="s">
        <v>544</v>
      </c>
      <c r="D42" s="376">
        <v>20</v>
      </c>
      <c r="E42" s="118">
        <f t="shared" si="1"/>
        <v>20</v>
      </c>
      <c r="F42" s="118">
        <f t="shared" si="2"/>
        <v>20</v>
      </c>
      <c r="G42" s="118">
        <f t="shared" si="0"/>
        <v>20</v>
      </c>
      <c r="H42" s="118">
        <v>0</v>
      </c>
      <c r="I42" s="376">
        <v>0</v>
      </c>
      <c r="J42" s="382" t="s">
        <v>544</v>
      </c>
      <c r="K42" s="118" t="s">
        <v>544</v>
      </c>
      <c r="L42" s="376">
        <v>0</v>
      </c>
      <c r="M42" s="376">
        <v>0</v>
      </c>
      <c r="N42" s="118" t="s">
        <v>544</v>
      </c>
      <c r="O42" s="118" t="s">
        <v>544</v>
      </c>
      <c r="P42" s="376">
        <v>20</v>
      </c>
      <c r="Q42" s="380">
        <v>2</v>
      </c>
      <c r="R42" s="118">
        <v>0</v>
      </c>
      <c r="S42" s="118">
        <v>0</v>
      </c>
      <c r="T42" s="376">
        <v>0</v>
      </c>
      <c r="U42" s="376">
        <v>0</v>
      </c>
      <c r="V42" s="118">
        <v>0</v>
      </c>
      <c r="W42" s="118">
        <v>0</v>
      </c>
      <c r="X42" s="376">
        <v>0</v>
      </c>
      <c r="Y42" s="376">
        <v>0</v>
      </c>
      <c r="Z42" s="118">
        <v>0</v>
      </c>
      <c r="AA42" s="118">
        <v>0</v>
      </c>
      <c r="AB42" s="376">
        <v>0</v>
      </c>
      <c r="AC42" s="376">
        <v>0</v>
      </c>
      <c r="AD42" s="118" t="s">
        <v>544</v>
      </c>
      <c r="AE42" s="118">
        <f t="shared" si="4"/>
        <v>20</v>
      </c>
    </row>
    <row r="43" spans="1:31" x14ac:dyDescent="0.25">
      <c r="A43" s="57" t="s">
        <v>59</v>
      </c>
      <c r="B43" s="33" t="s">
        <v>149</v>
      </c>
      <c r="C43" s="118" t="s">
        <v>544</v>
      </c>
      <c r="D43" s="376">
        <v>0</v>
      </c>
      <c r="E43" s="118">
        <f t="shared" si="1"/>
        <v>0</v>
      </c>
      <c r="F43" s="118">
        <f t="shared" si="2"/>
        <v>0</v>
      </c>
      <c r="G43" s="118">
        <f t="shared" si="0"/>
        <v>0</v>
      </c>
      <c r="H43" s="118">
        <v>0</v>
      </c>
      <c r="I43" s="376">
        <v>0</v>
      </c>
      <c r="J43" s="118" t="s">
        <v>544</v>
      </c>
      <c r="K43" s="118" t="s">
        <v>544</v>
      </c>
      <c r="L43" s="376">
        <v>0</v>
      </c>
      <c r="M43" s="376">
        <v>0</v>
      </c>
      <c r="N43" s="118" t="s">
        <v>544</v>
      </c>
      <c r="O43" s="118" t="s">
        <v>544</v>
      </c>
      <c r="P43" s="376">
        <v>0</v>
      </c>
      <c r="Q43" s="380">
        <v>2</v>
      </c>
      <c r="R43" s="118">
        <v>0</v>
      </c>
      <c r="S43" s="118">
        <v>0</v>
      </c>
      <c r="T43" s="376">
        <v>0</v>
      </c>
      <c r="U43" s="376">
        <v>0</v>
      </c>
      <c r="V43" s="118">
        <v>0</v>
      </c>
      <c r="W43" s="118">
        <v>0</v>
      </c>
      <c r="X43" s="376">
        <v>0</v>
      </c>
      <c r="Y43" s="376">
        <v>0</v>
      </c>
      <c r="Z43" s="118">
        <v>0</v>
      </c>
      <c r="AA43" s="118">
        <v>0</v>
      </c>
      <c r="AB43" s="376">
        <v>0</v>
      </c>
      <c r="AC43" s="376">
        <v>0</v>
      </c>
      <c r="AD43" s="118" t="s">
        <v>544</v>
      </c>
      <c r="AE43" s="118">
        <f t="shared" si="4"/>
        <v>0</v>
      </c>
    </row>
    <row r="44" spans="1:31" x14ac:dyDescent="0.25">
      <c r="A44" s="57" t="s">
        <v>148</v>
      </c>
      <c r="B44" s="33" t="s">
        <v>147</v>
      </c>
      <c r="C44" s="118" t="s">
        <v>544</v>
      </c>
      <c r="D44" s="376">
        <v>0</v>
      </c>
      <c r="E44" s="118">
        <f t="shared" si="1"/>
        <v>0</v>
      </c>
      <c r="F44" s="118">
        <f t="shared" si="2"/>
        <v>0</v>
      </c>
      <c r="G44" s="118">
        <f t="shared" si="0"/>
        <v>0</v>
      </c>
      <c r="H44" s="118">
        <v>0</v>
      </c>
      <c r="I44" s="376">
        <v>0</v>
      </c>
      <c r="J44" s="118" t="s">
        <v>544</v>
      </c>
      <c r="K44" s="118" t="s">
        <v>544</v>
      </c>
      <c r="L44" s="376">
        <v>0</v>
      </c>
      <c r="M44" s="376">
        <v>0</v>
      </c>
      <c r="N44" s="118" t="s">
        <v>544</v>
      </c>
      <c r="O44" s="118" t="s">
        <v>544</v>
      </c>
      <c r="P44" s="376">
        <v>0</v>
      </c>
      <c r="Q44" s="380">
        <v>2</v>
      </c>
      <c r="R44" s="118">
        <v>0</v>
      </c>
      <c r="S44" s="118">
        <v>0</v>
      </c>
      <c r="T44" s="376">
        <v>0</v>
      </c>
      <c r="U44" s="376">
        <v>0</v>
      </c>
      <c r="V44" s="118">
        <v>0</v>
      </c>
      <c r="W44" s="118">
        <v>0</v>
      </c>
      <c r="X44" s="376">
        <v>0</v>
      </c>
      <c r="Y44" s="376">
        <v>0</v>
      </c>
      <c r="Z44" s="118">
        <v>0</v>
      </c>
      <c r="AA44" s="118">
        <v>0</v>
      </c>
      <c r="AB44" s="376">
        <v>0</v>
      </c>
      <c r="AC44" s="376">
        <v>0</v>
      </c>
      <c r="AD44" s="118" t="s">
        <v>544</v>
      </c>
      <c r="AE44" s="118">
        <f t="shared" si="4"/>
        <v>0</v>
      </c>
    </row>
    <row r="45" spans="1:31" x14ac:dyDescent="0.25">
      <c r="A45" s="57" t="s">
        <v>146</v>
      </c>
      <c r="B45" s="33" t="s">
        <v>145</v>
      </c>
      <c r="C45" s="118" t="s">
        <v>544</v>
      </c>
      <c r="D45" s="376">
        <v>20</v>
      </c>
      <c r="E45" s="118">
        <f t="shared" si="1"/>
        <v>20</v>
      </c>
      <c r="F45" s="118">
        <f t="shared" si="2"/>
        <v>20</v>
      </c>
      <c r="G45" s="118">
        <f t="shared" si="0"/>
        <v>20</v>
      </c>
      <c r="H45" s="118">
        <v>0</v>
      </c>
      <c r="I45" s="376">
        <v>0</v>
      </c>
      <c r="J45" s="118" t="s">
        <v>544</v>
      </c>
      <c r="K45" s="118" t="s">
        <v>544</v>
      </c>
      <c r="L45" s="376">
        <v>0</v>
      </c>
      <c r="M45" s="376">
        <v>0</v>
      </c>
      <c r="N45" s="118" t="s">
        <v>544</v>
      </c>
      <c r="O45" s="118" t="s">
        <v>544</v>
      </c>
      <c r="P45" s="376">
        <v>0</v>
      </c>
      <c r="Q45" s="380">
        <v>2</v>
      </c>
      <c r="R45" s="118">
        <v>0</v>
      </c>
      <c r="S45" s="118">
        <v>0</v>
      </c>
      <c r="T45" s="376">
        <v>0</v>
      </c>
      <c r="U45" s="376">
        <v>0</v>
      </c>
      <c r="V45" s="118">
        <v>0</v>
      </c>
      <c r="W45" s="118">
        <v>0</v>
      </c>
      <c r="X45" s="376">
        <v>0</v>
      </c>
      <c r="Y45" s="376">
        <v>0</v>
      </c>
      <c r="Z45" s="118">
        <v>0</v>
      </c>
      <c r="AA45" s="118">
        <v>0</v>
      </c>
      <c r="AB45" s="376">
        <v>0</v>
      </c>
      <c r="AC45" s="376">
        <v>0</v>
      </c>
      <c r="AD45" s="118" t="s">
        <v>544</v>
      </c>
      <c r="AE45" s="118">
        <f t="shared" si="4"/>
        <v>0</v>
      </c>
    </row>
    <row r="46" spans="1:31" x14ac:dyDescent="0.25">
      <c r="A46" s="57" t="s">
        <v>144</v>
      </c>
      <c r="B46" s="33" t="s">
        <v>143</v>
      </c>
      <c r="C46" s="118" t="s">
        <v>544</v>
      </c>
      <c r="D46" s="376">
        <v>0</v>
      </c>
      <c r="E46" s="118">
        <f t="shared" si="1"/>
        <v>0</v>
      </c>
      <c r="F46" s="118">
        <f t="shared" si="2"/>
        <v>0</v>
      </c>
      <c r="G46" s="118">
        <f t="shared" si="0"/>
        <v>0</v>
      </c>
      <c r="H46" s="118">
        <v>0</v>
      </c>
      <c r="I46" s="376">
        <v>0</v>
      </c>
      <c r="J46" s="118" t="s">
        <v>544</v>
      </c>
      <c r="K46" s="118" t="s">
        <v>544</v>
      </c>
      <c r="L46" s="376">
        <v>0</v>
      </c>
      <c r="M46" s="376">
        <v>0</v>
      </c>
      <c r="N46" s="118" t="s">
        <v>544</v>
      </c>
      <c r="O46" s="118" t="s">
        <v>544</v>
      </c>
      <c r="P46" s="376">
        <v>0</v>
      </c>
      <c r="Q46" s="380">
        <v>2</v>
      </c>
      <c r="R46" s="118">
        <v>0</v>
      </c>
      <c r="S46" s="118">
        <v>0</v>
      </c>
      <c r="T46" s="376">
        <v>0</v>
      </c>
      <c r="U46" s="376">
        <v>0</v>
      </c>
      <c r="V46" s="118">
        <v>0</v>
      </c>
      <c r="W46" s="118">
        <v>0</v>
      </c>
      <c r="X46" s="376">
        <v>0</v>
      </c>
      <c r="Y46" s="376">
        <v>0</v>
      </c>
      <c r="Z46" s="118">
        <v>0</v>
      </c>
      <c r="AA46" s="118">
        <v>0</v>
      </c>
      <c r="AB46" s="376">
        <v>0</v>
      </c>
      <c r="AC46" s="376">
        <v>0</v>
      </c>
      <c r="AD46" s="118" t="s">
        <v>544</v>
      </c>
      <c r="AE46" s="118">
        <f t="shared" si="4"/>
        <v>0</v>
      </c>
    </row>
    <row r="47" spans="1:31" ht="31.5" x14ac:dyDescent="0.25">
      <c r="A47" s="57" t="s">
        <v>142</v>
      </c>
      <c r="B47" s="33" t="s">
        <v>141</v>
      </c>
      <c r="C47" s="118" t="s">
        <v>544</v>
      </c>
      <c r="D47" s="376">
        <v>0</v>
      </c>
      <c r="E47" s="118">
        <f t="shared" si="1"/>
        <v>0</v>
      </c>
      <c r="F47" s="118">
        <f t="shared" si="2"/>
        <v>0</v>
      </c>
      <c r="G47" s="118">
        <f t="shared" si="0"/>
        <v>0</v>
      </c>
      <c r="H47" s="118">
        <v>0</v>
      </c>
      <c r="I47" s="376">
        <v>0</v>
      </c>
      <c r="J47" s="118" t="s">
        <v>544</v>
      </c>
      <c r="K47" s="118" t="s">
        <v>544</v>
      </c>
      <c r="L47" s="376">
        <v>0</v>
      </c>
      <c r="M47" s="376">
        <v>0</v>
      </c>
      <c r="N47" s="118" t="s">
        <v>544</v>
      </c>
      <c r="O47" s="118" t="s">
        <v>544</v>
      </c>
      <c r="P47" s="376">
        <v>0</v>
      </c>
      <c r="Q47" s="380">
        <v>2</v>
      </c>
      <c r="R47" s="118">
        <v>0</v>
      </c>
      <c r="S47" s="118">
        <v>0</v>
      </c>
      <c r="T47" s="376">
        <v>0</v>
      </c>
      <c r="U47" s="376">
        <v>0</v>
      </c>
      <c r="V47" s="118">
        <v>0</v>
      </c>
      <c r="W47" s="118">
        <v>0</v>
      </c>
      <c r="X47" s="376">
        <v>0</v>
      </c>
      <c r="Y47" s="376">
        <v>0</v>
      </c>
      <c r="Z47" s="118">
        <v>0</v>
      </c>
      <c r="AA47" s="118">
        <v>0</v>
      </c>
      <c r="AB47" s="376">
        <v>0</v>
      </c>
      <c r="AC47" s="376">
        <v>0</v>
      </c>
      <c r="AD47" s="118" t="s">
        <v>544</v>
      </c>
      <c r="AE47" s="118">
        <f t="shared" si="4"/>
        <v>0</v>
      </c>
    </row>
    <row r="48" spans="1:31" ht="31.5" x14ac:dyDescent="0.25">
      <c r="A48" s="57" t="s">
        <v>140</v>
      </c>
      <c r="B48" s="33" t="s">
        <v>139</v>
      </c>
      <c r="C48" s="118" t="s">
        <v>544</v>
      </c>
      <c r="D48" s="376">
        <v>5.6660000000000004</v>
      </c>
      <c r="E48" s="118">
        <f t="shared" si="1"/>
        <v>5.6660000000000004</v>
      </c>
      <c r="F48" s="118">
        <f t="shared" si="2"/>
        <v>5.6660000000000004</v>
      </c>
      <c r="G48" s="118">
        <f t="shared" si="0"/>
        <v>5.6660000000000004</v>
      </c>
      <c r="H48" s="118">
        <v>0</v>
      </c>
      <c r="I48" s="376">
        <v>0</v>
      </c>
      <c r="J48" s="118" t="s">
        <v>544</v>
      </c>
      <c r="K48" s="118" t="s">
        <v>544</v>
      </c>
      <c r="L48" s="376">
        <v>0</v>
      </c>
      <c r="M48" s="376">
        <v>0</v>
      </c>
      <c r="N48" s="118" t="s">
        <v>544</v>
      </c>
      <c r="O48" s="118" t="s">
        <v>544</v>
      </c>
      <c r="P48" s="376">
        <v>5.6660000000000004</v>
      </c>
      <c r="Q48" s="380">
        <v>2</v>
      </c>
      <c r="R48" s="118">
        <v>0</v>
      </c>
      <c r="S48" s="118">
        <v>0</v>
      </c>
      <c r="T48" s="376">
        <v>0</v>
      </c>
      <c r="U48" s="376">
        <v>0</v>
      </c>
      <c r="V48" s="118">
        <v>0</v>
      </c>
      <c r="W48" s="118">
        <v>0</v>
      </c>
      <c r="X48" s="376">
        <v>0</v>
      </c>
      <c r="Y48" s="376">
        <v>0</v>
      </c>
      <c r="Z48" s="118">
        <v>0</v>
      </c>
      <c r="AA48" s="118">
        <v>0</v>
      </c>
      <c r="AB48" s="376">
        <v>0</v>
      </c>
      <c r="AC48" s="376">
        <v>0</v>
      </c>
      <c r="AD48" s="118" t="s">
        <v>544</v>
      </c>
      <c r="AE48" s="118">
        <f t="shared" si="4"/>
        <v>5.6660000000000004</v>
      </c>
    </row>
    <row r="49" spans="1:31" x14ac:dyDescent="0.25">
      <c r="A49" s="57" t="s">
        <v>138</v>
      </c>
      <c r="B49" s="33" t="s">
        <v>137</v>
      </c>
      <c r="C49" s="118" t="s">
        <v>544</v>
      </c>
      <c r="D49" s="376">
        <v>0</v>
      </c>
      <c r="E49" s="118">
        <f t="shared" si="1"/>
        <v>0</v>
      </c>
      <c r="F49" s="118">
        <f t="shared" si="2"/>
        <v>0</v>
      </c>
      <c r="G49" s="118">
        <f t="shared" si="0"/>
        <v>0</v>
      </c>
      <c r="H49" s="118">
        <v>0</v>
      </c>
      <c r="I49" s="376">
        <v>0</v>
      </c>
      <c r="J49" s="118" t="s">
        <v>544</v>
      </c>
      <c r="K49" s="118" t="s">
        <v>544</v>
      </c>
      <c r="L49" s="376">
        <v>0</v>
      </c>
      <c r="M49" s="376">
        <v>0</v>
      </c>
      <c r="N49" s="118" t="s">
        <v>544</v>
      </c>
      <c r="O49" s="118" t="s">
        <v>544</v>
      </c>
      <c r="P49" s="376">
        <v>0</v>
      </c>
      <c r="Q49" s="380">
        <v>2</v>
      </c>
      <c r="R49" s="118">
        <v>0</v>
      </c>
      <c r="S49" s="118">
        <v>0</v>
      </c>
      <c r="T49" s="376">
        <v>0</v>
      </c>
      <c r="U49" s="376">
        <v>0</v>
      </c>
      <c r="V49" s="118">
        <v>0</v>
      </c>
      <c r="W49" s="118">
        <v>0</v>
      </c>
      <c r="X49" s="376">
        <v>0</v>
      </c>
      <c r="Y49" s="376">
        <v>0</v>
      </c>
      <c r="Z49" s="118">
        <v>0</v>
      </c>
      <c r="AA49" s="118">
        <v>0</v>
      </c>
      <c r="AB49" s="376">
        <v>0</v>
      </c>
      <c r="AC49" s="376">
        <v>0</v>
      </c>
      <c r="AD49" s="118" t="s">
        <v>544</v>
      </c>
      <c r="AE49" s="118">
        <f t="shared" si="4"/>
        <v>0</v>
      </c>
    </row>
    <row r="50" spans="1:31" ht="18.75" x14ac:dyDescent="0.25">
      <c r="A50" s="57" t="s">
        <v>136</v>
      </c>
      <c r="B50" s="381" t="s">
        <v>560</v>
      </c>
      <c r="C50" s="118" t="s">
        <v>544</v>
      </c>
      <c r="D50" s="376">
        <v>20</v>
      </c>
      <c r="E50" s="118">
        <f t="shared" si="1"/>
        <v>20</v>
      </c>
      <c r="F50" s="118">
        <f t="shared" si="2"/>
        <v>20</v>
      </c>
      <c r="G50" s="118">
        <f t="shared" si="0"/>
        <v>20</v>
      </c>
      <c r="H50" s="118">
        <v>0</v>
      </c>
      <c r="I50" s="376">
        <v>0</v>
      </c>
      <c r="J50" s="382" t="s">
        <v>544</v>
      </c>
      <c r="K50" s="118" t="s">
        <v>544</v>
      </c>
      <c r="L50" s="376">
        <v>0</v>
      </c>
      <c r="M50" s="376">
        <v>0</v>
      </c>
      <c r="N50" s="118" t="s">
        <v>544</v>
      </c>
      <c r="O50" s="118" t="s">
        <v>544</v>
      </c>
      <c r="P50" s="376">
        <v>20</v>
      </c>
      <c r="Q50" s="380">
        <v>2</v>
      </c>
      <c r="R50" s="118">
        <v>0</v>
      </c>
      <c r="S50" s="118">
        <v>0</v>
      </c>
      <c r="T50" s="376">
        <v>0</v>
      </c>
      <c r="U50" s="376">
        <v>0</v>
      </c>
      <c r="V50" s="118">
        <v>0</v>
      </c>
      <c r="W50" s="118">
        <v>0</v>
      </c>
      <c r="X50" s="376">
        <v>0</v>
      </c>
      <c r="Y50" s="376">
        <v>0</v>
      </c>
      <c r="Z50" s="118">
        <v>0</v>
      </c>
      <c r="AA50" s="118">
        <v>0</v>
      </c>
      <c r="AB50" s="376">
        <v>0</v>
      </c>
      <c r="AC50" s="376">
        <v>0</v>
      </c>
      <c r="AD50" s="118" t="s">
        <v>544</v>
      </c>
      <c r="AE50" s="118">
        <f t="shared" si="4"/>
        <v>20</v>
      </c>
    </row>
    <row r="51" spans="1:31" ht="35.25" customHeight="1" x14ac:dyDescent="0.25">
      <c r="A51" s="57" t="s">
        <v>57</v>
      </c>
      <c r="B51" s="33" t="s">
        <v>135</v>
      </c>
      <c r="C51" s="118" t="s">
        <v>544</v>
      </c>
      <c r="D51" s="376">
        <v>0</v>
      </c>
      <c r="E51" s="118">
        <f t="shared" si="1"/>
        <v>0</v>
      </c>
      <c r="F51" s="118">
        <f t="shared" si="2"/>
        <v>0</v>
      </c>
      <c r="G51" s="118">
        <f t="shared" si="0"/>
        <v>0</v>
      </c>
      <c r="H51" s="118">
        <v>0</v>
      </c>
      <c r="I51" s="376">
        <v>0</v>
      </c>
      <c r="J51" s="118" t="s">
        <v>544</v>
      </c>
      <c r="K51" s="118" t="s">
        <v>544</v>
      </c>
      <c r="L51" s="376">
        <v>0</v>
      </c>
      <c r="M51" s="376">
        <v>0</v>
      </c>
      <c r="N51" s="118" t="s">
        <v>544</v>
      </c>
      <c r="O51" s="118" t="s">
        <v>544</v>
      </c>
      <c r="P51" s="376">
        <v>0</v>
      </c>
      <c r="Q51" s="380">
        <v>2</v>
      </c>
      <c r="R51" s="118">
        <v>0</v>
      </c>
      <c r="S51" s="118">
        <v>0</v>
      </c>
      <c r="T51" s="376">
        <v>0</v>
      </c>
      <c r="U51" s="376">
        <v>0</v>
      </c>
      <c r="V51" s="118">
        <v>0</v>
      </c>
      <c r="W51" s="118">
        <v>0</v>
      </c>
      <c r="X51" s="376">
        <v>0</v>
      </c>
      <c r="Y51" s="376">
        <v>0</v>
      </c>
      <c r="Z51" s="118">
        <v>0</v>
      </c>
      <c r="AA51" s="118">
        <v>0</v>
      </c>
      <c r="AB51" s="376">
        <v>0</v>
      </c>
      <c r="AC51" s="376">
        <v>0</v>
      </c>
      <c r="AD51" s="118" t="s">
        <v>544</v>
      </c>
      <c r="AE51" s="118">
        <f t="shared" si="4"/>
        <v>0</v>
      </c>
    </row>
    <row r="52" spans="1:31" x14ac:dyDescent="0.25">
      <c r="A52" s="57" t="s">
        <v>134</v>
      </c>
      <c r="B52" s="33" t="s">
        <v>133</v>
      </c>
      <c r="C52" s="118" t="s">
        <v>544</v>
      </c>
      <c r="D52" s="376">
        <f>D30</f>
        <v>345.77079916666668</v>
      </c>
      <c r="E52" s="118">
        <f t="shared" si="1"/>
        <v>345.77079916666668</v>
      </c>
      <c r="F52" s="118">
        <f t="shared" si="2"/>
        <v>345.77079916666668</v>
      </c>
      <c r="G52" s="118">
        <f t="shared" si="0"/>
        <v>345.77079916666668</v>
      </c>
      <c r="H52" s="118">
        <v>0</v>
      </c>
      <c r="I52" s="376">
        <v>0</v>
      </c>
      <c r="J52" s="118" t="s">
        <v>544</v>
      </c>
      <c r="K52" s="118" t="s">
        <v>544</v>
      </c>
      <c r="L52" s="376">
        <v>0</v>
      </c>
      <c r="M52" s="376">
        <v>0</v>
      </c>
      <c r="N52" s="118" t="s">
        <v>544</v>
      </c>
      <c r="O52" s="118" t="s">
        <v>544</v>
      </c>
      <c r="P52" s="376">
        <f>D52</f>
        <v>345.77079916666668</v>
      </c>
      <c r="Q52" s="380">
        <v>2</v>
      </c>
      <c r="R52" s="118">
        <v>0</v>
      </c>
      <c r="S52" s="118">
        <v>0</v>
      </c>
      <c r="T52" s="376">
        <v>0</v>
      </c>
      <c r="U52" s="376">
        <v>0</v>
      </c>
      <c r="V52" s="118">
        <v>0</v>
      </c>
      <c r="W52" s="118">
        <v>0</v>
      </c>
      <c r="X52" s="376">
        <v>0</v>
      </c>
      <c r="Y52" s="376">
        <v>0</v>
      </c>
      <c r="Z52" s="118">
        <v>0</v>
      </c>
      <c r="AA52" s="118">
        <v>0</v>
      </c>
      <c r="AB52" s="376">
        <v>0</v>
      </c>
      <c r="AC52" s="376">
        <v>0</v>
      </c>
      <c r="AD52" s="118" t="s">
        <v>544</v>
      </c>
      <c r="AE52" s="118">
        <f t="shared" si="4"/>
        <v>345.77079916666668</v>
      </c>
    </row>
    <row r="53" spans="1:31" x14ac:dyDescent="0.25">
      <c r="A53" s="57" t="s">
        <v>132</v>
      </c>
      <c r="B53" s="33" t="s">
        <v>126</v>
      </c>
      <c r="C53" s="118" t="s">
        <v>544</v>
      </c>
      <c r="D53" s="376">
        <v>0</v>
      </c>
      <c r="E53" s="118">
        <f t="shared" si="1"/>
        <v>0</v>
      </c>
      <c r="F53" s="118">
        <f t="shared" si="2"/>
        <v>0</v>
      </c>
      <c r="G53" s="118">
        <f t="shared" si="0"/>
        <v>0</v>
      </c>
      <c r="H53" s="118">
        <v>0</v>
      </c>
      <c r="I53" s="376">
        <v>0</v>
      </c>
      <c r="J53" s="118" t="s">
        <v>544</v>
      </c>
      <c r="K53" s="118" t="s">
        <v>544</v>
      </c>
      <c r="L53" s="376">
        <v>0</v>
      </c>
      <c r="M53" s="376">
        <v>0</v>
      </c>
      <c r="N53" s="118" t="s">
        <v>544</v>
      </c>
      <c r="O53" s="118" t="s">
        <v>544</v>
      </c>
      <c r="P53" s="376">
        <v>0</v>
      </c>
      <c r="Q53" s="380">
        <v>2</v>
      </c>
      <c r="R53" s="118">
        <v>0</v>
      </c>
      <c r="S53" s="118">
        <v>0</v>
      </c>
      <c r="T53" s="376">
        <v>0</v>
      </c>
      <c r="U53" s="376">
        <v>0</v>
      </c>
      <c r="V53" s="118">
        <v>0</v>
      </c>
      <c r="W53" s="118">
        <v>0</v>
      </c>
      <c r="X53" s="376">
        <v>0</v>
      </c>
      <c r="Y53" s="376">
        <v>0</v>
      </c>
      <c r="Z53" s="118">
        <v>0</v>
      </c>
      <c r="AA53" s="118">
        <v>0</v>
      </c>
      <c r="AB53" s="376">
        <v>0</v>
      </c>
      <c r="AC53" s="376">
        <v>0</v>
      </c>
      <c r="AD53" s="118" t="s">
        <v>544</v>
      </c>
      <c r="AE53" s="118">
        <f t="shared" si="4"/>
        <v>0</v>
      </c>
    </row>
    <row r="54" spans="1:31" x14ac:dyDescent="0.25">
      <c r="A54" s="57" t="s">
        <v>131</v>
      </c>
      <c r="B54" s="381" t="s">
        <v>125</v>
      </c>
      <c r="C54" s="118" t="s">
        <v>544</v>
      </c>
      <c r="D54" s="376">
        <v>32</v>
      </c>
      <c r="E54" s="118">
        <f t="shared" si="1"/>
        <v>32</v>
      </c>
      <c r="F54" s="118">
        <f t="shared" si="2"/>
        <v>32</v>
      </c>
      <c r="G54" s="118">
        <f t="shared" si="0"/>
        <v>32</v>
      </c>
      <c r="H54" s="118">
        <v>0</v>
      </c>
      <c r="I54" s="376">
        <v>0</v>
      </c>
      <c r="J54" s="382" t="s">
        <v>544</v>
      </c>
      <c r="K54" s="118" t="s">
        <v>544</v>
      </c>
      <c r="L54" s="376">
        <v>0</v>
      </c>
      <c r="M54" s="376">
        <v>0</v>
      </c>
      <c r="N54" s="118" t="s">
        <v>544</v>
      </c>
      <c r="O54" s="118" t="s">
        <v>544</v>
      </c>
      <c r="P54" s="376">
        <v>32</v>
      </c>
      <c r="Q54" s="380">
        <v>2</v>
      </c>
      <c r="R54" s="118">
        <v>0</v>
      </c>
      <c r="S54" s="118">
        <v>0</v>
      </c>
      <c r="T54" s="376">
        <v>0</v>
      </c>
      <c r="U54" s="376">
        <v>0</v>
      </c>
      <c r="V54" s="118">
        <v>0</v>
      </c>
      <c r="W54" s="118">
        <v>0</v>
      </c>
      <c r="X54" s="376">
        <v>0</v>
      </c>
      <c r="Y54" s="376">
        <v>0</v>
      </c>
      <c r="Z54" s="118">
        <v>0</v>
      </c>
      <c r="AA54" s="118">
        <v>0</v>
      </c>
      <c r="AB54" s="376">
        <v>0</v>
      </c>
      <c r="AC54" s="376">
        <v>0</v>
      </c>
      <c r="AD54" s="118" t="s">
        <v>544</v>
      </c>
      <c r="AE54" s="118">
        <f t="shared" si="4"/>
        <v>32</v>
      </c>
    </row>
    <row r="55" spans="1:31" x14ac:dyDescent="0.25">
      <c r="A55" s="57" t="s">
        <v>130</v>
      </c>
      <c r="B55" s="381" t="s">
        <v>124</v>
      </c>
      <c r="C55" s="118" t="s">
        <v>544</v>
      </c>
      <c r="D55" s="376">
        <v>0</v>
      </c>
      <c r="E55" s="118">
        <f t="shared" si="1"/>
        <v>0</v>
      </c>
      <c r="F55" s="118">
        <f t="shared" si="2"/>
        <v>0</v>
      </c>
      <c r="G55" s="118">
        <f t="shared" si="0"/>
        <v>0</v>
      </c>
      <c r="H55" s="118">
        <v>0</v>
      </c>
      <c r="I55" s="376">
        <v>0</v>
      </c>
      <c r="J55" s="382" t="s">
        <v>544</v>
      </c>
      <c r="K55" s="118" t="s">
        <v>544</v>
      </c>
      <c r="L55" s="376">
        <v>0</v>
      </c>
      <c r="M55" s="376">
        <v>0</v>
      </c>
      <c r="N55" s="118" t="s">
        <v>544</v>
      </c>
      <c r="O55" s="118" t="s">
        <v>544</v>
      </c>
      <c r="P55" s="376">
        <v>0</v>
      </c>
      <c r="Q55" s="380">
        <v>2</v>
      </c>
      <c r="R55" s="118">
        <v>0</v>
      </c>
      <c r="S55" s="118">
        <v>0</v>
      </c>
      <c r="T55" s="376">
        <v>0</v>
      </c>
      <c r="U55" s="376">
        <v>0</v>
      </c>
      <c r="V55" s="118">
        <v>0</v>
      </c>
      <c r="W55" s="118">
        <v>0</v>
      </c>
      <c r="X55" s="376">
        <v>0</v>
      </c>
      <c r="Y55" s="376">
        <v>0</v>
      </c>
      <c r="Z55" s="118">
        <v>0</v>
      </c>
      <c r="AA55" s="118">
        <v>0</v>
      </c>
      <c r="AB55" s="376">
        <v>0</v>
      </c>
      <c r="AC55" s="376">
        <v>0</v>
      </c>
      <c r="AD55" s="118" t="s">
        <v>544</v>
      </c>
      <c r="AE55" s="118">
        <f t="shared" si="4"/>
        <v>0</v>
      </c>
    </row>
    <row r="56" spans="1:31" x14ac:dyDescent="0.25">
      <c r="A56" s="57" t="s">
        <v>129</v>
      </c>
      <c r="B56" s="381" t="s">
        <v>123</v>
      </c>
      <c r="C56" s="118" t="s">
        <v>544</v>
      </c>
      <c r="D56" s="376">
        <f>D40</f>
        <v>5.6660000000000004</v>
      </c>
      <c r="E56" s="118">
        <f t="shared" si="1"/>
        <v>5.6660000000000004</v>
      </c>
      <c r="F56" s="118">
        <f t="shared" si="2"/>
        <v>5.6660000000000004</v>
      </c>
      <c r="G56" s="118">
        <f t="shared" si="0"/>
        <v>5.6660000000000004</v>
      </c>
      <c r="H56" s="118">
        <v>0</v>
      </c>
      <c r="I56" s="376">
        <v>0</v>
      </c>
      <c r="J56" s="382" t="s">
        <v>544</v>
      </c>
      <c r="K56" s="118" t="s">
        <v>544</v>
      </c>
      <c r="L56" s="376">
        <v>0</v>
      </c>
      <c r="M56" s="376">
        <v>0</v>
      </c>
      <c r="N56" s="118" t="s">
        <v>544</v>
      </c>
      <c r="O56" s="118" t="s">
        <v>544</v>
      </c>
      <c r="P56" s="376">
        <f>P40</f>
        <v>5.6660000000000004</v>
      </c>
      <c r="Q56" s="380">
        <v>2</v>
      </c>
      <c r="R56" s="118">
        <v>0</v>
      </c>
      <c r="S56" s="118">
        <v>0</v>
      </c>
      <c r="T56" s="376">
        <v>0</v>
      </c>
      <c r="U56" s="376">
        <v>0</v>
      </c>
      <c r="V56" s="118">
        <v>0</v>
      </c>
      <c r="W56" s="118">
        <v>0</v>
      </c>
      <c r="X56" s="376">
        <v>0</v>
      </c>
      <c r="Y56" s="376">
        <v>0</v>
      </c>
      <c r="Z56" s="118">
        <v>0</v>
      </c>
      <c r="AA56" s="118">
        <v>0</v>
      </c>
      <c r="AB56" s="376">
        <v>0</v>
      </c>
      <c r="AC56" s="376">
        <v>0</v>
      </c>
      <c r="AD56" s="118" t="s">
        <v>544</v>
      </c>
      <c r="AE56" s="118">
        <f t="shared" si="4"/>
        <v>5.6660000000000004</v>
      </c>
    </row>
    <row r="57" spans="1:31" ht="18.75" x14ac:dyDescent="0.25">
      <c r="A57" s="57" t="s">
        <v>128</v>
      </c>
      <c r="B57" s="381" t="s">
        <v>560</v>
      </c>
      <c r="C57" s="118" t="s">
        <v>544</v>
      </c>
      <c r="D57" s="376">
        <v>20</v>
      </c>
      <c r="E57" s="118">
        <f t="shared" si="1"/>
        <v>20</v>
      </c>
      <c r="F57" s="118">
        <f t="shared" si="2"/>
        <v>20</v>
      </c>
      <c r="G57" s="118">
        <f t="shared" si="0"/>
        <v>20</v>
      </c>
      <c r="H57" s="118" t="str">
        <f>C57</f>
        <v>нд</v>
      </c>
      <c r="I57" s="376">
        <v>0</v>
      </c>
      <c r="J57" s="382" t="s">
        <v>544</v>
      </c>
      <c r="K57" s="118" t="s">
        <v>544</v>
      </c>
      <c r="L57" s="376">
        <v>0</v>
      </c>
      <c r="M57" s="376">
        <v>0</v>
      </c>
      <c r="N57" s="118" t="s">
        <v>544</v>
      </c>
      <c r="O57" s="118" t="s">
        <v>544</v>
      </c>
      <c r="P57" s="376">
        <v>20</v>
      </c>
      <c r="Q57" s="380">
        <v>2</v>
      </c>
      <c r="R57" s="118">
        <v>0</v>
      </c>
      <c r="S57" s="118">
        <v>0</v>
      </c>
      <c r="T57" s="376">
        <v>0</v>
      </c>
      <c r="U57" s="376">
        <v>0</v>
      </c>
      <c r="V57" s="118">
        <v>0</v>
      </c>
      <c r="W57" s="118">
        <v>0</v>
      </c>
      <c r="X57" s="376">
        <v>0</v>
      </c>
      <c r="Y57" s="376">
        <v>0</v>
      </c>
      <c r="Z57" s="118">
        <v>0</v>
      </c>
      <c r="AA57" s="118">
        <v>0</v>
      </c>
      <c r="AB57" s="376">
        <v>0</v>
      </c>
      <c r="AC57" s="376">
        <v>0</v>
      </c>
      <c r="AD57" s="118" t="s">
        <v>544</v>
      </c>
      <c r="AE57" s="118">
        <f t="shared" si="4"/>
        <v>20</v>
      </c>
    </row>
    <row r="58" spans="1:31" ht="36.75" customHeight="1" x14ac:dyDescent="0.25">
      <c r="A58" s="57" t="s">
        <v>56</v>
      </c>
      <c r="B58" s="381" t="s">
        <v>207</v>
      </c>
      <c r="C58" s="118" t="s">
        <v>544</v>
      </c>
      <c r="D58" s="376">
        <v>0</v>
      </c>
      <c r="E58" s="118">
        <f t="shared" si="1"/>
        <v>0</v>
      </c>
      <c r="F58" s="118">
        <f t="shared" si="2"/>
        <v>0</v>
      </c>
      <c r="G58" s="118">
        <f t="shared" si="0"/>
        <v>0</v>
      </c>
      <c r="H58" s="118">
        <v>0</v>
      </c>
      <c r="I58" s="376">
        <v>0</v>
      </c>
      <c r="J58" s="382" t="s">
        <v>544</v>
      </c>
      <c r="K58" s="118" t="s">
        <v>544</v>
      </c>
      <c r="L58" s="376">
        <v>0</v>
      </c>
      <c r="M58" s="376">
        <v>0</v>
      </c>
      <c r="N58" s="118" t="s">
        <v>544</v>
      </c>
      <c r="O58" s="118" t="s">
        <v>544</v>
      </c>
      <c r="P58" s="376">
        <f>D30</f>
        <v>345.77079916666668</v>
      </c>
      <c r="Q58" s="380">
        <v>2</v>
      </c>
      <c r="R58" s="118">
        <v>0</v>
      </c>
      <c r="S58" s="118">
        <v>0</v>
      </c>
      <c r="T58" s="376">
        <v>0</v>
      </c>
      <c r="U58" s="376">
        <v>0</v>
      </c>
      <c r="V58" s="118">
        <v>0</v>
      </c>
      <c r="W58" s="118">
        <v>0</v>
      </c>
      <c r="X58" s="376">
        <v>0</v>
      </c>
      <c r="Y58" s="376">
        <v>0</v>
      </c>
      <c r="Z58" s="118">
        <v>0</v>
      </c>
      <c r="AA58" s="118">
        <v>0</v>
      </c>
      <c r="AB58" s="376">
        <v>0</v>
      </c>
      <c r="AC58" s="376">
        <v>0</v>
      </c>
      <c r="AD58" s="118" t="s">
        <v>544</v>
      </c>
      <c r="AE58" s="118">
        <f t="shared" si="4"/>
        <v>345.77079916666668</v>
      </c>
    </row>
    <row r="59" spans="1:31" x14ac:dyDescent="0.25">
      <c r="A59" s="57" t="s">
        <v>54</v>
      </c>
      <c r="B59" s="33" t="s">
        <v>127</v>
      </c>
      <c r="C59" s="118" t="s">
        <v>544</v>
      </c>
      <c r="D59" s="376">
        <v>0</v>
      </c>
      <c r="E59" s="118">
        <f t="shared" si="1"/>
        <v>0</v>
      </c>
      <c r="F59" s="118">
        <f t="shared" si="2"/>
        <v>0</v>
      </c>
      <c r="G59" s="118">
        <f t="shared" si="0"/>
        <v>0</v>
      </c>
      <c r="H59" s="118">
        <v>0</v>
      </c>
      <c r="I59" s="376">
        <v>0</v>
      </c>
      <c r="J59" s="118" t="s">
        <v>544</v>
      </c>
      <c r="K59" s="118" t="s">
        <v>544</v>
      </c>
      <c r="L59" s="376">
        <v>0</v>
      </c>
      <c r="M59" s="376">
        <v>0</v>
      </c>
      <c r="N59" s="118" t="s">
        <v>544</v>
      </c>
      <c r="O59" s="118" t="s">
        <v>544</v>
      </c>
      <c r="P59" s="376">
        <v>0</v>
      </c>
      <c r="Q59" s="380">
        <v>2</v>
      </c>
      <c r="R59" s="118">
        <v>0</v>
      </c>
      <c r="S59" s="118">
        <v>0</v>
      </c>
      <c r="T59" s="376">
        <v>0</v>
      </c>
      <c r="U59" s="376">
        <v>0</v>
      </c>
      <c r="V59" s="118">
        <v>0</v>
      </c>
      <c r="W59" s="118">
        <v>0</v>
      </c>
      <c r="X59" s="376">
        <v>0</v>
      </c>
      <c r="Y59" s="376">
        <v>0</v>
      </c>
      <c r="Z59" s="118">
        <v>0</v>
      </c>
      <c r="AA59" s="118">
        <v>0</v>
      </c>
      <c r="AB59" s="376">
        <v>0</v>
      </c>
      <c r="AC59" s="376">
        <v>0</v>
      </c>
      <c r="AD59" s="118" t="s">
        <v>544</v>
      </c>
      <c r="AE59" s="118">
        <f t="shared" si="4"/>
        <v>0</v>
      </c>
    </row>
    <row r="60" spans="1:31" x14ac:dyDescent="0.25">
      <c r="A60" s="57" t="s">
        <v>201</v>
      </c>
      <c r="B60" s="383" t="s">
        <v>147</v>
      </c>
      <c r="C60" s="118" t="s">
        <v>544</v>
      </c>
      <c r="D60" s="376">
        <v>0</v>
      </c>
      <c r="E60" s="118">
        <f t="shared" si="1"/>
        <v>0</v>
      </c>
      <c r="F60" s="118">
        <f t="shared" si="2"/>
        <v>0</v>
      </c>
      <c r="G60" s="118">
        <f t="shared" si="0"/>
        <v>0</v>
      </c>
      <c r="H60" s="118">
        <v>0</v>
      </c>
      <c r="I60" s="376">
        <v>0</v>
      </c>
      <c r="J60" s="384" t="s">
        <v>544</v>
      </c>
      <c r="K60" s="118" t="s">
        <v>544</v>
      </c>
      <c r="L60" s="376">
        <v>0</v>
      </c>
      <c r="M60" s="376">
        <v>0</v>
      </c>
      <c r="N60" s="118" t="s">
        <v>544</v>
      </c>
      <c r="O60" s="118" t="s">
        <v>544</v>
      </c>
      <c r="P60" s="376">
        <v>0</v>
      </c>
      <c r="Q60" s="380">
        <v>2</v>
      </c>
      <c r="R60" s="118">
        <v>0</v>
      </c>
      <c r="S60" s="118">
        <v>0</v>
      </c>
      <c r="T60" s="376">
        <v>0</v>
      </c>
      <c r="U60" s="376">
        <v>0</v>
      </c>
      <c r="V60" s="118">
        <v>0</v>
      </c>
      <c r="W60" s="118">
        <v>0</v>
      </c>
      <c r="X60" s="376">
        <v>0</v>
      </c>
      <c r="Y60" s="376">
        <v>0</v>
      </c>
      <c r="Z60" s="118">
        <v>0</v>
      </c>
      <c r="AA60" s="118">
        <v>0</v>
      </c>
      <c r="AB60" s="376">
        <v>0</v>
      </c>
      <c r="AC60" s="376">
        <v>0</v>
      </c>
      <c r="AD60" s="118" t="s">
        <v>544</v>
      </c>
      <c r="AE60" s="118">
        <f t="shared" si="4"/>
        <v>0</v>
      </c>
    </row>
    <row r="61" spans="1:31" x14ac:dyDescent="0.25">
      <c r="A61" s="57" t="s">
        <v>202</v>
      </c>
      <c r="B61" s="383" t="s">
        <v>145</v>
      </c>
      <c r="C61" s="118" t="s">
        <v>544</v>
      </c>
      <c r="D61" s="376">
        <v>0</v>
      </c>
      <c r="E61" s="118">
        <f t="shared" si="1"/>
        <v>0</v>
      </c>
      <c r="F61" s="118">
        <f t="shared" si="2"/>
        <v>0</v>
      </c>
      <c r="G61" s="118">
        <f t="shared" si="0"/>
        <v>0</v>
      </c>
      <c r="H61" s="118">
        <v>0</v>
      </c>
      <c r="I61" s="376">
        <v>0</v>
      </c>
      <c r="J61" s="384" t="s">
        <v>544</v>
      </c>
      <c r="K61" s="118" t="s">
        <v>544</v>
      </c>
      <c r="L61" s="376">
        <v>0</v>
      </c>
      <c r="M61" s="376">
        <v>0</v>
      </c>
      <c r="N61" s="118" t="s">
        <v>544</v>
      </c>
      <c r="O61" s="118" t="s">
        <v>544</v>
      </c>
      <c r="P61" s="376">
        <v>0</v>
      </c>
      <c r="Q61" s="380">
        <v>2</v>
      </c>
      <c r="R61" s="118">
        <v>0</v>
      </c>
      <c r="S61" s="118">
        <v>0</v>
      </c>
      <c r="T61" s="376">
        <v>0</v>
      </c>
      <c r="U61" s="376">
        <v>0</v>
      </c>
      <c r="V61" s="118">
        <v>0</v>
      </c>
      <c r="W61" s="118">
        <v>0</v>
      </c>
      <c r="X61" s="376">
        <v>0</v>
      </c>
      <c r="Y61" s="376">
        <v>0</v>
      </c>
      <c r="Z61" s="118">
        <v>0</v>
      </c>
      <c r="AA61" s="118">
        <v>0</v>
      </c>
      <c r="AB61" s="376">
        <v>0</v>
      </c>
      <c r="AC61" s="376">
        <v>0</v>
      </c>
      <c r="AD61" s="118" t="s">
        <v>544</v>
      </c>
      <c r="AE61" s="118">
        <f t="shared" si="4"/>
        <v>0</v>
      </c>
    </row>
    <row r="62" spans="1:31" x14ac:dyDescent="0.25">
      <c r="A62" s="57" t="s">
        <v>203</v>
      </c>
      <c r="B62" s="383" t="s">
        <v>143</v>
      </c>
      <c r="C62" s="118" t="s">
        <v>544</v>
      </c>
      <c r="D62" s="376">
        <v>0</v>
      </c>
      <c r="E62" s="118">
        <f t="shared" si="1"/>
        <v>0</v>
      </c>
      <c r="F62" s="118">
        <f t="shared" si="2"/>
        <v>0</v>
      </c>
      <c r="G62" s="118">
        <f t="shared" si="0"/>
        <v>0</v>
      </c>
      <c r="H62" s="118">
        <v>0</v>
      </c>
      <c r="I62" s="376">
        <v>0</v>
      </c>
      <c r="J62" s="384" t="s">
        <v>544</v>
      </c>
      <c r="K62" s="118" t="s">
        <v>544</v>
      </c>
      <c r="L62" s="376">
        <v>0</v>
      </c>
      <c r="M62" s="376">
        <v>0</v>
      </c>
      <c r="N62" s="118" t="s">
        <v>544</v>
      </c>
      <c r="O62" s="118" t="s">
        <v>544</v>
      </c>
      <c r="P62" s="376">
        <v>0</v>
      </c>
      <c r="Q62" s="380">
        <v>2</v>
      </c>
      <c r="R62" s="118">
        <v>0</v>
      </c>
      <c r="S62" s="118">
        <v>0</v>
      </c>
      <c r="T62" s="376">
        <v>0</v>
      </c>
      <c r="U62" s="376">
        <v>0</v>
      </c>
      <c r="V62" s="118">
        <v>0</v>
      </c>
      <c r="W62" s="118">
        <v>0</v>
      </c>
      <c r="X62" s="376">
        <v>0</v>
      </c>
      <c r="Y62" s="376">
        <v>0</v>
      </c>
      <c r="Z62" s="118">
        <v>0</v>
      </c>
      <c r="AA62" s="118">
        <v>0</v>
      </c>
      <c r="AB62" s="376">
        <v>0</v>
      </c>
      <c r="AC62" s="376">
        <v>0</v>
      </c>
      <c r="AD62" s="118" t="s">
        <v>544</v>
      </c>
      <c r="AE62" s="118">
        <f t="shared" si="4"/>
        <v>0</v>
      </c>
    </row>
    <row r="63" spans="1:31" x14ac:dyDescent="0.25">
      <c r="A63" s="57" t="s">
        <v>204</v>
      </c>
      <c r="B63" s="383" t="s">
        <v>206</v>
      </c>
      <c r="C63" s="118" t="s">
        <v>544</v>
      </c>
      <c r="D63" s="376">
        <v>0</v>
      </c>
      <c r="E63" s="118">
        <f t="shared" si="1"/>
        <v>0</v>
      </c>
      <c r="F63" s="118">
        <f t="shared" si="2"/>
        <v>0</v>
      </c>
      <c r="G63" s="118">
        <f t="shared" si="0"/>
        <v>0</v>
      </c>
      <c r="H63" s="118">
        <v>0</v>
      </c>
      <c r="I63" s="376">
        <v>0</v>
      </c>
      <c r="J63" s="384" t="s">
        <v>544</v>
      </c>
      <c r="K63" s="118" t="s">
        <v>544</v>
      </c>
      <c r="L63" s="376">
        <v>0</v>
      </c>
      <c r="M63" s="376">
        <v>0</v>
      </c>
      <c r="N63" s="118" t="s">
        <v>544</v>
      </c>
      <c r="O63" s="118" t="s">
        <v>544</v>
      </c>
      <c r="P63" s="376">
        <v>0</v>
      </c>
      <c r="Q63" s="380">
        <v>2</v>
      </c>
      <c r="R63" s="118">
        <v>0</v>
      </c>
      <c r="S63" s="118">
        <v>0</v>
      </c>
      <c r="T63" s="376">
        <v>0</v>
      </c>
      <c r="U63" s="376">
        <v>0</v>
      </c>
      <c r="V63" s="118">
        <v>0</v>
      </c>
      <c r="W63" s="118">
        <v>0</v>
      </c>
      <c r="X63" s="376">
        <v>0</v>
      </c>
      <c r="Y63" s="376">
        <v>0</v>
      </c>
      <c r="Z63" s="118">
        <v>0</v>
      </c>
      <c r="AA63" s="118">
        <v>0</v>
      </c>
      <c r="AB63" s="376">
        <v>0</v>
      </c>
      <c r="AC63" s="376">
        <v>0</v>
      </c>
      <c r="AD63" s="118" t="s">
        <v>544</v>
      </c>
      <c r="AE63" s="118">
        <f t="shared" si="4"/>
        <v>0</v>
      </c>
    </row>
    <row r="64" spans="1:31" ht="18.75" x14ac:dyDescent="0.25">
      <c r="A64" s="57" t="s">
        <v>205</v>
      </c>
      <c r="B64" s="381" t="s">
        <v>560</v>
      </c>
      <c r="C64" s="118" t="s">
        <v>544</v>
      </c>
      <c r="D64" s="376">
        <v>0</v>
      </c>
      <c r="E64" s="118">
        <f t="shared" si="1"/>
        <v>0</v>
      </c>
      <c r="F64" s="118">
        <f t="shared" si="2"/>
        <v>0</v>
      </c>
      <c r="G64" s="118">
        <f t="shared" si="0"/>
        <v>0</v>
      </c>
      <c r="H64" s="118">
        <v>0</v>
      </c>
      <c r="I64" s="376">
        <v>0</v>
      </c>
      <c r="J64" s="382" t="s">
        <v>544</v>
      </c>
      <c r="K64" s="118" t="s">
        <v>544</v>
      </c>
      <c r="L64" s="376">
        <v>0</v>
      </c>
      <c r="M64" s="376">
        <v>0</v>
      </c>
      <c r="N64" s="118" t="s">
        <v>544</v>
      </c>
      <c r="O64" s="118" t="s">
        <v>544</v>
      </c>
      <c r="P64" s="376">
        <v>0</v>
      </c>
      <c r="Q64" s="380">
        <v>2</v>
      </c>
      <c r="R64" s="118">
        <v>0</v>
      </c>
      <c r="S64" s="118">
        <v>0</v>
      </c>
      <c r="T64" s="376">
        <v>0</v>
      </c>
      <c r="U64" s="376">
        <v>0</v>
      </c>
      <c r="V64" s="118">
        <v>0</v>
      </c>
      <c r="W64" s="118">
        <v>0</v>
      </c>
      <c r="X64" s="376">
        <v>0</v>
      </c>
      <c r="Y64" s="376">
        <v>0</v>
      </c>
      <c r="Z64" s="118">
        <v>0</v>
      </c>
      <c r="AA64" s="118">
        <v>0</v>
      </c>
      <c r="AB64" s="376">
        <v>0</v>
      </c>
      <c r="AC64" s="376">
        <v>0</v>
      </c>
      <c r="AD64" s="118" t="s">
        <v>544</v>
      </c>
      <c r="AE64" s="118">
        <f t="shared" si="4"/>
        <v>0</v>
      </c>
    </row>
    <row r="65" spans="1:29" x14ac:dyDescent="0.25">
      <c r="A65" s="53"/>
      <c r="B65" s="54"/>
      <c r="C65" s="54"/>
      <c r="D65" s="54"/>
      <c r="E65" s="54"/>
      <c r="F65" s="54"/>
      <c r="G65" s="54"/>
      <c r="H65" s="54"/>
      <c r="I65" s="54"/>
    </row>
    <row r="66" spans="1:29" ht="54" customHeight="1" x14ac:dyDescent="0.25">
      <c r="B66" s="474"/>
      <c r="C66" s="474"/>
      <c r="D66" s="474"/>
      <c r="E66" s="474"/>
      <c r="F66" s="474"/>
      <c r="G66" s="474"/>
      <c r="H66" s="256"/>
      <c r="I66" s="256"/>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75"/>
      <c r="C68" s="475"/>
      <c r="D68" s="475"/>
      <c r="E68" s="475"/>
      <c r="F68" s="475"/>
      <c r="G68" s="475"/>
      <c r="H68" s="257"/>
      <c r="I68" s="257"/>
    </row>
    <row r="70" spans="1:29" ht="36.75" customHeight="1" x14ac:dyDescent="0.25">
      <c r="B70" s="474"/>
      <c r="C70" s="474"/>
      <c r="D70" s="474"/>
      <c r="E70" s="474"/>
      <c r="F70" s="474"/>
      <c r="G70" s="474"/>
      <c r="H70" s="256"/>
      <c r="I70" s="256"/>
    </row>
    <row r="71" spans="1:29" x14ac:dyDescent="0.25">
      <c r="B71" s="51"/>
      <c r="C71" s="51"/>
      <c r="D71" s="51"/>
      <c r="E71" s="51"/>
      <c r="F71" s="51"/>
    </row>
    <row r="72" spans="1:29" ht="51" customHeight="1" x14ac:dyDescent="0.25">
      <c r="B72" s="474"/>
      <c r="C72" s="474"/>
      <c r="D72" s="474"/>
      <c r="E72" s="474"/>
      <c r="F72" s="474"/>
      <c r="G72" s="474"/>
      <c r="H72" s="256"/>
      <c r="I72" s="256"/>
    </row>
    <row r="73" spans="1:29" ht="32.25" customHeight="1" x14ac:dyDescent="0.25">
      <c r="B73" s="475"/>
      <c r="C73" s="475"/>
      <c r="D73" s="475"/>
      <c r="E73" s="475"/>
      <c r="F73" s="475"/>
      <c r="G73" s="475"/>
      <c r="H73" s="257"/>
      <c r="I73" s="257"/>
    </row>
    <row r="74" spans="1:29" ht="51.75" customHeight="1" x14ac:dyDescent="0.25">
      <c r="B74" s="474"/>
      <c r="C74" s="474"/>
      <c r="D74" s="474"/>
      <c r="E74" s="474"/>
      <c r="F74" s="474"/>
      <c r="G74" s="474"/>
      <c r="H74" s="256"/>
      <c r="I74" s="256"/>
    </row>
    <row r="75" spans="1:29" ht="21.75" customHeight="1" x14ac:dyDescent="0.25">
      <c r="B75" s="481"/>
      <c r="C75" s="481"/>
      <c r="D75" s="481"/>
      <c r="E75" s="481"/>
      <c r="F75" s="481"/>
      <c r="G75" s="481"/>
      <c r="H75" s="258"/>
      <c r="I75" s="258"/>
    </row>
    <row r="76" spans="1:29" ht="23.25" customHeight="1" x14ac:dyDescent="0.25">
      <c r="B76" s="46"/>
      <c r="C76" s="46"/>
      <c r="D76" s="46"/>
      <c r="E76" s="46"/>
      <c r="F76" s="46"/>
    </row>
    <row r="77" spans="1:29" ht="18.75" customHeight="1" x14ac:dyDescent="0.25">
      <c r="B77" s="473"/>
      <c r="C77" s="473"/>
      <c r="D77" s="473"/>
      <c r="E77" s="473"/>
      <c r="F77" s="473"/>
      <c r="G77" s="473"/>
      <c r="H77" s="255"/>
      <c r="I77" s="255"/>
    </row>
  </sheetData>
  <mergeCells count="35">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M25:M64 J24:O24 Q24:Q34">
    <cfRule type="cellIs" dxfId="12" priority="52" operator="greaterThan">
      <formula>0</formula>
    </cfRule>
  </conditionalFormatting>
  <conditionalFormatting sqref="M25:M64 E24:E64 J38:M64 J25:L37 J24:O24 Q24:Q34">
    <cfRule type="cellIs" dxfId="11" priority="48" operator="notEqual">
      <formula>0</formula>
    </cfRule>
  </conditionalFormatting>
  <conditionalFormatting sqref="N25:O29 N30:P34 N35:Q64">
    <cfRule type="cellIs" dxfId="10" priority="39" operator="notEqual">
      <formula>0</formula>
    </cfRule>
  </conditionalFormatting>
  <conditionalFormatting sqref="F24:F64">
    <cfRule type="cellIs" dxfId="9" priority="24" operator="notEqual">
      <formula>0</formula>
    </cfRule>
  </conditionalFormatting>
  <conditionalFormatting sqref="G24:G64">
    <cfRule type="cellIs" dxfId="8" priority="23" operator="notEqual">
      <formula>0</formula>
    </cfRule>
  </conditionalFormatting>
  <conditionalFormatting sqref="H25:I64">
    <cfRule type="cellIs" dxfId="7" priority="16" operator="notEqual">
      <formula>0</formula>
    </cfRule>
  </conditionalFormatting>
  <conditionalFormatting sqref="C24:D64">
    <cfRule type="cellIs" dxfId="6" priority="13" operator="greaterThan">
      <formula>0</formula>
    </cfRule>
  </conditionalFormatting>
  <conditionalFormatting sqref="C24:D64">
    <cfRule type="cellIs" dxfId="5" priority="12" operator="notEqual">
      <formula>0</formula>
    </cfRule>
  </conditionalFormatting>
  <conditionalFormatting sqref="H24:I24">
    <cfRule type="cellIs" dxfId="4" priority="11" operator="greaterThan">
      <formula>0</formula>
    </cfRule>
  </conditionalFormatting>
  <conditionalFormatting sqref="H24:I24">
    <cfRule type="cellIs" dxfId="3" priority="10" operator="notEqual">
      <formula>0</formula>
    </cfRule>
  </conditionalFormatting>
  <conditionalFormatting sqref="AD24:AD64">
    <cfRule type="cellIs" dxfId="2" priority="3" operator="notEqual">
      <formula>0</formula>
    </cfRule>
  </conditionalFormatting>
  <conditionalFormatting sqref="AE24:AE64">
    <cfRule type="cellIs" dxfId="1" priority="2" operator="notEqual">
      <formula>0</formula>
    </cfRule>
  </conditionalFormatting>
  <conditionalFormatting sqref="P24:P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3" zoomScale="70" zoomScaleSheetLayoutView="70" workbookViewId="0">
      <selection activeCell="A15" sqref="A15:AV15"/>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88" t="str">
        <f>'1. паспорт местоположение'!A5:C5</f>
        <v>Год раскрытия информации: 2021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75" x14ac:dyDescent="0.3">
      <c r="AV6" s="14"/>
    </row>
    <row r="7" spans="1:48" ht="18.75" x14ac:dyDescent="0.25">
      <c r="A7" s="397" t="s">
        <v>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ht="15.75" x14ac:dyDescent="0.25">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401" t="s">
        <v>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ht="15.75" x14ac:dyDescent="0.25">
      <c r="A12" s="395" t="str">
        <f>'1. паспорт местоположение'!A12:C12</f>
        <v>J  19-01</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401" t="s">
        <v>5</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ht="15.75" x14ac:dyDescent="0.25">
      <c r="A15"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401" t="s">
        <v>4</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181"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181" customFormat="1" x14ac:dyDescent="0.25">
      <c r="A21" s="518" t="s">
        <v>406</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81" customFormat="1" ht="58.5" customHeight="1" x14ac:dyDescent="0.25">
      <c r="A22" s="519" t="s">
        <v>50</v>
      </c>
      <c r="B22" s="523" t="s">
        <v>22</v>
      </c>
      <c r="C22" s="509" t="s">
        <v>49</v>
      </c>
      <c r="D22" s="509" t="s">
        <v>48</v>
      </c>
      <c r="E22" s="526" t="s">
        <v>416</v>
      </c>
      <c r="F22" s="527"/>
      <c r="G22" s="527"/>
      <c r="H22" s="527"/>
      <c r="I22" s="527"/>
      <c r="J22" s="527"/>
      <c r="K22" s="527"/>
      <c r="L22" s="528"/>
      <c r="M22" s="509" t="s">
        <v>47</v>
      </c>
      <c r="N22" s="509" t="s">
        <v>46</v>
      </c>
      <c r="O22" s="509" t="s">
        <v>45</v>
      </c>
      <c r="P22" s="504" t="s">
        <v>228</v>
      </c>
      <c r="Q22" s="504" t="s">
        <v>44</v>
      </c>
      <c r="R22" s="504" t="s">
        <v>43</v>
      </c>
      <c r="S22" s="504" t="s">
        <v>42</v>
      </c>
      <c r="T22" s="504"/>
      <c r="U22" s="529" t="s">
        <v>41</v>
      </c>
      <c r="V22" s="529" t="s">
        <v>40</v>
      </c>
      <c r="W22" s="504" t="s">
        <v>39</v>
      </c>
      <c r="X22" s="504" t="s">
        <v>38</v>
      </c>
      <c r="Y22" s="504" t="s">
        <v>37</v>
      </c>
      <c r="Z22" s="511" t="s">
        <v>36</v>
      </c>
      <c r="AA22" s="504" t="s">
        <v>35</v>
      </c>
      <c r="AB22" s="504" t="s">
        <v>34</v>
      </c>
      <c r="AC22" s="504" t="s">
        <v>33</v>
      </c>
      <c r="AD22" s="504" t="s">
        <v>32</v>
      </c>
      <c r="AE22" s="504" t="s">
        <v>31</v>
      </c>
      <c r="AF22" s="504" t="s">
        <v>30</v>
      </c>
      <c r="AG22" s="504"/>
      <c r="AH22" s="504"/>
      <c r="AI22" s="504"/>
      <c r="AJ22" s="504"/>
      <c r="AK22" s="504"/>
      <c r="AL22" s="504" t="s">
        <v>29</v>
      </c>
      <c r="AM22" s="504"/>
      <c r="AN22" s="504"/>
      <c r="AO22" s="504"/>
      <c r="AP22" s="504" t="s">
        <v>28</v>
      </c>
      <c r="AQ22" s="504"/>
      <c r="AR22" s="504" t="s">
        <v>27</v>
      </c>
      <c r="AS22" s="504" t="s">
        <v>26</v>
      </c>
      <c r="AT22" s="504" t="s">
        <v>25</v>
      </c>
      <c r="AU22" s="504" t="s">
        <v>24</v>
      </c>
      <c r="AV22" s="512" t="s">
        <v>23</v>
      </c>
    </row>
    <row r="23" spans="1:48" s="181" customFormat="1" ht="64.5" customHeight="1" x14ac:dyDescent="0.25">
      <c r="A23" s="520"/>
      <c r="B23" s="524"/>
      <c r="C23" s="522"/>
      <c r="D23" s="522"/>
      <c r="E23" s="514" t="s">
        <v>21</v>
      </c>
      <c r="F23" s="505" t="s">
        <v>126</v>
      </c>
      <c r="G23" s="505" t="s">
        <v>125</v>
      </c>
      <c r="H23" s="505" t="s">
        <v>124</v>
      </c>
      <c r="I23" s="507" t="s">
        <v>354</v>
      </c>
      <c r="J23" s="507" t="s">
        <v>355</v>
      </c>
      <c r="K23" s="507" t="s">
        <v>356</v>
      </c>
      <c r="L23" s="505" t="s">
        <v>74</v>
      </c>
      <c r="M23" s="522"/>
      <c r="N23" s="522"/>
      <c r="O23" s="522"/>
      <c r="P23" s="504"/>
      <c r="Q23" s="504"/>
      <c r="R23" s="504"/>
      <c r="S23" s="516" t="s">
        <v>2</v>
      </c>
      <c r="T23" s="516" t="s">
        <v>9</v>
      </c>
      <c r="U23" s="529"/>
      <c r="V23" s="529"/>
      <c r="W23" s="504"/>
      <c r="X23" s="504"/>
      <c r="Y23" s="504"/>
      <c r="Z23" s="504"/>
      <c r="AA23" s="504"/>
      <c r="AB23" s="504"/>
      <c r="AC23" s="504"/>
      <c r="AD23" s="504"/>
      <c r="AE23" s="504"/>
      <c r="AF23" s="504" t="s">
        <v>20</v>
      </c>
      <c r="AG23" s="504"/>
      <c r="AH23" s="504" t="s">
        <v>19</v>
      </c>
      <c r="AI23" s="504"/>
      <c r="AJ23" s="509" t="s">
        <v>18</v>
      </c>
      <c r="AK23" s="509" t="s">
        <v>17</v>
      </c>
      <c r="AL23" s="509" t="s">
        <v>16</v>
      </c>
      <c r="AM23" s="509" t="s">
        <v>15</v>
      </c>
      <c r="AN23" s="509" t="s">
        <v>14</v>
      </c>
      <c r="AO23" s="509" t="s">
        <v>13</v>
      </c>
      <c r="AP23" s="509" t="s">
        <v>12</v>
      </c>
      <c r="AQ23" s="530" t="s">
        <v>9</v>
      </c>
      <c r="AR23" s="504"/>
      <c r="AS23" s="504"/>
      <c r="AT23" s="504"/>
      <c r="AU23" s="504"/>
      <c r="AV23" s="513"/>
    </row>
    <row r="24" spans="1:48" s="181" customFormat="1" ht="96.75" customHeight="1" x14ac:dyDescent="0.25">
      <c r="A24" s="521"/>
      <c r="B24" s="525"/>
      <c r="C24" s="510"/>
      <c r="D24" s="510"/>
      <c r="E24" s="515"/>
      <c r="F24" s="506"/>
      <c r="G24" s="506"/>
      <c r="H24" s="506"/>
      <c r="I24" s="508"/>
      <c r="J24" s="508"/>
      <c r="K24" s="508"/>
      <c r="L24" s="506"/>
      <c r="M24" s="510"/>
      <c r="N24" s="510"/>
      <c r="O24" s="510"/>
      <c r="P24" s="504"/>
      <c r="Q24" s="504"/>
      <c r="R24" s="504"/>
      <c r="S24" s="517"/>
      <c r="T24" s="517"/>
      <c r="U24" s="529"/>
      <c r="V24" s="529"/>
      <c r="W24" s="504"/>
      <c r="X24" s="504"/>
      <c r="Y24" s="504"/>
      <c r="Z24" s="504"/>
      <c r="AA24" s="504"/>
      <c r="AB24" s="504"/>
      <c r="AC24" s="504"/>
      <c r="AD24" s="504"/>
      <c r="AE24" s="504"/>
      <c r="AF24" s="182" t="s">
        <v>11</v>
      </c>
      <c r="AG24" s="182" t="s">
        <v>10</v>
      </c>
      <c r="AH24" s="183" t="s">
        <v>2</v>
      </c>
      <c r="AI24" s="183" t="s">
        <v>9</v>
      </c>
      <c r="AJ24" s="510"/>
      <c r="AK24" s="510"/>
      <c r="AL24" s="510"/>
      <c r="AM24" s="510"/>
      <c r="AN24" s="510"/>
      <c r="AO24" s="510"/>
      <c r="AP24" s="510"/>
      <c r="AQ24" s="531"/>
      <c r="AR24" s="504"/>
      <c r="AS24" s="504"/>
      <c r="AT24" s="504"/>
      <c r="AU24" s="504"/>
      <c r="AV24" s="513"/>
    </row>
    <row r="25" spans="1:48" s="186" customFormat="1" ht="11.25" x14ac:dyDescent="0.2">
      <c r="A25" s="184">
        <v>1</v>
      </c>
      <c r="B25" s="185">
        <v>2</v>
      </c>
      <c r="C25" s="185">
        <v>4</v>
      </c>
      <c r="D25" s="185">
        <v>5</v>
      </c>
      <c r="E25" s="185">
        <v>6</v>
      </c>
      <c r="F25" s="185">
        <f t="shared" ref="F25:AV25" si="0">E25+1</f>
        <v>7</v>
      </c>
      <c r="G25" s="185">
        <f t="shared" si="0"/>
        <v>8</v>
      </c>
      <c r="H25" s="185">
        <f t="shared" si="0"/>
        <v>9</v>
      </c>
      <c r="I25" s="185">
        <f t="shared" si="0"/>
        <v>10</v>
      </c>
      <c r="J25" s="185">
        <f t="shared" si="0"/>
        <v>11</v>
      </c>
      <c r="K25" s="185">
        <f t="shared" si="0"/>
        <v>12</v>
      </c>
      <c r="L25" s="185">
        <f t="shared" si="0"/>
        <v>13</v>
      </c>
      <c r="M25" s="185">
        <f t="shared" si="0"/>
        <v>14</v>
      </c>
      <c r="N25" s="185">
        <f t="shared" si="0"/>
        <v>15</v>
      </c>
      <c r="O25" s="185">
        <f t="shared" si="0"/>
        <v>16</v>
      </c>
      <c r="P25" s="185">
        <f t="shared" si="0"/>
        <v>17</v>
      </c>
      <c r="Q25" s="185">
        <f t="shared" si="0"/>
        <v>18</v>
      </c>
      <c r="R25" s="185">
        <f t="shared" si="0"/>
        <v>19</v>
      </c>
      <c r="S25" s="185">
        <f t="shared" si="0"/>
        <v>20</v>
      </c>
      <c r="T25" s="185">
        <f t="shared" si="0"/>
        <v>21</v>
      </c>
      <c r="U25" s="185">
        <f t="shared" si="0"/>
        <v>22</v>
      </c>
      <c r="V25" s="185">
        <f t="shared" si="0"/>
        <v>23</v>
      </c>
      <c r="W25" s="185">
        <f t="shared" si="0"/>
        <v>24</v>
      </c>
      <c r="X25" s="185">
        <f t="shared" si="0"/>
        <v>25</v>
      </c>
      <c r="Y25" s="185">
        <f t="shared" si="0"/>
        <v>26</v>
      </c>
      <c r="Z25" s="185">
        <f t="shared" si="0"/>
        <v>27</v>
      </c>
      <c r="AA25" s="185">
        <f t="shared" si="0"/>
        <v>28</v>
      </c>
      <c r="AB25" s="185">
        <f t="shared" si="0"/>
        <v>29</v>
      </c>
      <c r="AC25" s="185">
        <f t="shared" si="0"/>
        <v>30</v>
      </c>
      <c r="AD25" s="185">
        <f t="shared" si="0"/>
        <v>31</v>
      </c>
      <c r="AE25" s="185">
        <f t="shared" si="0"/>
        <v>32</v>
      </c>
      <c r="AF25" s="185">
        <f t="shared" si="0"/>
        <v>33</v>
      </c>
      <c r="AG25" s="185">
        <f t="shared" si="0"/>
        <v>34</v>
      </c>
      <c r="AH25" s="185">
        <f t="shared" si="0"/>
        <v>35</v>
      </c>
      <c r="AI25" s="185">
        <f t="shared" si="0"/>
        <v>36</v>
      </c>
      <c r="AJ25" s="185">
        <f t="shared" si="0"/>
        <v>37</v>
      </c>
      <c r="AK25" s="185">
        <f t="shared" si="0"/>
        <v>38</v>
      </c>
      <c r="AL25" s="185">
        <f t="shared" si="0"/>
        <v>39</v>
      </c>
      <c r="AM25" s="185">
        <f t="shared" si="0"/>
        <v>40</v>
      </c>
      <c r="AN25" s="185">
        <f t="shared" si="0"/>
        <v>41</v>
      </c>
      <c r="AO25" s="185">
        <f t="shared" si="0"/>
        <v>42</v>
      </c>
      <c r="AP25" s="185">
        <f t="shared" si="0"/>
        <v>43</v>
      </c>
      <c r="AQ25" s="185">
        <f t="shared" si="0"/>
        <v>44</v>
      </c>
      <c r="AR25" s="185">
        <f t="shared" si="0"/>
        <v>45</v>
      </c>
      <c r="AS25" s="185">
        <f t="shared" si="0"/>
        <v>46</v>
      </c>
      <c r="AT25" s="185">
        <f t="shared" si="0"/>
        <v>47</v>
      </c>
      <c r="AU25" s="185">
        <f t="shared" si="0"/>
        <v>48</v>
      </c>
      <c r="AV25" s="185">
        <f t="shared" si="0"/>
        <v>49</v>
      </c>
    </row>
    <row r="26" spans="1:48" s="194" customFormat="1" ht="63" x14ac:dyDescent="0.25">
      <c r="A26" s="187">
        <v>1</v>
      </c>
      <c r="B26" s="188" t="str">
        <f>A9</f>
        <v xml:space="preserve">Акционерное общество "Западная энергетическая компания" </v>
      </c>
      <c r="C26" s="188" t="s">
        <v>62</v>
      </c>
      <c r="D26" s="204" t="s">
        <v>544</v>
      </c>
      <c r="E26" s="188"/>
      <c r="F26" s="188"/>
      <c r="G26" s="188">
        <f>'3.1. паспорт Техсостояние ПС'!O25</f>
        <v>32</v>
      </c>
      <c r="H26" s="188"/>
      <c r="I26" s="188"/>
      <c r="J26" s="188">
        <v>5.6660000000000004</v>
      </c>
      <c r="K26" s="188">
        <v>1.85</v>
      </c>
      <c r="L26" s="188"/>
      <c r="M26" s="188" t="s">
        <v>535</v>
      </c>
      <c r="N26" s="188" t="s">
        <v>579</v>
      </c>
      <c r="O26" s="189" t="str">
        <f>B26</f>
        <v xml:space="preserve">Акционерное общество "Западная энергетическая компания" </v>
      </c>
      <c r="P26" s="190"/>
      <c r="Q26" s="188"/>
      <c r="R26" s="190"/>
      <c r="S26" s="189"/>
      <c r="T26" s="189"/>
      <c r="U26" s="189"/>
      <c r="V26" s="189"/>
      <c r="W26" s="189"/>
      <c r="X26" s="189"/>
      <c r="Y26" s="189"/>
      <c r="Z26" s="189"/>
      <c r="AA26" s="189"/>
      <c r="AB26" s="189"/>
      <c r="AC26" s="189"/>
      <c r="AD26" s="188"/>
      <c r="AE26" s="188"/>
      <c r="AF26" s="191"/>
      <c r="AG26" s="192"/>
      <c r="AH26" s="193"/>
      <c r="AI26" s="193"/>
      <c r="AJ26" s="193"/>
      <c r="AK26" s="193"/>
      <c r="AL26" s="188"/>
      <c r="AM26" s="188"/>
      <c r="AN26" s="188"/>
      <c r="AO26" s="188"/>
      <c r="AP26" s="226"/>
      <c r="AQ26" s="226"/>
      <c r="AR26" s="226"/>
      <c r="AS26" s="226"/>
      <c r="AT26" s="226"/>
      <c r="AU26" s="188"/>
      <c r="AV26" s="18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33" sqref="B33"/>
    </sheetView>
  </sheetViews>
  <sheetFormatPr defaultRowHeight="15.75" x14ac:dyDescent="0.25"/>
  <cols>
    <col min="1" max="2" width="66.140625" style="75"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7" t="str">
        <f>'1. паспорт местоположение'!A5:C5</f>
        <v>Год раскрытия информации: 2021 год</v>
      </c>
      <c r="B5" s="537"/>
      <c r="C5" s="68"/>
      <c r="D5" s="68"/>
      <c r="E5" s="68"/>
      <c r="F5" s="68"/>
      <c r="G5" s="68"/>
      <c r="H5" s="68"/>
    </row>
    <row r="6" spans="1:8" ht="18.75" x14ac:dyDescent="0.3">
      <c r="A6" s="101"/>
      <c r="B6" s="101"/>
      <c r="C6" s="101"/>
      <c r="D6" s="101"/>
      <c r="E6" s="101"/>
      <c r="F6" s="101"/>
      <c r="G6" s="101"/>
      <c r="H6" s="101"/>
    </row>
    <row r="7" spans="1:8" ht="18.75" x14ac:dyDescent="0.25">
      <c r="A7" s="397" t="s">
        <v>7</v>
      </c>
      <c r="B7" s="397"/>
      <c r="C7" s="139"/>
      <c r="D7" s="139"/>
      <c r="E7" s="139"/>
      <c r="F7" s="139"/>
      <c r="G7" s="139"/>
      <c r="H7" s="139"/>
    </row>
    <row r="8" spans="1:8" ht="18.75" x14ac:dyDescent="0.25">
      <c r="A8" s="139"/>
      <c r="B8" s="139"/>
      <c r="C8" s="139"/>
      <c r="D8" s="139"/>
      <c r="E8" s="139"/>
      <c r="F8" s="139"/>
      <c r="G8" s="139"/>
      <c r="H8" s="139"/>
    </row>
    <row r="9" spans="1:8" x14ac:dyDescent="0.25">
      <c r="A9" s="395" t="str">
        <f>'1. паспорт местоположение'!A9:C9</f>
        <v xml:space="preserve">Акционерное общество "Западная энергетическая компания" </v>
      </c>
      <c r="B9" s="395"/>
      <c r="C9" s="141"/>
      <c r="D9" s="141"/>
      <c r="E9" s="141"/>
      <c r="F9" s="141"/>
      <c r="G9" s="141"/>
      <c r="H9" s="141"/>
    </row>
    <row r="10" spans="1:8" x14ac:dyDescent="0.25">
      <c r="A10" s="401" t="s">
        <v>6</v>
      </c>
      <c r="B10" s="401"/>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395" t="str">
        <f>'1. паспорт местоположение'!A12:C12</f>
        <v>J  19-01</v>
      </c>
      <c r="B12" s="395"/>
      <c r="C12" s="141"/>
      <c r="D12" s="141"/>
      <c r="E12" s="141"/>
      <c r="F12" s="141"/>
      <c r="G12" s="141"/>
      <c r="H12" s="141"/>
    </row>
    <row r="13" spans="1:8" x14ac:dyDescent="0.25">
      <c r="A13" s="401" t="s">
        <v>5</v>
      </c>
      <c r="B13" s="401"/>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32"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2"/>
      <c r="C15" s="141"/>
      <c r="D15" s="141"/>
      <c r="E15" s="141"/>
      <c r="F15" s="141"/>
      <c r="G15" s="141"/>
      <c r="H15" s="141"/>
    </row>
    <row r="16" spans="1:8" x14ac:dyDescent="0.25">
      <c r="A16" s="401" t="s">
        <v>4</v>
      </c>
      <c r="B16" s="401"/>
      <c r="C16" s="142"/>
      <c r="D16" s="142"/>
      <c r="E16" s="142"/>
      <c r="F16" s="142"/>
      <c r="G16" s="142"/>
      <c r="H16" s="142"/>
    </row>
    <row r="17" spans="1:2" x14ac:dyDescent="0.25">
      <c r="B17" s="76"/>
    </row>
    <row r="18" spans="1:2" ht="33.75" customHeight="1" x14ac:dyDescent="0.25">
      <c r="A18" s="532" t="s">
        <v>407</v>
      </c>
      <c r="B18" s="533"/>
    </row>
    <row r="19" spans="1:2" x14ac:dyDescent="0.25">
      <c r="B19" s="32"/>
    </row>
    <row r="20" spans="1:2" ht="16.5" thickBot="1" x14ac:dyDescent="0.3">
      <c r="B20" s="77"/>
    </row>
    <row r="21" spans="1:2" ht="65.25" customHeight="1" thickBot="1" x14ac:dyDescent="0.3">
      <c r="A21" s="78" t="s">
        <v>305</v>
      </c>
      <c r="B21" s="130"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78" t="s">
        <v>306</v>
      </c>
      <c r="B22" s="236" t="str">
        <f>'1. паспорт местоположение'!C27</f>
        <v> Зеленоградский городской округ.</v>
      </c>
    </row>
    <row r="23" spans="1:2" ht="16.5" thickBot="1" x14ac:dyDescent="0.3">
      <c r="A23" s="78" t="s">
        <v>289</v>
      </c>
      <c r="B23" s="80" t="s">
        <v>550</v>
      </c>
    </row>
    <row r="24" spans="1:2" ht="16.5" thickBot="1" x14ac:dyDescent="0.3">
      <c r="A24" s="78" t="s">
        <v>307</v>
      </c>
      <c r="B24" s="80" t="s">
        <v>580</v>
      </c>
    </row>
    <row r="25" spans="1:2" ht="16.5" thickBot="1" x14ac:dyDescent="0.3">
      <c r="A25" s="81" t="s">
        <v>308</v>
      </c>
      <c r="B25" s="79">
        <v>2021</v>
      </c>
    </row>
    <row r="26" spans="1:2" ht="16.5" thickBot="1" x14ac:dyDescent="0.3">
      <c r="A26" s="82" t="s">
        <v>309</v>
      </c>
      <c r="B26" s="128" t="s">
        <v>612</v>
      </c>
    </row>
    <row r="27" spans="1:2" ht="29.25" thickBot="1" x14ac:dyDescent="0.3">
      <c r="A27" s="89" t="s">
        <v>611</v>
      </c>
      <c r="B27" s="129">
        <f>'6.2. Паспорт фин осв ввод'!D24</f>
        <v>414.924959</v>
      </c>
    </row>
    <row r="28" spans="1:2" ht="42" customHeight="1" thickBot="1" x14ac:dyDescent="0.3">
      <c r="A28" s="84" t="s">
        <v>310</v>
      </c>
      <c r="B28" s="84" t="s">
        <v>581</v>
      </c>
    </row>
    <row r="29" spans="1:2" ht="29.25" thickBot="1" x14ac:dyDescent="0.3">
      <c r="A29" s="90" t="s">
        <v>311</v>
      </c>
      <c r="B29" s="129"/>
    </row>
    <row r="30" spans="1:2" ht="29.25" thickBot="1" x14ac:dyDescent="0.3">
      <c r="A30" s="90" t="s">
        <v>312</v>
      </c>
      <c r="B30" s="129">
        <f>SUM(B32,B53,B90)</f>
        <v>217.56010490000003</v>
      </c>
    </row>
    <row r="31" spans="1:2" ht="16.5" thickBot="1" x14ac:dyDescent="0.3">
      <c r="A31" s="84" t="s">
        <v>313</v>
      </c>
      <c r="B31" s="129"/>
    </row>
    <row r="32" spans="1:2" ht="29.25" thickBot="1" x14ac:dyDescent="0.3">
      <c r="A32" s="90" t="s">
        <v>314</v>
      </c>
      <c r="B32" s="108">
        <f xml:space="preserve"> SUMIF(C33:C52, 10,B33:B52)</f>
        <v>106.57003660000001</v>
      </c>
    </row>
    <row r="33" spans="1:3" s="195" customFormat="1" ht="30.75" thickBot="1" x14ac:dyDescent="0.3">
      <c r="A33" s="202" t="s">
        <v>622</v>
      </c>
      <c r="B33" s="248">
        <f>7.4078266+94.65891</f>
        <v>102.06673660000001</v>
      </c>
      <c r="C33" s="195">
        <v>10</v>
      </c>
    </row>
    <row r="34" spans="1:3" ht="16.5" thickBot="1" x14ac:dyDescent="0.3">
      <c r="A34" s="84" t="s">
        <v>316</v>
      </c>
      <c r="B34" s="111">
        <f>B33/$B$27</f>
        <v>0.2459884236561436</v>
      </c>
    </row>
    <row r="35" spans="1:3" ht="16.5" thickBot="1" x14ac:dyDescent="0.3">
      <c r="A35" s="84" t="s">
        <v>317</v>
      </c>
      <c r="B35" s="249">
        <v>102.06673660000001</v>
      </c>
      <c r="C35" s="44">
        <v>1</v>
      </c>
    </row>
    <row r="36" spans="1:3" ht="16.5" thickBot="1" x14ac:dyDescent="0.3">
      <c r="A36" s="84" t="s">
        <v>318</v>
      </c>
      <c r="B36" s="129">
        <v>102.06673660000001</v>
      </c>
      <c r="C36" s="44">
        <v>2</v>
      </c>
    </row>
    <row r="37" spans="1:3" s="195" customFormat="1" ht="30.75" thickBot="1" x14ac:dyDescent="0.3">
      <c r="A37" s="109" t="s">
        <v>634</v>
      </c>
      <c r="B37" s="110">
        <f>1.1837664+3.3195336</f>
        <v>4.5033000000000003</v>
      </c>
      <c r="C37" s="195">
        <v>10</v>
      </c>
    </row>
    <row r="38" spans="1:3" ht="16.5" thickBot="1" x14ac:dyDescent="0.3">
      <c r="A38" s="84" t="s">
        <v>316</v>
      </c>
      <c r="B38" s="111" t="s">
        <v>544</v>
      </c>
    </row>
    <row r="39" spans="1:3" ht="16.5" thickBot="1" x14ac:dyDescent="0.3">
      <c r="A39" s="84" t="s">
        <v>317</v>
      </c>
      <c r="B39" s="108">
        <v>4.5033000000000003</v>
      </c>
      <c r="C39" s="44">
        <v>1</v>
      </c>
    </row>
    <row r="40" spans="1:3" ht="16.5" thickBot="1" x14ac:dyDescent="0.3">
      <c r="A40" s="84" t="s">
        <v>318</v>
      </c>
      <c r="B40" s="108">
        <v>4.5033000000000003</v>
      </c>
      <c r="C40" s="44">
        <v>2</v>
      </c>
    </row>
    <row r="41" spans="1:3" ht="16.5" thickBot="1" x14ac:dyDescent="0.3">
      <c r="A41" s="109" t="s">
        <v>315</v>
      </c>
      <c r="B41" s="110"/>
      <c r="C41" s="195">
        <v>10</v>
      </c>
    </row>
    <row r="42" spans="1:3" ht="16.5" thickBot="1" x14ac:dyDescent="0.3">
      <c r="A42" s="84" t="s">
        <v>316</v>
      </c>
      <c r="B42" s="111" t="s">
        <v>544</v>
      </c>
    </row>
    <row r="43" spans="1:3" ht="16.5" thickBot="1" x14ac:dyDescent="0.3">
      <c r="A43" s="84" t="s">
        <v>317</v>
      </c>
      <c r="B43" s="108"/>
      <c r="C43" s="44">
        <v>1</v>
      </c>
    </row>
    <row r="44" spans="1:3" ht="16.5" thickBot="1" x14ac:dyDescent="0.3">
      <c r="A44" s="84" t="s">
        <v>318</v>
      </c>
      <c r="B44" s="108"/>
      <c r="C44" s="44">
        <v>2</v>
      </c>
    </row>
    <row r="45" spans="1:3" ht="16.5" thickBot="1" x14ac:dyDescent="0.3">
      <c r="A45" s="109" t="s">
        <v>315</v>
      </c>
      <c r="B45" s="110"/>
      <c r="C45" s="195">
        <v>10</v>
      </c>
    </row>
    <row r="46" spans="1:3" ht="16.5" thickBot="1" x14ac:dyDescent="0.3">
      <c r="A46" s="84" t="s">
        <v>316</v>
      </c>
      <c r="B46" s="111" t="s">
        <v>544</v>
      </c>
    </row>
    <row r="47" spans="1:3" ht="16.5" thickBot="1" x14ac:dyDescent="0.3">
      <c r="A47" s="84" t="s">
        <v>317</v>
      </c>
      <c r="B47" s="108"/>
      <c r="C47" s="44">
        <v>1</v>
      </c>
    </row>
    <row r="48" spans="1:3" ht="16.5" thickBot="1" x14ac:dyDescent="0.3">
      <c r="A48" s="84" t="s">
        <v>318</v>
      </c>
      <c r="B48" s="108"/>
      <c r="C48" s="44">
        <v>2</v>
      </c>
    </row>
    <row r="49" spans="1:3" ht="16.5" thickBot="1" x14ac:dyDescent="0.3">
      <c r="A49" s="109" t="s">
        <v>315</v>
      </c>
      <c r="B49" s="110"/>
      <c r="C49" s="195">
        <v>10</v>
      </c>
    </row>
    <row r="50" spans="1:3" ht="16.5" thickBot="1" x14ac:dyDescent="0.3">
      <c r="A50" s="84" t="s">
        <v>316</v>
      </c>
      <c r="B50" s="111" t="s">
        <v>544</v>
      </c>
    </row>
    <row r="51" spans="1:3" ht="16.5" thickBot="1" x14ac:dyDescent="0.3">
      <c r="A51" s="84" t="s">
        <v>317</v>
      </c>
      <c r="B51" s="108"/>
      <c r="C51" s="44">
        <v>1</v>
      </c>
    </row>
    <row r="52" spans="1:3" ht="16.5" thickBot="1" x14ac:dyDescent="0.3">
      <c r="A52" s="84" t="s">
        <v>318</v>
      </c>
      <c r="B52" s="108"/>
      <c r="C52" s="44">
        <v>2</v>
      </c>
    </row>
    <row r="53" spans="1:3" ht="29.25" thickBot="1" x14ac:dyDescent="0.3">
      <c r="A53" s="90" t="s">
        <v>319</v>
      </c>
      <c r="B53" s="108">
        <f xml:space="preserve"> SUMIF(C54:C89, 20,B54:B89)</f>
        <v>110.99006830000002</v>
      </c>
    </row>
    <row r="54" spans="1:3" s="195" customFormat="1" ht="45.75" thickBot="1" x14ac:dyDescent="0.3">
      <c r="A54" s="246" t="s">
        <v>613</v>
      </c>
      <c r="B54" s="247">
        <f>0.82512+0.7632+1.06896+0.5274</f>
        <v>3.1846800000000002</v>
      </c>
      <c r="C54" s="195">
        <v>20</v>
      </c>
    </row>
    <row r="55" spans="1:3" ht="16.5" thickBot="1" x14ac:dyDescent="0.3">
      <c r="A55" s="84" t="s">
        <v>316</v>
      </c>
      <c r="B55" s="111">
        <f>B54/$B$27</f>
        <v>7.6753155743518433E-3</v>
      </c>
    </row>
    <row r="56" spans="1:3" ht="16.5" thickBot="1" x14ac:dyDescent="0.3">
      <c r="A56" s="84" t="s">
        <v>317</v>
      </c>
      <c r="B56" s="108">
        <v>3.1846800000000002</v>
      </c>
      <c r="C56" s="44">
        <v>1</v>
      </c>
    </row>
    <row r="57" spans="1:3" ht="16.5" thickBot="1" x14ac:dyDescent="0.3">
      <c r="A57" s="84" t="s">
        <v>318</v>
      </c>
      <c r="B57" s="108">
        <v>3.1846800000000002</v>
      </c>
      <c r="C57" s="44">
        <v>2</v>
      </c>
    </row>
    <row r="58" spans="1:3" ht="30.75" thickBot="1" x14ac:dyDescent="0.3">
      <c r="A58" s="246" t="s">
        <v>616</v>
      </c>
      <c r="B58" s="247">
        <v>28.56</v>
      </c>
      <c r="C58" s="44">
        <v>20</v>
      </c>
    </row>
    <row r="59" spans="1:3" ht="16.5" thickBot="1" x14ac:dyDescent="0.3">
      <c r="A59" s="84" t="s">
        <v>316</v>
      </c>
      <c r="B59" s="111">
        <f>B58/$B$27</f>
        <v>6.8831723376756415E-2</v>
      </c>
    </row>
    <row r="60" spans="1:3" ht="16.5" thickBot="1" x14ac:dyDescent="0.3">
      <c r="A60" s="84" t="s">
        <v>317</v>
      </c>
      <c r="B60" s="108">
        <v>28.56</v>
      </c>
      <c r="C60" s="44">
        <v>1</v>
      </c>
    </row>
    <row r="61" spans="1:3" ht="16.5" thickBot="1" x14ac:dyDescent="0.3">
      <c r="A61" s="84" t="s">
        <v>318</v>
      </c>
      <c r="B61" s="108">
        <v>28.56</v>
      </c>
      <c r="C61" s="44">
        <v>2</v>
      </c>
    </row>
    <row r="62" spans="1:3" s="195" customFormat="1" ht="30.75" thickBot="1" x14ac:dyDescent="0.3">
      <c r="A62" s="246" t="s">
        <v>614</v>
      </c>
      <c r="B62" s="247">
        <f>4.4226+2.63292+9.94236</f>
        <v>16.997880000000002</v>
      </c>
      <c r="C62" s="195">
        <v>20</v>
      </c>
    </row>
    <row r="63" spans="1:3" ht="16.5" thickBot="1" x14ac:dyDescent="0.3">
      <c r="A63" s="84" t="s">
        <v>316</v>
      </c>
      <c r="B63" s="111">
        <f>B62/$B$27</f>
        <v>4.096615455711837E-2</v>
      </c>
    </row>
    <row r="64" spans="1:3" ht="16.5" thickBot="1" x14ac:dyDescent="0.3">
      <c r="A64" s="84" t="s">
        <v>317</v>
      </c>
      <c r="B64" s="108">
        <v>16.997880000000002</v>
      </c>
      <c r="C64" s="44">
        <v>1</v>
      </c>
    </row>
    <row r="65" spans="1:3" ht="16.5" thickBot="1" x14ac:dyDescent="0.3">
      <c r="A65" s="84" t="s">
        <v>318</v>
      </c>
      <c r="B65" s="108">
        <v>16.997880000000002</v>
      </c>
      <c r="C65" s="44">
        <v>2</v>
      </c>
    </row>
    <row r="66" spans="1:3" s="195" customFormat="1" ht="30.75" thickBot="1" x14ac:dyDescent="0.3">
      <c r="A66" s="246" t="s">
        <v>615</v>
      </c>
      <c r="B66" s="247">
        <v>1.8543879999999999</v>
      </c>
      <c r="C66" s="195">
        <v>20</v>
      </c>
    </row>
    <row r="67" spans="1:3" ht="16.5" thickBot="1" x14ac:dyDescent="0.3">
      <c r="A67" s="84" t="s">
        <v>316</v>
      </c>
      <c r="B67" s="111">
        <f>B66/$B$27</f>
        <v>4.4692129499011406E-3</v>
      </c>
    </row>
    <row r="68" spans="1:3" ht="16.5" thickBot="1" x14ac:dyDescent="0.3">
      <c r="A68" s="84" t="s">
        <v>317</v>
      </c>
      <c r="B68" s="108">
        <v>1.8543879999999999</v>
      </c>
      <c r="C68" s="44">
        <v>1</v>
      </c>
    </row>
    <row r="69" spans="1:3" ht="16.5" thickBot="1" x14ac:dyDescent="0.3">
      <c r="A69" s="84" t="s">
        <v>318</v>
      </c>
      <c r="B69" s="108">
        <v>1.8543879999999999</v>
      </c>
      <c r="C69" s="44">
        <v>2</v>
      </c>
    </row>
    <row r="70" spans="1:3" ht="30.75" thickBot="1" x14ac:dyDescent="0.3">
      <c r="A70" s="246" t="s">
        <v>619</v>
      </c>
      <c r="B70" s="247">
        <f>12.1158378+4.861728</f>
        <v>16.977565800000001</v>
      </c>
      <c r="C70" s="44">
        <v>20</v>
      </c>
    </row>
    <row r="71" spans="1:3" ht="16.5" thickBot="1" x14ac:dyDescent="0.3">
      <c r="A71" s="84" t="s">
        <v>316</v>
      </c>
      <c r="B71" s="111">
        <f>B70/$B$27</f>
        <v>4.0917195824799732E-2</v>
      </c>
    </row>
    <row r="72" spans="1:3" ht="16.5" thickBot="1" x14ac:dyDescent="0.3">
      <c r="A72" s="84" t="s">
        <v>317</v>
      </c>
      <c r="B72" s="108">
        <v>16.977565800000001</v>
      </c>
      <c r="C72" s="44">
        <v>1</v>
      </c>
    </row>
    <row r="73" spans="1:3" ht="16.5" thickBot="1" x14ac:dyDescent="0.3">
      <c r="A73" s="84" t="s">
        <v>318</v>
      </c>
      <c r="B73" s="108">
        <v>16.977565800000001</v>
      </c>
      <c r="C73" s="44">
        <v>2</v>
      </c>
    </row>
    <row r="74" spans="1:3" ht="30.75" thickBot="1" x14ac:dyDescent="0.3">
      <c r="A74" s="246" t="s">
        <v>620</v>
      </c>
      <c r="B74" s="247">
        <v>1.5967545000000001</v>
      </c>
      <c r="C74" s="44">
        <v>20</v>
      </c>
    </row>
    <row r="75" spans="1:3" ht="16.5" thickBot="1" x14ac:dyDescent="0.3">
      <c r="A75" s="84" t="s">
        <v>316</v>
      </c>
      <c r="B75" s="111">
        <f>B74/$B$27</f>
        <v>3.8482970603848396E-3</v>
      </c>
    </row>
    <row r="76" spans="1:3" ht="16.5" thickBot="1" x14ac:dyDescent="0.3">
      <c r="A76" s="84" t="s">
        <v>317</v>
      </c>
      <c r="B76" s="108">
        <v>1.5967545000000001</v>
      </c>
      <c r="C76" s="44">
        <v>1</v>
      </c>
    </row>
    <row r="77" spans="1:3" ht="16.5" thickBot="1" x14ac:dyDescent="0.3">
      <c r="A77" s="84" t="s">
        <v>318</v>
      </c>
      <c r="B77" s="108">
        <v>1.5967545000000001</v>
      </c>
      <c r="C77" s="44">
        <v>2</v>
      </c>
    </row>
    <row r="78" spans="1:3" ht="30.75" thickBot="1" x14ac:dyDescent="0.3">
      <c r="A78" s="246" t="s">
        <v>621</v>
      </c>
      <c r="B78" s="247">
        <v>6.8268000000000004</v>
      </c>
      <c r="C78" s="44">
        <v>20</v>
      </c>
    </row>
    <row r="79" spans="1:3" ht="16.5" thickBot="1" x14ac:dyDescent="0.3">
      <c r="A79" s="84" t="s">
        <v>316</v>
      </c>
      <c r="B79" s="111">
        <f>B78/$B$27</f>
        <v>1.6453095558418795E-2</v>
      </c>
    </row>
    <row r="80" spans="1:3" ht="16.5" thickBot="1" x14ac:dyDescent="0.3">
      <c r="A80" s="84" t="s">
        <v>317</v>
      </c>
      <c r="B80" s="108">
        <v>6.8268000000000004</v>
      </c>
      <c r="C80" s="44">
        <v>1</v>
      </c>
    </row>
    <row r="81" spans="1:3" ht="16.5" thickBot="1" x14ac:dyDescent="0.3">
      <c r="A81" s="84" t="s">
        <v>318</v>
      </c>
      <c r="B81" s="108">
        <v>6.8268000000000004</v>
      </c>
      <c r="C81" s="44">
        <v>2</v>
      </c>
    </row>
    <row r="82" spans="1:3" ht="30.75" thickBot="1" x14ac:dyDescent="0.3">
      <c r="A82" s="246" t="s">
        <v>618</v>
      </c>
      <c r="B82" s="247">
        <v>34.991999999999997</v>
      </c>
      <c r="C82" s="44">
        <v>20</v>
      </c>
    </row>
    <row r="83" spans="1:3" ht="16.5" thickBot="1" x14ac:dyDescent="0.3">
      <c r="A83" s="84" t="s">
        <v>316</v>
      </c>
      <c r="B83" s="111">
        <f>B82/$B$27</f>
        <v>8.4333321582614168E-2</v>
      </c>
    </row>
    <row r="84" spans="1:3" ht="16.5" thickBot="1" x14ac:dyDescent="0.3">
      <c r="A84" s="84" t="s">
        <v>317</v>
      </c>
      <c r="B84" s="108">
        <v>34.991999999999997</v>
      </c>
      <c r="C84" s="44">
        <v>1</v>
      </c>
    </row>
    <row r="85" spans="1:3" ht="16.5" thickBot="1" x14ac:dyDescent="0.3">
      <c r="A85" s="84" t="s">
        <v>318</v>
      </c>
      <c r="B85" s="108">
        <v>34.991999999999997</v>
      </c>
      <c r="C85" s="44">
        <v>2</v>
      </c>
    </row>
    <row r="86" spans="1:3" s="195" customFormat="1" ht="30.75" thickBot="1" x14ac:dyDescent="0.3">
      <c r="A86" s="246" t="s">
        <v>617</v>
      </c>
      <c r="B86" s="247">
        <v>1.29044589</v>
      </c>
    </row>
    <row r="87" spans="1:3" ht="16.5" thickBot="1" x14ac:dyDescent="0.3">
      <c r="A87" s="84" t="s">
        <v>316</v>
      </c>
      <c r="B87" s="111">
        <f>B86/$B$27</f>
        <v>3.1100705368750786E-3</v>
      </c>
    </row>
    <row r="88" spans="1:3" ht="16.5" thickBot="1" x14ac:dyDescent="0.3">
      <c r="A88" s="84" t="s">
        <v>317</v>
      </c>
      <c r="B88" s="108">
        <v>1.29044589</v>
      </c>
      <c r="C88" s="44">
        <v>1</v>
      </c>
    </row>
    <row r="89" spans="1:3" ht="16.5" thickBot="1" x14ac:dyDescent="0.3">
      <c r="A89" s="84" t="s">
        <v>318</v>
      </c>
      <c r="B89" s="108">
        <v>1.29044589</v>
      </c>
      <c r="C89" s="44">
        <v>2</v>
      </c>
    </row>
    <row r="90" spans="1:3" ht="29.25" thickBot="1" x14ac:dyDescent="0.3">
      <c r="A90" s="90" t="s">
        <v>320</v>
      </c>
      <c r="B90" s="108">
        <f xml:space="preserve"> SUMIF(C91:C110, 30,B91:B110)</f>
        <v>0</v>
      </c>
    </row>
    <row r="91" spans="1:3" s="195" customFormat="1" ht="16.5" thickBot="1" x14ac:dyDescent="0.3">
      <c r="A91" s="109" t="s">
        <v>315</v>
      </c>
      <c r="B91" s="203"/>
      <c r="C91" s="195">
        <v>30</v>
      </c>
    </row>
    <row r="92" spans="1:3" ht="16.5" thickBot="1" x14ac:dyDescent="0.3">
      <c r="A92" s="84" t="s">
        <v>316</v>
      </c>
      <c r="B92" s="111"/>
    </row>
    <row r="93" spans="1:3" ht="16.5" thickBot="1" x14ac:dyDescent="0.3">
      <c r="A93" s="84" t="s">
        <v>317</v>
      </c>
      <c r="B93" s="129"/>
      <c r="C93" s="44">
        <v>1</v>
      </c>
    </row>
    <row r="94" spans="1:3" ht="16.5" thickBot="1" x14ac:dyDescent="0.3">
      <c r="A94" s="84" t="s">
        <v>318</v>
      </c>
      <c r="B94" s="129"/>
      <c r="C94" s="44">
        <v>2</v>
      </c>
    </row>
    <row r="95" spans="1:3" s="195" customFormat="1" ht="16.5" thickBot="1" x14ac:dyDescent="0.3">
      <c r="A95" s="109" t="s">
        <v>315</v>
      </c>
      <c r="B95" s="203"/>
      <c r="C95" s="195">
        <v>30</v>
      </c>
    </row>
    <row r="96" spans="1:3" ht="16.5" thickBot="1" x14ac:dyDescent="0.3">
      <c r="A96" s="84" t="s">
        <v>316</v>
      </c>
      <c r="B96" s="111"/>
    </row>
    <row r="97" spans="1:3" ht="16.5" thickBot="1" x14ac:dyDescent="0.3">
      <c r="A97" s="84" t="s">
        <v>317</v>
      </c>
      <c r="B97" s="129"/>
      <c r="C97" s="44">
        <v>1</v>
      </c>
    </row>
    <row r="98" spans="1:3" ht="16.5" thickBot="1" x14ac:dyDescent="0.3">
      <c r="A98" s="84" t="s">
        <v>318</v>
      </c>
      <c r="B98" s="129"/>
      <c r="C98" s="44">
        <v>2</v>
      </c>
    </row>
    <row r="99" spans="1:3" s="195" customFormat="1" ht="16.5" thickBot="1" x14ac:dyDescent="0.3">
      <c r="A99" s="109" t="s">
        <v>315</v>
      </c>
      <c r="B99" s="203"/>
      <c r="C99" s="195">
        <v>30</v>
      </c>
    </row>
    <row r="100" spans="1:3" ht="16.5" thickBot="1" x14ac:dyDescent="0.3">
      <c r="A100" s="84" t="s">
        <v>316</v>
      </c>
      <c r="B100" s="111"/>
    </row>
    <row r="101" spans="1:3" ht="16.5" thickBot="1" x14ac:dyDescent="0.3">
      <c r="A101" s="84" t="s">
        <v>317</v>
      </c>
      <c r="B101" s="108"/>
      <c r="C101" s="44">
        <v>1</v>
      </c>
    </row>
    <row r="102" spans="1:3" ht="16.5" thickBot="1" x14ac:dyDescent="0.3">
      <c r="A102" s="84" t="s">
        <v>318</v>
      </c>
      <c r="B102" s="108"/>
      <c r="C102" s="44">
        <v>2</v>
      </c>
    </row>
    <row r="103" spans="1:3" s="195" customFormat="1" ht="16.5" thickBot="1" x14ac:dyDescent="0.3">
      <c r="A103" s="109" t="s">
        <v>315</v>
      </c>
      <c r="B103" s="110"/>
      <c r="C103" s="195">
        <v>30</v>
      </c>
    </row>
    <row r="104" spans="1:3" ht="16.5" thickBot="1" x14ac:dyDescent="0.3">
      <c r="A104" s="84" t="s">
        <v>316</v>
      </c>
      <c r="B104" s="111" t="s">
        <v>544</v>
      </c>
    </row>
    <row r="105" spans="1:3" ht="16.5" thickBot="1" x14ac:dyDescent="0.3">
      <c r="A105" s="84" t="s">
        <v>317</v>
      </c>
      <c r="B105" s="111" t="s">
        <v>544</v>
      </c>
      <c r="C105" s="44">
        <v>1</v>
      </c>
    </row>
    <row r="106" spans="1:3" ht="16.5" thickBot="1" x14ac:dyDescent="0.3">
      <c r="A106" s="84" t="s">
        <v>318</v>
      </c>
      <c r="B106" s="111" t="s">
        <v>544</v>
      </c>
      <c r="C106" s="44">
        <v>2</v>
      </c>
    </row>
    <row r="107" spans="1:3" s="195" customFormat="1" ht="16.5" thickBot="1" x14ac:dyDescent="0.3">
      <c r="A107" s="109" t="s">
        <v>315</v>
      </c>
      <c r="B107" s="111" t="s">
        <v>544</v>
      </c>
      <c r="C107" s="195">
        <v>30</v>
      </c>
    </row>
    <row r="108" spans="1:3" ht="16.5" thickBot="1" x14ac:dyDescent="0.3">
      <c r="A108" s="84" t="s">
        <v>316</v>
      </c>
      <c r="B108" s="111" t="s">
        <v>544</v>
      </c>
    </row>
    <row r="109" spans="1:3" ht="16.5" thickBot="1" x14ac:dyDescent="0.3">
      <c r="A109" s="84" t="s">
        <v>317</v>
      </c>
      <c r="B109" s="111" t="s">
        <v>544</v>
      </c>
      <c r="C109" s="44">
        <v>1</v>
      </c>
    </row>
    <row r="110" spans="1:3" ht="16.5" thickBot="1" x14ac:dyDescent="0.3">
      <c r="A110" s="84" t="s">
        <v>318</v>
      </c>
      <c r="B110" s="111" t="s">
        <v>544</v>
      </c>
      <c r="C110" s="44">
        <v>2</v>
      </c>
    </row>
    <row r="111" spans="1:3" ht="29.25" thickBot="1" x14ac:dyDescent="0.3">
      <c r="A111" s="83" t="s">
        <v>321</v>
      </c>
      <c r="B111" s="111" t="s">
        <v>544</v>
      </c>
    </row>
    <row r="112" spans="1:3" ht="16.5" thickBot="1" x14ac:dyDescent="0.3">
      <c r="A112" s="85" t="s">
        <v>313</v>
      </c>
      <c r="B112" s="111" t="s">
        <v>544</v>
      </c>
    </row>
    <row r="113" spans="1:2" ht="16.5" thickBot="1" x14ac:dyDescent="0.3">
      <c r="A113" s="85" t="s">
        <v>322</v>
      </c>
      <c r="B113" s="111">
        <f>B32/B27</f>
        <v>0.25684171146715712</v>
      </c>
    </row>
    <row r="114" spans="1:2" ht="16.5" thickBot="1" x14ac:dyDescent="0.3">
      <c r="A114" s="85" t="s">
        <v>323</v>
      </c>
      <c r="B114" s="111">
        <f>B53/B27</f>
        <v>0.26749431648434535</v>
      </c>
    </row>
    <row r="115" spans="1:2" ht="16.5" thickBot="1" x14ac:dyDescent="0.3">
      <c r="A115" s="85" t="s">
        <v>324</v>
      </c>
      <c r="B115" s="111" t="s">
        <v>544</v>
      </c>
    </row>
    <row r="116" spans="1:2" ht="16.5" thickBot="1" x14ac:dyDescent="0.3">
      <c r="A116" s="81" t="s">
        <v>325</v>
      </c>
      <c r="B116" s="111">
        <f>B117/B27</f>
        <v>0.52744609848837753</v>
      </c>
    </row>
    <row r="117" spans="1:2" ht="16.5" thickBot="1" x14ac:dyDescent="0.3">
      <c r="A117" s="81" t="s">
        <v>326</v>
      </c>
      <c r="B117" s="217">
        <f xml:space="preserve"> SUMIF(C33:C110, 1,B33:B110)</f>
        <v>218.85055079</v>
      </c>
    </row>
    <row r="118" spans="1:2" ht="16.5" thickBot="1" x14ac:dyDescent="0.3">
      <c r="A118" s="81" t="s">
        <v>327</v>
      </c>
      <c r="B118" s="111">
        <f>B119/B27</f>
        <v>0.52744609848837753</v>
      </c>
    </row>
    <row r="119" spans="1:2" ht="16.5" thickBot="1" x14ac:dyDescent="0.3">
      <c r="A119" s="82" t="s">
        <v>328</v>
      </c>
      <c r="B119" s="217">
        <f xml:space="preserve"> SUMIF(C33:C110, 2,B33:B110)</f>
        <v>218.85055079</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t="s">
        <v>633</v>
      </c>
    </row>
    <row r="125" spans="1:2" ht="45.75" thickBot="1" x14ac:dyDescent="0.3">
      <c r="A125" s="88" t="s">
        <v>335</v>
      </c>
      <c r="B125" s="88" t="s">
        <v>632</v>
      </c>
    </row>
    <row r="126" spans="1:2" ht="30.75" thickBot="1" x14ac:dyDescent="0.3">
      <c r="A126" s="85" t="s">
        <v>336</v>
      </c>
      <c r="B126" s="86"/>
    </row>
    <row r="127" spans="1:2" ht="29.25" thickBot="1" x14ac:dyDescent="0.3">
      <c r="A127" s="81" t="s">
        <v>337</v>
      </c>
      <c r="B127" s="218"/>
    </row>
    <row r="128" spans="1:2" ht="16.5" thickBot="1" x14ac:dyDescent="0.3">
      <c r="A128" s="85" t="s">
        <v>313</v>
      </c>
      <c r="B128" s="219"/>
    </row>
    <row r="129" spans="1:2" ht="16.5" thickBot="1" x14ac:dyDescent="0.3">
      <c r="A129" s="85" t="s">
        <v>338</v>
      </c>
      <c r="B129" s="218"/>
    </row>
    <row r="130" spans="1:2" ht="16.5" thickBot="1" x14ac:dyDescent="0.3">
      <c r="A130" s="85" t="s">
        <v>339</v>
      </c>
      <c r="B130" s="219"/>
    </row>
    <row r="131" spans="1:2" ht="16.5" thickBot="1" x14ac:dyDescent="0.3">
      <c r="A131" s="93" t="s">
        <v>340</v>
      </c>
      <c r="B131" s="134"/>
    </row>
    <row r="132" spans="1:2" ht="16.5" thickBot="1" x14ac:dyDescent="0.3">
      <c r="A132" s="81" t="s">
        <v>341</v>
      </c>
      <c r="B132" s="91"/>
    </row>
    <row r="133" spans="1:2" ht="16.5" thickBot="1" x14ac:dyDescent="0.3">
      <c r="A133" s="87" t="s">
        <v>342</v>
      </c>
      <c r="B133" s="216">
        <v>44165</v>
      </c>
    </row>
    <row r="134" spans="1:2" ht="16.5" thickBot="1" x14ac:dyDescent="0.3">
      <c r="A134" s="87" t="s">
        <v>343</v>
      </c>
      <c r="B134" s="94" t="s">
        <v>551</v>
      </c>
    </row>
    <row r="135" spans="1:2" ht="16.5" thickBot="1" x14ac:dyDescent="0.3">
      <c r="A135" s="87" t="s">
        <v>344</v>
      </c>
      <c r="B135" s="94" t="s">
        <v>551</v>
      </c>
    </row>
    <row r="136" spans="1:2" ht="29.25" thickBot="1" x14ac:dyDescent="0.3">
      <c r="A136" s="95" t="s">
        <v>345</v>
      </c>
      <c r="B136" s="92" t="s">
        <v>552</v>
      </c>
    </row>
    <row r="137" spans="1:2" ht="28.5" customHeight="1" x14ac:dyDescent="0.25">
      <c r="A137" s="83" t="s">
        <v>346</v>
      </c>
      <c r="B137" s="534" t="s">
        <v>551</v>
      </c>
    </row>
    <row r="138" spans="1:2" x14ac:dyDescent="0.25">
      <c r="A138" s="87" t="s">
        <v>347</v>
      </c>
      <c r="B138" s="535"/>
    </row>
    <row r="139" spans="1:2" x14ac:dyDescent="0.25">
      <c r="A139" s="87" t="s">
        <v>348</v>
      </c>
      <c r="B139" s="535"/>
    </row>
    <row r="140" spans="1:2" x14ac:dyDescent="0.25">
      <c r="A140" s="87" t="s">
        <v>349</v>
      </c>
      <c r="B140" s="535"/>
    </row>
    <row r="141" spans="1:2" x14ac:dyDescent="0.25">
      <c r="A141" s="87" t="s">
        <v>350</v>
      </c>
      <c r="B141" s="535"/>
    </row>
    <row r="142" spans="1:2" ht="16.5" thickBot="1" x14ac:dyDescent="0.3">
      <c r="A142" s="96" t="s">
        <v>351</v>
      </c>
      <c r="B142" s="536"/>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
  <sheetViews>
    <sheetView topLeftCell="B2" workbookViewId="0">
      <selection activeCell="R2" sqref="R2:R9"/>
    </sheetView>
  </sheetViews>
  <sheetFormatPr defaultRowHeight="15" x14ac:dyDescent="0.25"/>
  <cols>
    <col min="9" max="9" width="11.42578125" bestFit="1" customWidth="1"/>
    <col min="10" max="10" width="15.42578125" customWidth="1"/>
    <col min="11" max="11" width="13.85546875" customWidth="1"/>
    <col min="12" max="12" width="12.5703125" customWidth="1"/>
    <col min="13" max="13" width="16.28515625" customWidth="1"/>
    <col min="15" max="15" width="13.7109375" customWidth="1"/>
    <col min="16" max="16" width="12.42578125" bestFit="1" customWidth="1"/>
    <col min="17" max="17" width="13.5703125" bestFit="1" customWidth="1"/>
    <col min="18" max="18" width="9.140625" customWidth="1"/>
  </cols>
  <sheetData>
    <row r="1" spans="1:17" x14ac:dyDescent="0.25">
      <c r="B1" t="s">
        <v>597</v>
      </c>
      <c r="C1" t="s">
        <v>598</v>
      </c>
      <c r="D1" t="s">
        <v>599</v>
      </c>
      <c r="E1" t="s">
        <v>600</v>
      </c>
      <c r="F1" t="s">
        <v>601</v>
      </c>
      <c r="G1" t="s">
        <v>602</v>
      </c>
      <c r="H1" t="s">
        <v>603</v>
      </c>
      <c r="I1" t="s">
        <v>604</v>
      </c>
      <c r="J1" t="s">
        <v>605</v>
      </c>
      <c r="K1" t="s">
        <v>606</v>
      </c>
      <c r="L1" t="s">
        <v>607</v>
      </c>
      <c r="M1" t="s">
        <v>608</v>
      </c>
      <c r="O1" t="s">
        <v>597</v>
      </c>
      <c r="P1" t="s">
        <v>610</v>
      </c>
    </row>
    <row r="2" spans="1:17" x14ac:dyDescent="0.25">
      <c r="A2" s="242" t="s">
        <v>535</v>
      </c>
      <c r="B2" s="243"/>
      <c r="C2" s="243"/>
      <c r="D2" s="243"/>
      <c r="E2" s="243"/>
      <c r="F2" s="243"/>
      <c r="G2" s="243"/>
      <c r="H2" s="243"/>
      <c r="I2" s="243">
        <v>2766278</v>
      </c>
      <c r="J2" s="243">
        <f>986472+6173188</f>
        <v>7159660</v>
      </c>
      <c r="K2" s="243"/>
      <c r="L2" s="243"/>
      <c r="M2" s="243">
        <v>78882425</v>
      </c>
      <c r="N2" s="242"/>
      <c r="O2" s="242"/>
      <c r="P2" s="244">
        <f>SUM(B2:O2)</f>
        <v>88808363</v>
      </c>
      <c r="Q2" s="245">
        <f>P2+P3</f>
        <v>181011329.69999999</v>
      </c>
    </row>
    <row r="3" spans="1:17" x14ac:dyDescent="0.25">
      <c r="A3" s="242" t="s">
        <v>609</v>
      </c>
      <c r="B3" s="243"/>
      <c r="C3" s="243"/>
      <c r="D3" s="243"/>
      <c r="E3" s="243"/>
      <c r="F3" s="243"/>
      <c r="G3" s="243"/>
      <c r="H3" s="243"/>
      <c r="I3" s="243"/>
      <c r="J3" s="243"/>
      <c r="K3" s="243"/>
      <c r="L3" s="243"/>
      <c r="M3" s="243"/>
      <c r="N3" s="242"/>
      <c r="O3" s="242"/>
      <c r="P3" s="244">
        <f>SUM(P4:P9)</f>
        <v>92202966.700000003</v>
      </c>
    </row>
    <row r="4" spans="1:17" x14ac:dyDescent="0.25">
      <c r="A4" t="s">
        <v>609</v>
      </c>
      <c r="I4" s="241">
        <f>890800+636000+687600</f>
        <v>2214400</v>
      </c>
      <c r="L4" s="241">
        <f>3685500+2194100+6285300</f>
        <v>12164900</v>
      </c>
      <c r="M4" s="241">
        <v>23800000</v>
      </c>
      <c r="P4" s="241">
        <f t="shared" ref="P4:P9" si="0">SUM(B4:O4)</f>
        <v>38179300</v>
      </c>
    </row>
    <row r="5" spans="1:17" x14ac:dyDescent="0.25">
      <c r="K5" s="241">
        <v>1330628.75</v>
      </c>
      <c r="P5" s="241">
        <f t="shared" si="0"/>
        <v>1330628.75</v>
      </c>
    </row>
    <row r="6" spans="1:17" x14ac:dyDescent="0.25">
      <c r="J6" s="241">
        <v>1075371.56</v>
      </c>
      <c r="K6" s="241">
        <v>5689000</v>
      </c>
      <c r="O6" s="241">
        <v>1545323.33</v>
      </c>
      <c r="P6" s="241">
        <f t="shared" si="0"/>
        <v>8309694.8900000006</v>
      </c>
    </row>
    <row r="7" spans="1:17" x14ac:dyDescent="0.25">
      <c r="J7" s="241">
        <v>1075371.56</v>
      </c>
      <c r="P7" s="241">
        <f t="shared" si="0"/>
        <v>1075371.56</v>
      </c>
    </row>
    <row r="8" spans="1:17" x14ac:dyDescent="0.25">
      <c r="J8" s="241">
        <v>10096531.5</v>
      </c>
      <c r="P8" s="241">
        <f t="shared" si="0"/>
        <v>10096531.5</v>
      </c>
    </row>
    <row r="9" spans="1:17" x14ac:dyDescent="0.25">
      <c r="J9" s="241">
        <v>4051440</v>
      </c>
      <c r="K9" s="241">
        <v>29160000</v>
      </c>
      <c r="P9" s="241">
        <f t="shared" si="0"/>
        <v>33211440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A8" zoomScale="50" zoomScaleSheetLayoutView="50" workbookViewId="0">
      <selection activeCell="H22" sqref="H22"/>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88" t="str">
        <f>'1. паспорт местоположение'!A5:C5</f>
        <v>Год раскрытия информации: 2021 год</v>
      </c>
      <c r="B4" s="388"/>
      <c r="C4" s="388"/>
      <c r="D4" s="388"/>
      <c r="E4" s="388"/>
      <c r="F4" s="388"/>
      <c r="G4" s="388"/>
      <c r="H4" s="388"/>
      <c r="I4" s="388"/>
      <c r="J4" s="388"/>
      <c r="K4" s="388"/>
      <c r="L4" s="388"/>
      <c r="M4" s="388"/>
      <c r="N4" s="388"/>
      <c r="O4" s="388"/>
      <c r="P4" s="388"/>
      <c r="Q4" s="388"/>
      <c r="R4" s="388"/>
      <c r="S4" s="388"/>
    </row>
    <row r="5" spans="1:28" s="17" customFormat="1" ht="15.75" x14ac:dyDescent="0.2">
      <c r="A5" s="136"/>
    </row>
    <row r="6" spans="1:28" s="17" customFormat="1" ht="18.75" x14ac:dyDescent="0.2">
      <c r="A6" s="397" t="s">
        <v>7</v>
      </c>
      <c r="B6" s="397"/>
      <c r="C6" s="397"/>
      <c r="D6" s="397"/>
      <c r="E6" s="397"/>
      <c r="F6" s="397"/>
      <c r="G6" s="397"/>
      <c r="H6" s="397"/>
      <c r="I6" s="397"/>
      <c r="J6" s="397"/>
      <c r="K6" s="397"/>
      <c r="L6" s="397"/>
      <c r="M6" s="397"/>
      <c r="N6" s="397"/>
      <c r="O6" s="397"/>
      <c r="P6" s="397"/>
      <c r="Q6" s="397"/>
      <c r="R6" s="397"/>
      <c r="S6" s="397"/>
      <c r="T6" s="139"/>
      <c r="U6" s="139"/>
      <c r="V6" s="139"/>
      <c r="W6" s="139"/>
      <c r="X6" s="139"/>
      <c r="Y6" s="139"/>
      <c r="Z6" s="139"/>
      <c r="AA6" s="139"/>
      <c r="AB6" s="139"/>
    </row>
    <row r="7" spans="1:28" s="17" customFormat="1" ht="18.75" x14ac:dyDescent="0.2">
      <c r="A7" s="397"/>
      <c r="B7" s="397"/>
      <c r="C7" s="397"/>
      <c r="D7" s="397"/>
      <c r="E7" s="397"/>
      <c r="F7" s="397"/>
      <c r="G7" s="397"/>
      <c r="H7" s="397"/>
      <c r="I7" s="397"/>
      <c r="J7" s="397"/>
      <c r="K7" s="397"/>
      <c r="L7" s="397"/>
      <c r="M7" s="397"/>
      <c r="N7" s="397"/>
      <c r="O7" s="397"/>
      <c r="P7" s="397"/>
      <c r="Q7" s="397"/>
      <c r="R7" s="397"/>
      <c r="S7" s="397"/>
      <c r="T7" s="139"/>
      <c r="U7" s="139"/>
      <c r="V7" s="139"/>
      <c r="W7" s="139"/>
      <c r="X7" s="139"/>
      <c r="Y7" s="139"/>
      <c r="Z7" s="139"/>
      <c r="AA7" s="139"/>
      <c r="AB7" s="139"/>
    </row>
    <row r="8" spans="1:28" s="17" customFormat="1" ht="18.75" x14ac:dyDescent="0.2">
      <c r="A8" s="395" t="str">
        <f>'1. паспорт местоположение'!A9:C9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139"/>
      <c r="U8" s="139"/>
      <c r="V8" s="139"/>
      <c r="W8" s="139"/>
      <c r="X8" s="139"/>
      <c r="Y8" s="139"/>
      <c r="Z8" s="139"/>
      <c r="AA8" s="139"/>
      <c r="AB8" s="139"/>
    </row>
    <row r="9" spans="1:28" s="17" customFormat="1" ht="18.75" x14ac:dyDescent="0.2">
      <c r="A9" s="401" t="s">
        <v>6</v>
      </c>
      <c r="B9" s="401"/>
      <c r="C9" s="401"/>
      <c r="D9" s="401"/>
      <c r="E9" s="401"/>
      <c r="F9" s="401"/>
      <c r="G9" s="401"/>
      <c r="H9" s="401"/>
      <c r="I9" s="401"/>
      <c r="J9" s="401"/>
      <c r="K9" s="401"/>
      <c r="L9" s="401"/>
      <c r="M9" s="401"/>
      <c r="N9" s="401"/>
      <c r="O9" s="401"/>
      <c r="P9" s="401"/>
      <c r="Q9" s="401"/>
      <c r="R9" s="401"/>
      <c r="S9" s="401"/>
      <c r="T9" s="139"/>
      <c r="U9" s="139"/>
      <c r="V9" s="139"/>
      <c r="W9" s="139"/>
      <c r="X9" s="139"/>
      <c r="Y9" s="139"/>
      <c r="Z9" s="139"/>
      <c r="AA9" s="139"/>
      <c r="AB9" s="139"/>
    </row>
    <row r="10" spans="1:28" s="17" customFormat="1" ht="18.75" x14ac:dyDescent="0.2">
      <c r="A10" s="397"/>
      <c r="B10" s="397"/>
      <c r="C10" s="397"/>
      <c r="D10" s="397"/>
      <c r="E10" s="397"/>
      <c r="F10" s="397"/>
      <c r="G10" s="397"/>
      <c r="H10" s="397"/>
      <c r="I10" s="397"/>
      <c r="J10" s="397"/>
      <c r="K10" s="397"/>
      <c r="L10" s="397"/>
      <c r="M10" s="397"/>
      <c r="N10" s="397"/>
      <c r="O10" s="397"/>
      <c r="P10" s="397"/>
      <c r="Q10" s="397"/>
      <c r="R10" s="397"/>
      <c r="S10" s="397"/>
      <c r="T10" s="139"/>
      <c r="U10" s="139"/>
      <c r="V10" s="139"/>
      <c r="W10" s="139"/>
      <c r="X10" s="139"/>
      <c r="Y10" s="139"/>
      <c r="Z10" s="139"/>
      <c r="AA10" s="139"/>
      <c r="AB10" s="139"/>
    </row>
    <row r="11" spans="1:28" s="17" customFormat="1" ht="18.75" x14ac:dyDescent="0.2">
      <c r="A11" s="395" t="str">
        <f>'1. паспорт местоположение'!A12:C12</f>
        <v>J  19-01</v>
      </c>
      <c r="B11" s="395"/>
      <c r="C11" s="395"/>
      <c r="D11" s="395"/>
      <c r="E11" s="395"/>
      <c r="F11" s="395"/>
      <c r="G11" s="395"/>
      <c r="H11" s="395"/>
      <c r="I11" s="395"/>
      <c r="J11" s="395"/>
      <c r="K11" s="395"/>
      <c r="L11" s="395"/>
      <c r="M11" s="395"/>
      <c r="N11" s="395"/>
      <c r="O11" s="395"/>
      <c r="P11" s="395"/>
      <c r="Q11" s="395"/>
      <c r="R11" s="395"/>
      <c r="S11" s="395"/>
      <c r="T11" s="139"/>
      <c r="U11" s="139"/>
      <c r="V11" s="139"/>
      <c r="W11" s="139"/>
      <c r="X11" s="139"/>
      <c r="Y11" s="139"/>
      <c r="Z11" s="139"/>
      <c r="AA11" s="139"/>
      <c r="AB11" s="139"/>
    </row>
    <row r="12" spans="1:28" s="17"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139"/>
      <c r="U12" s="139"/>
      <c r="V12" s="139"/>
      <c r="W12" s="139"/>
      <c r="X12" s="139"/>
      <c r="Y12" s="139"/>
      <c r="Z12" s="139"/>
      <c r="AA12" s="139"/>
      <c r="AB12" s="139"/>
    </row>
    <row r="13" spans="1:28" s="137"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140"/>
      <c r="U13" s="140"/>
      <c r="V13" s="140"/>
      <c r="W13" s="140"/>
      <c r="X13" s="140"/>
      <c r="Y13" s="140"/>
      <c r="Z13" s="140"/>
      <c r="AA13" s="140"/>
      <c r="AB13" s="140"/>
    </row>
    <row r="14" spans="1:28" s="138" customFormat="1" ht="15.75" x14ac:dyDescent="0.2">
      <c r="A14"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5"/>
      <c r="C14" s="395"/>
      <c r="D14" s="395"/>
      <c r="E14" s="395"/>
      <c r="F14" s="395"/>
      <c r="G14" s="395"/>
      <c r="H14" s="395"/>
      <c r="I14" s="395"/>
      <c r="J14" s="395"/>
      <c r="K14" s="395"/>
      <c r="L14" s="395"/>
      <c r="M14" s="395"/>
      <c r="N14" s="395"/>
      <c r="O14" s="395"/>
      <c r="P14" s="395"/>
      <c r="Q14" s="395"/>
      <c r="R14" s="395"/>
      <c r="S14" s="395"/>
      <c r="T14" s="141"/>
      <c r="U14" s="141"/>
      <c r="V14" s="141"/>
      <c r="W14" s="141"/>
      <c r="X14" s="141"/>
      <c r="Y14" s="141"/>
      <c r="Z14" s="141"/>
      <c r="AA14" s="141"/>
      <c r="AB14" s="141"/>
    </row>
    <row r="15" spans="1:28" s="138"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142"/>
      <c r="U15" s="142"/>
      <c r="V15" s="142"/>
      <c r="W15" s="142"/>
      <c r="X15" s="142"/>
      <c r="Y15" s="142"/>
      <c r="Z15" s="142"/>
      <c r="AA15" s="142"/>
      <c r="AB15" s="142"/>
    </row>
    <row r="16" spans="1:28" s="138"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143"/>
      <c r="U16" s="143"/>
      <c r="V16" s="143"/>
      <c r="W16" s="143"/>
      <c r="X16" s="143"/>
      <c r="Y16" s="143"/>
    </row>
    <row r="17" spans="1:28" s="138" customFormat="1" ht="45.75" customHeight="1" x14ac:dyDescent="0.2">
      <c r="A17" s="404" t="s">
        <v>382</v>
      </c>
      <c r="B17" s="404"/>
      <c r="C17" s="404"/>
      <c r="D17" s="404"/>
      <c r="E17" s="404"/>
      <c r="F17" s="404"/>
      <c r="G17" s="404"/>
      <c r="H17" s="404"/>
      <c r="I17" s="404"/>
      <c r="J17" s="404"/>
      <c r="K17" s="404"/>
      <c r="L17" s="404"/>
      <c r="M17" s="404"/>
      <c r="N17" s="404"/>
      <c r="O17" s="404"/>
      <c r="P17" s="404"/>
      <c r="Q17" s="404"/>
      <c r="R17" s="404"/>
      <c r="S17" s="404"/>
      <c r="T17" s="144"/>
      <c r="U17" s="144"/>
      <c r="V17" s="144"/>
      <c r="W17" s="144"/>
      <c r="X17" s="144"/>
      <c r="Y17" s="144"/>
      <c r="Z17" s="144"/>
      <c r="AA17" s="144"/>
      <c r="AB17" s="144"/>
    </row>
    <row r="18" spans="1:28" s="138"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143"/>
      <c r="U18" s="143"/>
      <c r="V18" s="143"/>
      <c r="W18" s="143"/>
      <c r="X18" s="143"/>
      <c r="Y18" s="143"/>
    </row>
    <row r="19" spans="1:28" s="138" customFormat="1" ht="54" customHeight="1" x14ac:dyDescent="0.2">
      <c r="A19" s="396" t="s">
        <v>3</v>
      </c>
      <c r="B19" s="396" t="s">
        <v>94</v>
      </c>
      <c r="C19" s="398" t="s">
        <v>304</v>
      </c>
      <c r="D19" s="396" t="s">
        <v>303</v>
      </c>
      <c r="E19" s="396" t="s">
        <v>93</v>
      </c>
      <c r="F19" s="396" t="s">
        <v>92</v>
      </c>
      <c r="G19" s="396" t="s">
        <v>299</v>
      </c>
      <c r="H19" s="396" t="s">
        <v>91</v>
      </c>
      <c r="I19" s="396" t="s">
        <v>90</v>
      </c>
      <c r="J19" s="396" t="s">
        <v>89</v>
      </c>
      <c r="K19" s="396" t="s">
        <v>88</v>
      </c>
      <c r="L19" s="396" t="s">
        <v>87</v>
      </c>
      <c r="M19" s="396" t="s">
        <v>86</v>
      </c>
      <c r="N19" s="396" t="s">
        <v>85</v>
      </c>
      <c r="O19" s="396" t="s">
        <v>84</v>
      </c>
      <c r="P19" s="396" t="s">
        <v>83</v>
      </c>
      <c r="Q19" s="396" t="s">
        <v>302</v>
      </c>
      <c r="R19" s="396"/>
      <c r="S19" s="400" t="s">
        <v>628</v>
      </c>
      <c r="T19" s="143"/>
      <c r="U19" s="143"/>
      <c r="V19" s="143"/>
      <c r="W19" s="143"/>
      <c r="X19" s="143"/>
      <c r="Y19" s="143"/>
    </row>
    <row r="20" spans="1:28" s="138" customFormat="1" ht="180.75" customHeight="1" x14ac:dyDescent="0.2">
      <c r="A20" s="396"/>
      <c r="B20" s="396"/>
      <c r="C20" s="399"/>
      <c r="D20" s="396"/>
      <c r="E20" s="396"/>
      <c r="F20" s="396"/>
      <c r="G20" s="396"/>
      <c r="H20" s="396"/>
      <c r="I20" s="396"/>
      <c r="J20" s="396"/>
      <c r="K20" s="396"/>
      <c r="L20" s="396"/>
      <c r="M20" s="396"/>
      <c r="N20" s="396"/>
      <c r="O20" s="396"/>
      <c r="P20" s="396"/>
      <c r="Q20" s="145" t="s">
        <v>300</v>
      </c>
      <c r="R20" s="146" t="s">
        <v>301</v>
      </c>
      <c r="S20" s="400"/>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38" customFormat="1" ht="134.25" customHeight="1" x14ac:dyDescent="0.2">
      <c r="A22" s="250">
        <v>1</v>
      </c>
      <c r="B22" s="251" t="s">
        <v>689</v>
      </c>
      <c r="C22" s="251" t="s">
        <v>544</v>
      </c>
      <c r="D22" s="251" t="s">
        <v>629</v>
      </c>
      <c r="E22" s="251" t="s">
        <v>626</v>
      </c>
      <c r="F22" s="251" t="s">
        <v>625</v>
      </c>
      <c r="G22" s="253" t="s">
        <v>690</v>
      </c>
      <c r="H22" s="254">
        <v>10.5</v>
      </c>
      <c r="I22" s="251">
        <v>0</v>
      </c>
      <c r="J22" s="251"/>
      <c r="K22" s="251">
        <v>15</v>
      </c>
      <c r="L22" s="251" t="s">
        <v>576</v>
      </c>
      <c r="M22" s="251"/>
      <c r="N22" s="251"/>
      <c r="O22" s="251"/>
      <c r="P22" s="251"/>
      <c r="Q22" s="252" t="s">
        <v>627</v>
      </c>
      <c r="R22" s="251"/>
      <c r="S22" s="250">
        <v>345.81162999999998</v>
      </c>
      <c r="T22" s="147"/>
      <c r="U22" s="147"/>
      <c r="V22" s="147"/>
      <c r="W22" s="147"/>
      <c r="X22" s="147"/>
      <c r="Y22" s="147"/>
      <c r="Z22" s="148"/>
      <c r="AA22" s="148"/>
      <c r="AB22" s="148"/>
    </row>
    <row r="23" spans="1:28" ht="34.5" customHeight="1" x14ac:dyDescent="0.25">
      <c r="A23" s="230"/>
      <c r="B23" s="229" t="s">
        <v>297</v>
      </c>
      <c r="C23" s="229"/>
      <c r="D23" s="229"/>
      <c r="E23" s="230" t="s">
        <v>298</v>
      </c>
      <c r="F23" s="230" t="s">
        <v>298</v>
      </c>
      <c r="G23" s="230" t="s">
        <v>298</v>
      </c>
      <c r="H23" s="230"/>
      <c r="I23" s="230"/>
      <c r="J23" s="230"/>
      <c r="K23" s="230"/>
      <c r="L23" s="230"/>
      <c r="M23" s="230"/>
      <c r="N23" s="230"/>
      <c r="O23" s="230"/>
      <c r="P23" s="230"/>
      <c r="Q23" s="231"/>
      <c r="R23" s="232"/>
      <c r="S23" s="23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row r="167" spans="1:28"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c r="AA167" s="152"/>
      <c r="AB167" s="152"/>
    </row>
    <row r="168" spans="1:28"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c r="AA168" s="152"/>
      <c r="AB168" s="152"/>
    </row>
    <row r="169" spans="1:28"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c r="AA169" s="152"/>
      <c r="AB169" s="152"/>
    </row>
    <row r="170" spans="1:28"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c r="AA170" s="152"/>
      <c r="AB170" s="152"/>
    </row>
    <row r="171" spans="1:28"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c r="AA171" s="152"/>
      <c r="AB171" s="152"/>
    </row>
    <row r="172" spans="1:28"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row>
    <row r="173" spans="1:28"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c r="AA173" s="152"/>
      <c r="AB173" s="152"/>
    </row>
    <row r="174" spans="1:28"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c r="AA174" s="152"/>
      <c r="AB174" s="152"/>
    </row>
    <row r="175" spans="1:28"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c r="AA175" s="152"/>
      <c r="AB175" s="152"/>
    </row>
    <row r="176" spans="1:28"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c r="AA176" s="152"/>
      <c r="AB176" s="152"/>
    </row>
    <row r="177" spans="1:28"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c r="AA177" s="152"/>
      <c r="AB177" s="152"/>
    </row>
    <row r="178" spans="1:28"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c r="AA178" s="152"/>
      <c r="AB178" s="152"/>
    </row>
    <row r="179" spans="1:28"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c r="AA179" s="152"/>
      <c r="AB179" s="152"/>
    </row>
    <row r="180" spans="1:28"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c r="AA180" s="152"/>
      <c r="AB180" s="152"/>
    </row>
    <row r="181" spans="1:28"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c r="AA181" s="152"/>
      <c r="AB181" s="152"/>
    </row>
    <row r="182" spans="1:28"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c r="AA182" s="152"/>
      <c r="AB182" s="152"/>
    </row>
    <row r="183" spans="1:28"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c r="AA183" s="152"/>
      <c r="AB183" s="152"/>
    </row>
    <row r="184" spans="1:28"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c r="AA184" s="152"/>
      <c r="AB184" s="152"/>
    </row>
    <row r="185" spans="1:28"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c r="AA185" s="152"/>
      <c r="AB185" s="152"/>
    </row>
    <row r="186" spans="1:28"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c r="AA186" s="152"/>
      <c r="AB186" s="152"/>
    </row>
    <row r="187" spans="1:28"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row>
    <row r="188" spans="1:28"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row>
    <row r="189" spans="1:28"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c r="AA189" s="152"/>
      <c r="AB189" s="152"/>
    </row>
    <row r="190" spans="1:28"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c r="AA190" s="152"/>
      <c r="AB190" s="152"/>
    </row>
    <row r="191" spans="1:28"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c r="AA191" s="152"/>
      <c r="AB191" s="152"/>
    </row>
    <row r="192" spans="1:28"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c r="AA192" s="152"/>
      <c r="AB192" s="152"/>
    </row>
    <row r="193" spans="1:28"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c r="AA193" s="152"/>
      <c r="AB193" s="152"/>
    </row>
    <row r="194" spans="1:28"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row>
    <row r="195" spans="1:28"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c r="AA195" s="152"/>
      <c r="AB195" s="152"/>
    </row>
    <row r="196" spans="1:28"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c r="AA196" s="152"/>
      <c r="AB196" s="152"/>
    </row>
    <row r="197" spans="1:28"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c r="AA197" s="152"/>
      <c r="AB197" s="152"/>
    </row>
    <row r="198" spans="1:28"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c r="AA198" s="152"/>
      <c r="AB198" s="152"/>
    </row>
    <row r="199" spans="1:28"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c r="AA199" s="152"/>
      <c r="AB199" s="152"/>
    </row>
    <row r="200" spans="1:28"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c r="AA200" s="152"/>
      <c r="AB200" s="152"/>
    </row>
    <row r="201" spans="1:28"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c r="AA201" s="152"/>
      <c r="AB201" s="152"/>
    </row>
    <row r="202" spans="1:28"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c r="AA202" s="152"/>
      <c r="AB202" s="152"/>
    </row>
    <row r="203" spans="1:28"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c r="AA203" s="152"/>
      <c r="AB203" s="152"/>
    </row>
    <row r="204" spans="1:28"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c r="AA204" s="152"/>
      <c r="AB204" s="152"/>
    </row>
    <row r="205" spans="1:28"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c r="AA205" s="152"/>
      <c r="AB205" s="152"/>
    </row>
    <row r="206" spans="1:28"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c r="AA206" s="152"/>
      <c r="AB206" s="152"/>
    </row>
    <row r="207" spans="1:28"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c r="AA207" s="152"/>
      <c r="AB207" s="152"/>
    </row>
    <row r="208" spans="1:28"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c r="AA208" s="152"/>
      <c r="AB208" s="152"/>
    </row>
    <row r="209" spans="1:28"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c r="AA209" s="152"/>
      <c r="AB209" s="152"/>
    </row>
    <row r="210" spans="1:28"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row>
    <row r="211" spans="1:28"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c r="AA211" s="152"/>
      <c r="AB211" s="152"/>
    </row>
    <row r="212" spans="1:28"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c r="AA212" s="152"/>
      <c r="AB212" s="152"/>
    </row>
    <row r="213" spans="1:28"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c r="AA213" s="152"/>
      <c r="AB213" s="152"/>
    </row>
    <row r="214" spans="1:28"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c r="AA214" s="152"/>
      <c r="AB214" s="152"/>
    </row>
    <row r="215" spans="1:28"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c r="AA215" s="152"/>
      <c r="AB215" s="152"/>
    </row>
    <row r="216" spans="1:28"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c r="AA216" s="152"/>
      <c r="AB216" s="152"/>
    </row>
    <row r="217" spans="1:28"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c r="AA217" s="152"/>
      <c r="AB217" s="152"/>
    </row>
    <row r="218" spans="1:28"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c r="AA218" s="152"/>
      <c r="AB218" s="152"/>
    </row>
    <row r="219" spans="1:28"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c r="AA219" s="152"/>
      <c r="AB219" s="152"/>
    </row>
    <row r="220" spans="1:28"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c r="AA220" s="152"/>
      <c r="AB220" s="152"/>
    </row>
    <row r="221" spans="1:28"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c r="AA221" s="152"/>
      <c r="AB221" s="152"/>
    </row>
    <row r="222" spans="1:28"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c r="AA222" s="152"/>
      <c r="AB222" s="152"/>
    </row>
    <row r="223" spans="1:28"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c r="AA223" s="152"/>
      <c r="AB223" s="152"/>
    </row>
    <row r="224" spans="1:28"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c r="AA224" s="152"/>
      <c r="AB224" s="152"/>
    </row>
    <row r="225" spans="1:28"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c r="AA225" s="152"/>
      <c r="AB225" s="152"/>
    </row>
    <row r="226" spans="1:28"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c r="AA226" s="152"/>
      <c r="AB226" s="152"/>
    </row>
    <row r="227" spans="1:28"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c r="AA227" s="152"/>
      <c r="AB227" s="152"/>
    </row>
    <row r="228" spans="1:28"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c r="AA228" s="152"/>
      <c r="AB228" s="152"/>
    </row>
    <row r="229" spans="1:28"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c r="AA229" s="152"/>
      <c r="AB229" s="152"/>
    </row>
    <row r="230" spans="1:28"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c r="AA230" s="152"/>
      <c r="AB230" s="152"/>
    </row>
    <row r="231" spans="1:28"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c r="AA231" s="152"/>
      <c r="AB231" s="152"/>
    </row>
    <row r="232" spans="1:28"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c r="AA232" s="152"/>
      <c r="AB232" s="152"/>
    </row>
    <row r="233" spans="1:28"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c r="AA233" s="152"/>
      <c r="AB233" s="152"/>
    </row>
    <row r="234" spans="1:28"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c r="AA234" s="152"/>
      <c r="AB234" s="152"/>
    </row>
    <row r="235" spans="1:28"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c r="AA235" s="152"/>
      <c r="AB235" s="152"/>
    </row>
    <row r="236" spans="1:28"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c r="AA236" s="152"/>
      <c r="AB236" s="152"/>
    </row>
    <row r="237" spans="1:28"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c r="AA237" s="152"/>
      <c r="AB237" s="152"/>
    </row>
    <row r="238" spans="1:28"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c r="AA238" s="152"/>
      <c r="AB238" s="152"/>
    </row>
    <row r="239" spans="1:28"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c r="AA239" s="152"/>
      <c r="AB239" s="152"/>
    </row>
    <row r="240" spans="1:28"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c r="AA240" s="152"/>
      <c r="AB240" s="152"/>
    </row>
    <row r="241" spans="1:28"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c r="AA241" s="152"/>
      <c r="AB241" s="152"/>
    </row>
    <row r="242" spans="1:28"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c r="AA242" s="152"/>
      <c r="AB242" s="152"/>
    </row>
    <row r="243" spans="1:28"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c r="AA243" s="152"/>
      <c r="AB243" s="152"/>
    </row>
    <row r="244" spans="1:28"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c r="AA244" s="152"/>
      <c r="AB244" s="152"/>
    </row>
    <row r="245" spans="1:28"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c r="AA245" s="152"/>
      <c r="AB245" s="152"/>
    </row>
    <row r="246" spans="1:28"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c r="AA246" s="152"/>
      <c r="AB246" s="152"/>
    </row>
    <row r="247" spans="1:28"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c r="AA247" s="152"/>
      <c r="AB247" s="152"/>
    </row>
    <row r="248" spans="1:28"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c r="AA248" s="152"/>
      <c r="AB248" s="152"/>
    </row>
    <row r="249" spans="1:28"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c r="AA249" s="152"/>
      <c r="AB249" s="152"/>
    </row>
    <row r="250" spans="1:28"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c r="AA250" s="152"/>
      <c r="AB250" s="152"/>
    </row>
    <row r="251" spans="1:28"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c r="AA251" s="152"/>
      <c r="AB251" s="152"/>
    </row>
    <row r="252" spans="1:28"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c r="AA252" s="152"/>
      <c r="AB252" s="152"/>
    </row>
    <row r="253" spans="1:28"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c r="AA253" s="152"/>
      <c r="AB253" s="152"/>
    </row>
    <row r="254" spans="1:28"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c r="AA254" s="152"/>
      <c r="AB254" s="152"/>
    </row>
    <row r="255" spans="1:28"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c r="AA255" s="152"/>
      <c r="AB255" s="152"/>
    </row>
    <row r="256" spans="1:28"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c r="AA256" s="152"/>
      <c r="AB256" s="152"/>
    </row>
    <row r="257" spans="1:28"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c r="AA257" s="152"/>
      <c r="AB257" s="152"/>
    </row>
    <row r="258" spans="1:28"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c r="AA258" s="152"/>
      <c r="AB258" s="152"/>
    </row>
    <row r="259" spans="1:28"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c r="AA259" s="152"/>
      <c r="AB259" s="152"/>
    </row>
    <row r="260" spans="1:28"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c r="AA260" s="152"/>
      <c r="AB260" s="152"/>
    </row>
    <row r="261" spans="1:28"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c r="AA261" s="152"/>
      <c r="AB261" s="152"/>
    </row>
    <row r="262" spans="1:28"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c r="AA262" s="152"/>
      <c r="AB262" s="152"/>
    </row>
    <row r="263" spans="1:28"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c r="AA263" s="152"/>
      <c r="AB263" s="152"/>
    </row>
    <row r="264" spans="1:28"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c r="AA264" s="152"/>
      <c r="AB264" s="152"/>
    </row>
    <row r="265" spans="1:28"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c r="AA265" s="152"/>
      <c r="AB265" s="152"/>
    </row>
    <row r="266" spans="1:28"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c r="AA266" s="152"/>
      <c r="AB266" s="152"/>
    </row>
    <row r="267" spans="1:28"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c r="AA267" s="152"/>
      <c r="AB267" s="152"/>
    </row>
    <row r="268" spans="1:28"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c r="AA268" s="152"/>
      <c r="AB268" s="152"/>
    </row>
    <row r="269" spans="1:28"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c r="AA269" s="152"/>
      <c r="AB269" s="152"/>
    </row>
    <row r="270" spans="1:28"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c r="AA270" s="152"/>
      <c r="AB270" s="152"/>
    </row>
    <row r="271" spans="1:28"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c r="AA271" s="152"/>
      <c r="AB271" s="152"/>
    </row>
    <row r="272" spans="1:28"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c r="AA272" s="152"/>
      <c r="AB272" s="152"/>
    </row>
    <row r="273" spans="1:28"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c r="AA273" s="152"/>
      <c r="AB273" s="152"/>
    </row>
    <row r="274" spans="1:28"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c r="AA274" s="152"/>
      <c r="AB274" s="152"/>
    </row>
    <row r="275" spans="1:28"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c r="AA275" s="152"/>
      <c r="AB275" s="152"/>
    </row>
    <row r="276" spans="1:28"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c r="AA276" s="152"/>
      <c r="AB276" s="152"/>
    </row>
    <row r="277" spans="1:28"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c r="AA277" s="152"/>
      <c r="AB277" s="152"/>
    </row>
    <row r="278" spans="1:28"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c r="AA278" s="152"/>
      <c r="AB278" s="152"/>
    </row>
    <row r="279" spans="1:28"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c r="AA279" s="152"/>
      <c r="AB279" s="152"/>
    </row>
    <row r="280" spans="1:28"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c r="AA280" s="152"/>
      <c r="AB280" s="152"/>
    </row>
    <row r="281" spans="1:28"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c r="AA281" s="152"/>
      <c r="AB281" s="152"/>
    </row>
    <row r="282" spans="1:28"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c r="AA282" s="152"/>
      <c r="AB282" s="152"/>
    </row>
    <row r="283" spans="1:28"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c r="AA283" s="152"/>
      <c r="AB283" s="152"/>
    </row>
    <row r="284" spans="1:28"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c r="AA284" s="152"/>
      <c r="AB284" s="152"/>
    </row>
    <row r="285" spans="1:28"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c r="AA285" s="152"/>
      <c r="AB285" s="152"/>
    </row>
    <row r="286" spans="1:28"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c r="AA286" s="152"/>
      <c r="AB286" s="152"/>
    </row>
    <row r="287" spans="1:28"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c r="AA287" s="152"/>
      <c r="AB287" s="152"/>
    </row>
    <row r="288" spans="1:28"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c r="AA288" s="152"/>
      <c r="AB288" s="152"/>
    </row>
    <row r="289" spans="1:28"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c r="AA289" s="152"/>
      <c r="AB289" s="152"/>
    </row>
    <row r="290" spans="1:28"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c r="AA290" s="152"/>
      <c r="AB290" s="152"/>
    </row>
    <row r="291" spans="1:28"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c r="AA291" s="152"/>
      <c r="AB291" s="152"/>
    </row>
    <row r="292" spans="1:28"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c r="AA292" s="152"/>
      <c r="AB292" s="152"/>
    </row>
    <row r="293" spans="1:28"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c r="AA293" s="152"/>
      <c r="AB293" s="152"/>
    </row>
    <row r="294" spans="1:28"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c r="AA294" s="152"/>
      <c r="AB294" s="152"/>
    </row>
    <row r="295" spans="1:28"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c r="AA295" s="152"/>
      <c r="AB295" s="152"/>
    </row>
    <row r="296" spans="1:28"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c r="AA296" s="152"/>
      <c r="AB296" s="152"/>
    </row>
    <row r="297" spans="1:28"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c r="AA297" s="152"/>
      <c r="AB297" s="152"/>
    </row>
    <row r="298" spans="1:28"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c r="AA298" s="152"/>
      <c r="AB298" s="152"/>
    </row>
    <row r="299" spans="1:28"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c r="AA299" s="152"/>
      <c r="AB299" s="152"/>
    </row>
    <row r="300" spans="1:28"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c r="AA300" s="152"/>
      <c r="AB300" s="152"/>
    </row>
    <row r="301" spans="1:28"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c r="AA301" s="152"/>
      <c r="AB301" s="152"/>
    </row>
    <row r="302" spans="1:28"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c r="AA302" s="152"/>
      <c r="AB302" s="152"/>
    </row>
    <row r="303" spans="1:28"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c r="AA303" s="152"/>
      <c r="AB303" s="152"/>
    </row>
    <row r="304" spans="1:28"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c r="AA304" s="152"/>
      <c r="AB304" s="152"/>
    </row>
    <row r="305" spans="1:28"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c r="AA305" s="152"/>
      <c r="AB305" s="152"/>
    </row>
    <row r="306" spans="1:28"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c r="AA306" s="152"/>
      <c r="AB306" s="152"/>
    </row>
    <row r="307" spans="1:28"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c r="AA307" s="152"/>
      <c r="AB307" s="152"/>
    </row>
    <row r="308" spans="1:28"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c r="AA308" s="152"/>
      <c r="AB308" s="152"/>
    </row>
    <row r="309" spans="1:28"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c r="AA309" s="152"/>
      <c r="AB309" s="152"/>
    </row>
    <row r="310" spans="1:28"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c r="AA310" s="152"/>
      <c r="AB310" s="152"/>
    </row>
    <row r="311" spans="1:28"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c r="AA311" s="152"/>
      <c r="AB311" s="152"/>
    </row>
    <row r="312" spans="1:28"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c r="AA312" s="152"/>
      <c r="AB312" s="152"/>
    </row>
    <row r="313" spans="1:28"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c r="AA313" s="152"/>
      <c r="AB313" s="152"/>
    </row>
    <row r="314" spans="1:28"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c r="AA314" s="152"/>
      <c r="AB314" s="152"/>
    </row>
    <row r="315" spans="1:28"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c r="AA315" s="152"/>
      <c r="AB315" s="152"/>
    </row>
    <row r="316" spans="1:28"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c r="AA316" s="152"/>
      <c r="AB316" s="152"/>
    </row>
    <row r="317" spans="1:28"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c r="AA317" s="152"/>
      <c r="AB317" s="152"/>
    </row>
    <row r="318" spans="1:28"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c r="AA318" s="152"/>
      <c r="AB318" s="152"/>
    </row>
    <row r="319" spans="1:28"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c r="AA319" s="152"/>
      <c r="AB319" s="152"/>
    </row>
    <row r="320" spans="1:28"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c r="AA320" s="152"/>
      <c r="AB320" s="152"/>
    </row>
    <row r="321" spans="1:28"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c r="AA321" s="152"/>
      <c r="AB321" s="152"/>
    </row>
    <row r="322" spans="1:28"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c r="AA322" s="152"/>
      <c r="AB322" s="152"/>
    </row>
    <row r="323" spans="1:28"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c r="AA323" s="152"/>
      <c r="AB323" s="152"/>
    </row>
    <row r="324" spans="1:28"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c r="AA324" s="152"/>
      <c r="AB324" s="152"/>
    </row>
    <row r="325" spans="1:28"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c r="AA325" s="152"/>
      <c r="AB325" s="152"/>
    </row>
    <row r="326" spans="1:28"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c r="AA326" s="152"/>
      <c r="AB326" s="152"/>
    </row>
    <row r="327" spans="1:28"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c r="AA327" s="152"/>
      <c r="AB327" s="152"/>
    </row>
    <row r="328" spans="1:28"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c r="AA328" s="152"/>
      <c r="AB328" s="152"/>
    </row>
    <row r="329" spans="1:28"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c r="AA329" s="152"/>
      <c r="AB329" s="152"/>
    </row>
    <row r="330" spans="1:28"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c r="AA330" s="152"/>
      <c r="AB330" s="152"/>
    </row>
    <row r="331" spans="1:28"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c r="AA331" s="152"/>
      <c r="AB331" s="152"/>
    </row>
    <row r="332" spans="1:28"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c r="AA332" s="152"/>
      <c r="AB332" s="152"/>
    </row>
    <row r="333" spans="1:28"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c r="AA333" s="152"/>
      <c r="AB333" s="152"/>
    </row>
    <row r="334" spans="1:28"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c r="AA334" s="152"/>
      <c r="AB334" s="152"/>
    </row>
    <row r="335" spans="1:28"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c r="AA335" s="152"/>
      <c r="AB335" s="152"/>
    </row>
    <row r="336" spans="1:28"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c r="AA336" s="152"/>
      <c r="AB336" s="152"/>
    </row>
    <row r="337" spans="1:28"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c r="AA337" s="152"/>
      <c r="AB337" s="152"/>
    </row>
    <row r="338" spans="1:28"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c r="AA338" s="152"/>
      <c r="AB338" s="152"/>
    </row>
    <row r="339" spans="1:28"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c r="AA339" s="152"/>
      <c r="AB339" s="152"/>
    </row>
    <row r="340" spans="1:28"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c r="AA340" s="152"/>
      <c r="AB340" s="152"/>
    </row>
    <row r="341" spans="1:28"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c r="AA341" s="152"/>
      <c r="AB341" s="152"/>
    </row>
    <row r="342" spans="1:28"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c r="AA342" s="152"/>
      <c r="AB342" s="152"/>
    </row>
    <row r="343" spans="1:28"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c r="AA343" s="152"/>
      <c r="AB343" s="152"/>
    </row>
    <row r="344" spans="1:28"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c r="AA344" s="152"/>
      <c r="AB344" s="15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5"/>
      <c r="T3" s="14" t="s">
        <v>8</v>
      </c>
    </row>
    <row r="4" spans="1:20" s="17" customFormat="1" ht="18.75" customHeight="1" x14ac:dyDescent="0.3">
      <c r="H4" s="135"/>
      <c r="T4" s="14" t="s">
        <v>65</v>
      </c>
    </row>
    <row r="5" spans="1:20" s="17" customFormat="1" ht="18.75" customHeight="1" x14ac:dyDescent="0.3">
      <c r="H5" s="135"/>
      <c r="T5" s="14"/>
    </row>
    <row r="6" spans="1:20" s="17" customFormat="1" x14ac:dyDescent="0.2">
      <c r="A6" s="388" t="str">
        <f>'1. паспорт местоположение'!A5:C5</f>
        <v>Год раскрытия информации: 2021 год</v>
      </c>
      <c r="B6" s="388"/>
      <c r="C6" s="388"/>
      <c r="D6" s="388"/>
      <c r="E6" s="388"/>
      <c r="F6" s="388"/>
      <c r="G6" s="388"/>
      <c r="H6" s="388"/>
      <c r="I6" s="388"/>
      <c r="J6" s="388"/>
      <c r="K6" s="388"/>
      <c r="L6" s="388"/>
      <c r="M6" s="388"/>
      <c r="N6" s="388"/>
      <c r="O6" s="388"/>
      <c r="P6" s="388"/>
      <c r="Q6" s="388"/>
      <c r="R6" s="388"/>
      <c r="S6" s="388"/>
      <c r="T6" s="388"/>
    </row>
    <row r="7" spans="1:20" s="17" customFormat="1" x14ac:dyDescent="0.2">
      <c r="A7" s="136"/>
      <c r="H7" s="135"/>
    </row>
    <row r="8" spans="1:20" s="17" customFormat="1" ht="18.75" x14ac:dyDescent="0.2">
      <c r="A8" s="397" t="s">
        <v>7</v>
      </c>
      <c r="B8" s="397"/>
      <c r="C8" s="397"/>
      <c r="D8" s="397"/>
      <c r="E8" s="397"/>
      <c r="F8" s="397"/>
      <c r="G8" s="397"/>
      <c r="H8" s="397"/>
      <c r="I8" s="397"/>
      <c r="J8" s="397"/>
      <c r="K8" s="397"/>
      <c r="L8" s="397"/>
      <c r="M8" s="397"/>
      <c r="N8" s="397"/>
      <c r="O8" s="397"/>
      <c r="P8" s="397"/>
      <c r="Q8" s="397"/>
      <c r="R8" s="397"/>
      <c r="S8" s="397"/>
      <c r="T8" s="397"/>
    </row>
    <row r="9" spans="1:20" s="17"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7" customFormat="1" ht="18.75" customHeight="1" x14ac:dyDescent="0.2">
      <c r="A10" s="395" t="str">
        <f>'1. паспорт местоположение'!A9:C9</f>
        <v xml:space="preserve">Акционерное общество "Западная энергетическая компания" </v>
      </c>
      <c r="B10" s="395"/>
      <c r="C10" s="395"/>
      <c r="D10" s="395"/>
      <c r="E10" s="395"/>
      <c r="F10" s="395"/>
      <c r="G10" s="395"/>
      <c r="H10" s="395"/>
      <c r="I10" s="395"/>
      <c r="J10" s="395"/>
      <c r="K10" s="395"/>
      <c r="L10" s="395"/>
      <c r="M10" s="395"/>
      <c r="N10" s="395"/>
      <c r="O10" s="395"/>
      <c r="P10" s="395"/>
      <c r="Q10" s="395"/>
      <c r="R10" s="395"/>
      <c r="S10" s="395"/>
      <c r="T10" s="395"/>
    </row>
    <row r="11" spans="1:20" s="17" customFormat="1" ht="18.75" customHeight="1" x14ac:dyDescent="0.2">
      <c r="A11" s="401" t="s">
        <v>6</v>
      </c>
      <c r="B11" s="401"/>
      <c r="C11" s="401"/>
      <c r="D11" s="401"/>
      <c r="E11" s="401"/>
      <c r="F11" s="401"/>
      <c r="G11" s="401"/>
      <c r="H11" s="401"/>
      <c r="I11" s="401"/>
      <c r="J11" s="401"/>
      <c r="K11" s="401"/>
      <c r="L11" s="401"/>
      <c r="M11" s="401"/>
      <c r="N11" s="401"/>
      <c r="O11" s="401"/>
      <c r="P11" s="401"/>
      <c r="Q11" s="401"/>
      <c r="R11" s="401"/>
      <c r="S11" s="401"/>
      <c r="T11" s="401"/>
    </row>
    <row r="12" spans="1:20" s="17"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7" customFormat="1" ht="18.75" customHeight="1" x14ac:dyDescent="0.2">
      <c r="A13" s="395" t="str">
        <f>'1. паспорт местоположение'!A12:C12</f>
        <v>J  19-01</v>
      </c>
      <c r="B13" s="395"/>
      <c r="C13" s="395"/>
      <c r="D13" s="395"/>
      <c r="E13" s="395"/>
      <c r="F13" s="395"/>
      <c r="G13" s="395"/>
      <c r="H13" s="395"/>
      <c r="I13" s="395"/>
      <c r="J13" s="395"/>
      <c r="K13" s="395"/>
      <c r="L13" s="395"/>
      <c r="M13" s="395"/>
      <c r="N13" s="395"/>
      <c r="O13" s="395"/>
      <c r="P13" s="395"/>
      <c r="Q13" s="395"/>
      <c r="R13" s="395"/>
      <c r="S13" s="395"/>
      <c r="T13" s="395"/>
    </row>
    <row r="14" spans="1:20" s="17" customFormat="1" ht="18.75" customHeight="1" x14ac:dyDescent="0.2">
      <c r="A14" s="401" t="s">
        <v>5</v>
      </c>
      <c r="B14" s="401"/>
      <c r="C14" s="401"/>
      <c r="D14" s="401"/>
      <c r="E14" s="401"/>
      <c r="F14" s="401"/>
      <c r="G14" s="401"/>
      <c r="H14" s="401"/>
      <c r="I14" s="401"/>
      <c r="J14" s="401"/>
      <c r="K14" s="401"/>
      <c r="L14" s="401"/>
      <c r="M14" s="401"/>
      <c r="N14" s="401"/>
      <c r="O14" s="401"/>
      <c r="P14" s="401"/>
      <c r="Q14" s="401"/>
      <c r="R14" s="401"/>
      <c r="S14" s="401"/>
      <c r="T14" s="401"/>
    </row>
    <row r="15" spans="1:20" s="137"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138" customFormat="1" x14ac:dyDescent="0.2">
      <c r="A16"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95"/>
      <c r="C16" s="395"/>
      <c r="D16" s="395"/>
      <c r="E16" s="395"/>
      <c r="F16" s="395"/>
      <c r="G16" s="395"/>
      <c r="H16" s="395"/>
      <c r="I16" s="395"/>
      <c r="J16" s="395"/>
      <c r="K16" s="395"/>
      <c r="L16" s="395"/>
      <c r="M16" s="395"/>
      <c r="N16" s="395"/>
      <c r="O16" s="395"/>
      <c r="P16" s="395"/>
      <c r="Q16" s="395"/>
      <c r="R16" s="395"/>
      <c r="S16" s="395"/>
      <c r="T16" s="395"/>
    </row>
    <row r="17" spans="1:20" s="138" customFormat="1" ht="15" customHeight="1" x14ac:dyDescent="0.2">
      <c r="A17" s="401" t="s">
        <v>4</v>
      </c>
      <c r="B17" s="401"/>
      <c r="C17" s="401"/>
      <c r="D17" s="401"/>
      <c r="E17" s="401"/>
      <c r="F17" s="401"/>
      <c r="G17" s="401"/>
      <c r="H17" s="401"/>
      <c r="I17" s="401"/>
      <c r="J17" s="401"/>
      <c r="K17" s="401"/>
      <c r="L17" s="401"/>
      <c r="M17" s="401"/>
      <c r="N17" s="401"/>
      <c r="O17" s="401"/>
      <c r="P17" s="401"/>
      <c r="Q17" s="401"/>
      <c r="R17" s="401"/>
      <c r="S17" s="401"/>
      <c r="T17" s="401"/>
    </row>
    <row r="18" spans="1:20" s="138"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20" s="138" customFormat="1" ht="15" customHeight="1" x14ac:dyDescent="0.2">
      <c r="A19" s="423" t="s">
        <v>387</v>
      </c>
      <c r="B19" s="423"/>
      <c r="C19" s="423"/>
      <c r="D19" s="423"/>
      <c r="E19" s="423"/>
      <c r="F19" s="423"/>
      <c r="G19" s="423"/>
      <c r="H19" s="423"/>
      <c r="I19" s="423"/>
      <c r="J19" s="423"/>
      <c r="K19" s="423"/>
      <c r="L19" s="423"/>
      <c r="M19" s="423"/>
      <c r="N19" s="423"/>
      <c r="O19" s="423"/>
      <c r="P19" s="423"/>
      <c r="Q19" s="423"/>
      <c r="R19" s="423"/>
      <c r="S19" s="423"/>
      <c r="T19" s="423"/>
    </row>
    <row r="20" spans="1:20" s="41"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20" ht="46.5" customHeight="1" x14ac:dyDescent="0.25">
      <c r="A21" s="417" t="s">
        <v>3</v>
      </c>
      <c r="B21" s="407" t="s">
        <v>200</v>
      </c>
      <c r="C21" s="408"/>
      <c r="D21" s="411" t="s">
        <v>116</v>
      </c>
      <c r="E21" s="407" t="s">
        <v>415</v>
      </c>
      <c r="F21" s="408"/>
      <c r="G21" s="407" t="s">
        <v>239</v>
      </c>
      <c r="H21" s="408"/>
      <c r="I21" s="407" t="s">
        <v>115</v>
      </c>
      <c r="J21" s="408"/>
      <c r="K21" s="411" t="s">
        <v>114</v>
      </c>
      <c r="L21" s="407" t="s">
        <v>113</v>
      </c>
      <c r="M21" s="408"/>
      <c r="N21" s="407" t="s">
        <v>446</v>
      </c>
      <c r="O21" s="408"/>
      <c r="P21" s="411" t="s">
        <v>112</v>
      </c>
      <c r="Q21" s="420" t="s">
        <v>111</v>
      </c>
      <c r="R21" s="421"/>
      <c r="S21" s="420" t="s">
        <v>110</v>
      </c>
      <c r="T21" s="422"/>
    </row>
    <row r="22" spans="1:20" ht="204.75" customHeight="1" x14ac:dyDescent="0.25">
      <c r="A22" s="418"/>
      <c r="B22" s="409"/>
      <c r="C22" s="410"/>
      <c r="D22" s="413"/>
      <c r="E22" s="409"/>
      <c r="F22" s="410"/>
      <c r="G22" s="409"/>
      <c r="H22" s="410"/>
      <c r="I22" s="409"/>
      <c r="J22" s="410"/>
      <c r="K22" s="412"/>
      <c r="L22" s="409"/>
      <c r="M22" s="410"/>
      <c r="N22" s="409"/>
      <c r="O22" s="410"/>
      <c r="P22" s="412"/>
      <c r="Q22" s="72" t="s">
        <v>109</v>
      </c>
      <c r="R22" s="72" t="s">
        <v>386</v>
      </c>
      <c r="S22" s="72" t="s">
        <v>108</v>
      </c>
      <c r="T22" s="72" t="s">
        <v>107</v>
      </c>
    </row>
    <row r="23" spans="1:20" ht="51.75" customHeight="1" x14ac:dyDescent="0.25">
      <c r="A23" s="419"/>
      <c r="B23" s="104" t="s">
        <v>105</v>
      </c>
      <c r="C23" s="104" t="s">
        <v>106</v>
      </c>
      <c r="D23" s="412"/>
      <c r="E23" s="104" t="s">
        <v>105</v>
      </c>
      <c r="F23" s="104" t="s">
        <v>106</v>
      </c>
      <c r="G23" s="104" t="s">
        <v>105</v>
      </c>
      <c r="H23" s="104" t="s">
        <v>106</v>
      </c>
      <c r="I23" s="104" t="s">
        <v>105</v>
      </c>
      <c r="J23" s="104" t="s">
        <v>106</v>
      </c>
      <c r="K23" s="104" t="s">
        <v>105</v>
      </c>
      <c r="L23" s="104" t="s">
        <v>105</v>
      </c>
      <c r="M23" s="104" t="s">
        <v>106</v>
      </c>
      <c r="N23" s="104" t="s">
        <v>105</v>
      </c>
      <c r="O23" s="104" t="s">
        <v>106</v>
      </c>
      <c r="P23" s="132"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2">
        <v>1</v>
      </c>
      <c r="B25" s="414" t="s">
        <v>298</v>
      </c>
      <c r="C25" s="414" t="s">
        <v>569</v>
      </c>
      <c r="D25" s="112" t="s">
        <v>439</v>
      </c>
      <c r="E25" s="112" t="s">
        <v>298</v>
      </c>
      <c r="F25" s="112" t="s">
        <v>562</v>
      </c>
      <c r="G25" s="112" t="s">
        <v>298</v>
      </c>
      <c r="H25" s="112" t="s">
        <v>563</v>
      </c>
      <c r="I25" s="112" t="s">
        <v>298</v>
      </c>
      <c r="J25" s="113" t="s">
        <v>565</v>
      </c>
      <c r="K25" s="112" t="s">
        <v>298</v>
      </c>
      <c r="L25" s="112" t="s">
        <v>298</v>
      </c>
      <c r="M25" s="112">
        <v>110</v>
      </c>
      <c r="N25" s="112" t="s">
        <v>298</v>
      </c>
      <c r="O25" s="112">
        <v>32</v>
      </c>
      <c r="P25" s="112" t="s">
        <v>298</v>
      </c>
      <c r="Q25" s="112" t="s">
        <v>298</v>
      </c>
      <c r="R25" s="112" t="s">
        <v>298</v>
      </c>
      <c r="S25" s="112" t="s">
        <v>298</v>
      </c>
      <c r="T25" s="112" t="s">
        <v>298</v>
      </c>
    </row>
    <row r="26" spans="1:20" s="41" customFormat="1" ht="63" x14ac:dyDescent="0.25">
      <c r="A26" s="112"/>
      <c r="B26" s="415"/>
      <c r="C26" s="415"/>
      <c r="D26" s="112" t="s">
        <v>385</v>
      </c>
      <c r="E26" s="112" t="s">
        <v>298</v>
      </c>
      <c r="F26" s="112" t="s">
        <v>556</v>
      </c>
      <c r="G26" s="112" t="s">
        <v>298</v>
      </c>
      <c r="H26" s="112" t="s">
        <v>564</v>
      </c>
      <c r="I26" s="112" t="s">
        <v>298</v>
      </c>
      <c r="J26" s="113" t="s">
        <v>565</v>
      </c>
      <c r="K26" s="112" t="s">
        <v>298</v>
      </c>
      <c r="L26" s="112" t="s">
        <v>298</v>
      </c>
      <c r="M26" s="112">
        <v>110</v>
      </c>
      <c r="N26" s="112" t="s">
        <v>298</v>
      </c>
      <c r="O26" s="112">
        <v>2</v>
      </c>
      <c r="P26" s="112" t="s">
        <v>298</v>
      </c>
      <c r="Q26" s="112" t="s">
        <v>298</v>
      </c>
      <c r="R26" s="112" t="s">
        <v>298</v>
      </c>
      <c r="S26" s="112" t="s">
        <v>298</v>
      </c>
      <c r="T26" s="112" t="s">
        <v>298</v>
      </c>
    </row>
    <row r="27" spans="1:20" s="41" customFormat="1" ht="31.5" x14ac:dyDescent="0.25">
      <c r="A27" s="112"/>
      <c r="B27" s="415"/>
      <c r="C27" s="415"/>
      <c r="D27" s="112" t="s">
        <v>557</v>
      </c>
      <c r="E27" s="112" t="s">
        <v>298</v>
      </c>
      <c r="F27" s="112" t="s">
        <v>558</v>
      </c>
      <c r="G27" s="112" t="s">
        <v>298</v>
      </c>
      <c r="H27" s="112" t="s">
        <v>566</v>
      </c>
      <c r="I27" s="112" t="s">
        <v>298</v>
      </c>
      <c r="J27" s="113" t="s">
        <v>565</v>
      </c>
      <c r="K27" s="112" t="s">
        <v>298</v>
      </c>
      <c r="L27" s="112" t="s">
        <v>298</v>
      </c>
      <c r="M27" s="112">
        <v>15</v>
      </c>
      <c r="N27" s="112" t="s">
        <v>298</v>
      </c>
      <c r="O27" s="112">
        <f>0.84*4</f>
        <v>3.36</v>
      </c>
      <c r="P27" s="112" t="s">
        <v>298</v>
      </c>
      <c r="Q27" s="112" t="s">
        <v>298</v>
      </c>
      <c r="R27" s="112" t="s">
        <v>298</v>
      </c>
      <c r="S27" s="112" t="s">
        <v>298</v>
      </c>
      <c r="T27" s="112" t="s">
        <v>298</v>
      </c>
    </row>
    <row r="28" spans="1:20" s="41" customFormat="1" ht="31.5" x14ac:dyDescent="0.25">
      <c r="A28" s="112"/>
      <c r="B28" s="415"/>
      <c r="C28" s="415"/>
      <c r="D28" s="112" t="s">
        <v>568</v>
      </c>
      <c r="E28" s="112" t="s">
        <v>298</v>
      </c>
      <c r="F28" s="112"/>
      <c r="G28" s="112"/>
      <c r="H28" s="112" t="s">
        <v>567</v>
      </c>
      <c r="I28" s="112"/>
      <c r="J28" s="113" t="s">
        <v>565</v>
      </c>
      <c r="K28" s="112"/>
      <c r="L28" s="112"/>
      <c r="M28" s="112">
        <v>15</v>
      </c>
      <c r="N28" s="112"/>
      <c r="O28" s="112">
        <v>0.2</v>
      </c>
      <c r="P28" s="112" t="s">
        <v>298</v>
      </c>
      <c r="Q28" s="112" t="s">
        <v>298</v>
      </c>
      <c r="R28" s="112" t="s">
        <v>298</v>
      </c>
      <c r="S28" s="112" t="s">
        <v>298</v>
      </c>
      <c r="T28" s="112" t="s">
        <v>298</v>
      </c>
    </row>
    <row r="29" spans="1:20" s="41" customFormat="1" ht="47.25" x14ac:dyDescent="0.25">
      <c r="A29" s="112">
        <v>2</v>
      </c>
      <c r="B29" s="416"/>
      <c r="C29" s="416"/>
      <c r="D29" s="112" t="s">
        <v>559</v>
      </c>
      <c r="E29" s="112" t="s">
        <v>298</v>
      </c>
      <c r="F29" s="112" t="s">
        <v>571</v>
      </c>
      <c r="G29" s="112" t="s">
        <v>298</v>
      </c>
      <c r="H29" s="112" t="s">
        <v>570</v>
      </c>
      <c r="I29" s="112" t="s">
        <v>298</v>
      </c>
      <c r="J29" s="113" t="s">
        <v>565</v>
      </c>
      <c r="K29" s="112" t="s">
        <v>298</v>
      </c>
      <c r="L29" s="112" t="s">
        <v>298</v>
      </c>
      <c r="M29" s="112">
        <v>15</v>
      </c>
      <c r="N29" s="112" t="s">
        <v>298</v>
      </c>
      <c r="O29" s="112">
        <v>18</v>
      </c>
      <c r="P29" s="112" t="s">
        <v>298</v>
      </c>
      <c r="Q29" s="112" t="s">
        <v>298</v>
      </c>
      <c r="R29" s="112" t="s">
        <v>298</v>
      </c>
      <c r="S29" s="112" t="s">
        <v>298</v>
      </c>
      <c r="T29" s="112"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06" t="s">
        <v>421</v>
      </c>
      <c r="C32" s="406"/>
      <c r="D32" s="406"/>
      <c r="E32" s="406"/>
      <c r="F32" s="406"/>
      <c r="G32" s="406"/>
      <c r="H32" s="406"/>
      <c r="I32" s="406"/>
      <c r="J32" s="406"/>
      <c r="K32" s="406"/>
      <c r="L32" s="406"/>
      <c r="M32" s="406"/>
      <c r="N32" s="406"/>
      <c r="O32" s="406"/>
      <c r="P32" s="406"/>
      <c r="Q32" s="406"/>
      <c r="R32" s="40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A26" sqref="A26:XFD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5"/>
      <c r="R2" s="135"/>
      <c r="AA2" s="14" t="s">
        <v>8</v>
      </c>
    </row>
    <row r="3" spans="1:27" s="17" customFormat="1" ht="18.75" customHeight="1" x14ac:dyDescent="0.3">
      <c r="Q3" s="135"/>
      <c r="R3" s="135"/>
      <c r="AA3" s="14" t="s">
        <v>65</v>
      </c>
    </row>
    <row r="4" spans="1:27" s="17" customFormat="1" x14ac:dyDescent="0.2">
      <c r="E4" s="136"/>
      <c r="Q4" s="135"/>
      <c r="R4" s="135"/>
    </row>
    <row r="5" spans="1:27" s="17" customFormat="1" x14ac:dyDescent="0.2">
      <c r="A5" s="388" t="str">
        <f>'1. паспорт местоположение'!A5:C5</f>
        <v>Год раскрытия информации: 2021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7" customFormat="1" x14ac:dyDescent="0.2">
      <c r="A6" s="131"/>
      <c r="B6" s="131"/>
      <c r="C6" s="131"/>
      <c r="D6" s="131"/>
      <c r="E6" s="131"/>
      <c r="F6" s="131"/>
      <c r="G6" s="131"/>
      <c r="H6" s="131"/>
      <c r="I6" s="131"/>
      <c r="J6" s="131"/>
      <c r="K6" s="131"/>
      <c r="L6" s="131"/>
      <c r="M6" s="131"/>
      <c r="N6" s="131"/>
      <c r="O6" s="131"/>
      <c r="P6" s="131"/>
      <c r="Q6" s="131"/>
      <c r="R6" s="131"/>
      <c r="S6" s="131"/>
      <c r="T6" s="131"/>
    </row>
    <row r="7" spans="1:27" s="17" customFormat="1" ht="18.75" x14ac:dyDescent="0.2">
      <c r="E7" s="397" t="s">
        <v>7</v>
      </c>
      <c r="F7" s="397"/>
      <c r="G7" s="397"/>
      <c r="H7" s="397"/>
      <c r="I7" s="397"/>
      <c r="J7" s="397"/>
      <c r="K7" s="397"/>
      <c r="L7" s="397"/>
      <c r="M7" s="397"/>
      <c r="N7" s="397"/>
      <c r="O7" s="397"/>
      <c r="P7" s="397"/>
      <c r="Q7" s="397"/>
      <c r="R7" s="397"/>
      <c r="S7" s="397"/>
      <c r="T7" s="397"/>
      <c r="U7" s="397"/>
      <c r="V7" s="397"/>
      <c r="W7" s="397"/>
      <c r="X7" s="397"/>
      <c r="Y7" s="397"/>
    </row>
    <row r="8" spans="1:27" s="17" customFormat="1" ht="18.75" x14ac:dyDescent="0.2">
      <c r="E8" s="154"/>
      <c r="F8" s="154"/>
      <c r="G8" s="154"/>
      <c r="H8" s="154"/>
      <c r="I8" s="154"/>
      <c r="J8" s="154"/>
      <c r="K8" s="154"/>
      <c r="L8" s="154"/>
      <c r="M8" s="154"/>
      <c r="N8" s="154"/>
      <c r="O8" s="154"/>
      <c r="P8" s="154"/>
      <c r="Q8" s="154"/>
      <c r="R8" s="154"/>
      <c r="S8" s="139"/>
      <c r="T8" s="139"/>
      <c r="U8" s="139"/>
      <c r="V8" s="139"/>
      <c r="W8" s="139"/>
    </row>
    <row r="9" spans="1:27" s="17" customFormat="1" ht="18.75" customHeight="1" x14ac:dyDescent="0.2">
      <c r="E9" s="395" t="str">
        <f>'1. паспорт местоположение'!A9</f>
        <v xml:space="preserve">Акционерное общество "Западная энергетическая компания" </v>
      </c>
      <c r="F9" s="395"/>
      <c r="G9" s="395"/>
      <c r="H9" s="395"/>
      <c r="I9" s="395"/>
      <c r="J9" s="395"/>
      <c r="K9" s="395"/>
      <c r="L9" s="395"/>
      <c r="M9" s="395"/>
      <c r="N9" s="395"/>
      <c r="O9" s="395"/>
      <c r="P9" s="395"/>
      <c r="Q9" s="395"/>
      <c r="R9" s="395"/>
      <c r="S9" s="395"/>
      <c r="T9" s="395"/>
      <c r="U9" s="395"/>
      <c r="V9" s="395"/>
      <c r="W9" s="395"/>
      <c r="X9" s="395"/>
      <c r="Y9" s="395"/>
    </row>
    <row r="10" spans="1:27" s="17"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17"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7" customFormat="1" ht="18.75" customHeight="1" x14ac:dyDescent="0.2">
      <c r="E12" s="395" t="str">
        <f>'1. паспорт местоположение'!A12</f>
        <v>J  19-01</v>
      </c>
      <c r="F12" s="395"/>
      <c r="G12" s="395"/>
      <c r="H12" s="395"/>
      <c r="I12" s="395"/>
      <c r="J12" s="395"/>
      <c r="K12" s="395"/>
      <c r="L12" s="395"/>
      <c r="M12" s="395"/>
      <c r="N12" s="395"/>
      <c r="O12" s="395"/>
      <c r="P12" s="395"/>
      <c r="Q12" s="395"/>
      <c r="R12" s="395"/>
      <c r="S12" s="395"/>
      <c r="T12" s="395"/>
      <c r="U12" s="395"/>
      <c r="V12" s="395"/>
      <c r="W12" s="395"/>
      <c r="X12" s="395"/>
      <c r="Y12" s="395"/>
    </row>
    <row r="13" spans="1:27" s="17"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395"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95"/>
      <c r="G15" s="395"/>
      <c r="H15" s="395"/>
      <c r="I15" s="395"/>
      <c r="J15" s="395"/>
      <c r="K15" s="395"/>
      <c r="L15" s="395"/>
      <c r="M15" s="395"/>
      <c r="N15" s="395"/>
      <c r="O15" s="395"/>
      <c r="P15" s="395"/>
      <c r="Q15" s="395"/>
      <c r="R15" s="395"/>
      <c r="S15" s="395"/>
      <c r="T15" s="395"/>
      <c r="U15" s="395"/>
      <c r="V15" s="395"/>
      <c r="W15" s="395"/>
      <c r="X15" s="395"/>
      <c r="Y15" s="395"/>
    </row>
    <row r="16" spans="1:27" s="138"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389</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41" customFormat="1" ht="21" customHeight="1" x14ac:dyDescent="0.25"/>
    <row r="21" spans="1:27" ht="15.75" customHeight="1" x14ac:dyDescent="0.25">
      <c r="A21" s="425" t="s">
        <v>3</v>
      </c>
      <c r="B21" s="428" t="s">
        <v>396</v>
      </c>
      <c r="C21" s="429"/>
      <c r="D21" s="428" t="s">
        <v>398</v>
      </c>
      <c r="E21" s="429"/>
      <c r="F21" s="420" t="s">
        <v>88</v>
      </c>
      <c r="G21" s="422"/>
      <c r="H21" s="422"/>
      <c r="I21" s="421"/>
      <c r="J21" s="425" t="s">
        <v>399</v>
      </c>
      <c r="K21" s="428" t="s">
        <v>400</v>
      </c>
      <c r="L21" s="429"/>
      <c r="M21" s="428" t="s">
        <v>401</v>
      </c>
      <c r="N21" s="429"/>
      <c r="O21" s="428" t="s">
        <v>388</v>
      </c>
      <c r="P21" s="429"/>
      <c r="Q21" s="428" t="s">
        <v>121</v>
      </c>
      <c r="R21" s="429"/>
      <c r="S21" s="425" t="s">
        <v>120</v>
      </c>
      <c r="T21" s="425" t="s">
        <v>402</v>
      </c>
      <c r="U21" s="425" t="s">
        <v>397</v>
      </c>
      <c r="V21" s="428" t="s">
        <v>119</v>
      </c>
      <c r="W21" s="429"/>
      <c r="X21" s="420" t="s">
        <v>111</v>
      </c>
      <c r="Y21" s="422"/>
      <c r="Z21" s="420" t="s">
        <v>110</v>
      </c>
      <c r="AA21" s="422"/>
    </row>
    <row r="22" spans="1:27" ht="216" customHeight="1" x14ac:dyDescent="0.25">
      <c r="A22" s="426"/>
      <c r="B22" s="430"/>
      <c r="C22" s="431"/>
      <c r="D22" s="430"/>
      <c r="E22" s="431"/>
      <c r="F22" s="420" t="s">
        <v>118</v>
      </c>
      <c r="G22" s="421"/>
      <c r="H22" s="420" t="s">
        <v>117</v>
      </c>
      <c r="I22" s="421"/>
      <c r="J22" s="427"/>
      <c r="K22" s="430"/>
      <c r="L22" s="431"/>
      <c r="M22" s="430"/>
      <c r="N22" s="431"/>
      <c r="O22" s="430"/>
      <c r="P22" s="431"/>
      <c r="Q22" s="430"/>
      <c r="R22" s="431"/>
      <c r="S22" s="427"/>
      <c r="T22" s="427"/>
      <c r="U22" s="427"/>
      <c r="V22" s="430"/>
      <c r="W22" s="431"/>
      <c r="X22" s="72" t="s">
        <v>109</v>
      </c>
      <c r="Y22" s="72" t="s">
        <v>386</v>
      </c>
      <c r="Z22" s="72" t="s">
        <v>108</v>
      </c>
      <c r="AA22" s="72" t="s">
        <v>107</v>
      </c>
    </row>
    <row r="23" spans="1:27" ht="60" customHeight="1" x14ac:dyDescent="0.25">
      <c r="A23" s="427"/>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2">
        <v>1</v>
      </c>
      <c r="B25" s="114" t="s">
        <v>551</v>
      </c>
      <c r="C25" s="112" t="s">
        <v>586</v>
      </c>
      <c r="D25" s="112" t="s">
        <v>298</v>
      </c>
      <c r="E25" s="112" t="s">
        <v>586</v>
      </c>
      <c r="F25" s="112" t="s">
        <v>298</v>
      </c>
      <c r="G25" s="112">
        <v>110</v>
      </c>
      <c r="H25" s="112" t="s">
        <v>298</v>
      </c>
      <c r="I25" s="112">
        <v>110</v>
      </c>
      <c r="J25" s="112" t="s">
        <v>298</v>
      </c>
      <c r="K25" s="112" t="s">
        <v>298</v>
      </c>
      <c r="L25" s="112" t="s">
        <v>587</v>
      </c>
      <c r="M25" s="112" t="s">
        <v>298</v>
      </c>
      <c r="N25" s="112">
        <v>150</v>
      </c>
      <c r="O25" s="112" t="s">
        <v>298</v>
      </c>
      <c r="P25" s="112" t="s">
        <v>588</v>
      </c>
      <c r="Q25" s="112" t="s">
        <v>298</v>
      </c>
      <c r="R25" s="112">
        <v>5.6660000000000004</v>
      </c>
      <c r="S25" s="112" t="s">
        <v>298</v>
      </c>
      <c r="T25" s="112" t="s">
        <v>298</v>
      </c>
      <c r="U25" s="112" t="s">
        <v>298</v>
      </c>
      <c r="V25" s="112" t="s">
        <v>298</v>
      </c>
      <c r="W25" s="112"/>
      <c r="X25" s="112" t="s">
        <v>298</v>
      </c>
      <c r="Y25" s="112" t="s">
        <v>298</v>
      </c>
      <c r="Z25" s="112" t="s">
        <v>298</v>
      </c>
      <c r="AA25" s="112" t="s">
        <v>298</v>
      </c>
    </row>
    <row r="26" spans="1:27" s="40" customFormat="1" ht="12.75" x14ac:dyDescent="0.2">
      <c r="X26" s="73"/>
      <c r="Y26" s="73"/>
      <c r="Z26" s="73"/>
      <c r="AA26" s="73"/>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7" customFormat="1" ht="18.75" customHeight="1" x14ac:dyDescent="0.2">
      <c r="C1" s="29" t="s">
        <v>66</v>
      </c>
      <c r="E1" s="135"/>
      <c r="F1" s="135"/>
    </row>
    <row r="2" spans="1:29" s="17" customFormat="1" ht="18.75" customHeight="1" x14ac:dyDescent="0.3">
      <c r="C2" s="14" t="s">
        <v>8</v>
      </c>
      <c r="E2" s="135"/>
      <c r="F2" s="135"/>
    </row>
    <row r="3" spans="1:29" s="17" customFormat="1" ht="18.75" x14ac:dyDescent="0.3">
      <c r="A3" s="136"/>
      <c r="C3" s="14" t="s">
        <v>65</v>
      </c>
      <c r="E3" s="135"/>
      <c r="F3" s="135"/>
    </row>
    <row r="4" spans="1:29" s="17" customFormat="1" ht="18.75" x14ac:dyDescent="0.3">
      <c r="A4" s="136"/>
      <c r="C4" s="14"/>
      <c r="E4" s="135"/>
      <c r="F4" s="135"/>
    </row>
    <row r="5" spans="1:29" s="17" customFormat="1" ht="15.75" x14ac:dyDescent="0.2">
      <c r="A5" s="388" t="str">
        <f>'1. паспорт местоположение'!A5:C5</f>
        <v>Год раскрытия информации: 2021 год</v>
      </c>
      <c r="B5" s="388"/>
      <c r="C5" s="38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6"/>
      <c r="E6" s="135"/>
      <c r="F6" s="135"/>
      <c r="G6" s="14"/>
    </row>
    <row r="7" spans="1:29" s="17" customFormat="1" ht="18.75" x14ac:dyDescent="0.2">
      <c r="A7" s="397" t="s">
        <v>7</v>
      </c>
      <c r="B7" s="397"/>
      <c r="C7" s="397"/>
      <c r="D7" s="139"/>
      <c r="E7" s="139"/>
      <c r="F7" s="139"/>
      <c r="G7" s="139"/>
      <c r="H7" s="139"/>
      <c r="I7" s="139"/>
      <c r="J7" s="139"/>
      <c r="K7" s="139"/>
      <c r="L7" s="139"/>
      <c r="M7" s="139"/>
      <c r="N7" s="139"/>
      <c r="O7" s="139"/>
      <c r="P7" s="139"/>
      <c r="Q7" s="139"/>
      <c r="R7" s="139"/>
      <c r="S7" s="139"/>
      <c r="T7" s="139"/>
      <c r="U7" s="139"/>
    </row>
    <row r="8" spans="1:29" s="17" customFormat="1" ht="18.75" x14ac:dyDescent="0.2">
      <c r="A8" s="397"/>
      <c r="B8" s="397"/>
      <c r="C8" s="397"/>
      <c r="D8" s="154"/>
      <c r="E8" s="154"/>
      <c r="F8" s="154"/>
      <c r="G8" s="154"/>
      <c r="H8" s="139"/>
      <c r="I8" s="139"/>
      <c r="J8" s="139"/>
      <c r="K8" s="139"/>
      <c r="L8" s="139"/>
      <c r="M8" s="139"/>
      <c r="N8" s="139"/>
      <c r="O8" s="139"/>
      <c r="P8" s="139"/>
      <c r="Q8" s="139"/>
      <c r="R8" s="139"/>
      <c r="S8" s="139"/>
      <c r="T8" s="139"/>
      <c r="U8" s="139"/>
    </row>
    <row r="9" spans="1:29" s="17" customFormat="1" ht="18.75" x14ac:dyDescent="0.2">
      <c r="A9" s="395" t="str">
        <f>'1. паспорт местоположение'!A9:C9</f>
        <v xml:space="preserve">Акционерное общество "Западная энергетическая компания" </v>
      </c>
      <c r="B9" s="395"/>
      <c r="C9" s="395"/>
      <c r="D9" s="141"/>
      <c r="E9" s="141"/>
      <c r="F9" s="141"/>
      <c r="G9" s="141"/>
      <c r="H9" s="139"/>
      <c r="I9" s="139"/>
      <c r="J9" s="139"/>
      <c r="K9" s="139"/>
      <c r="L9" s="139"/>
      <c r="M9" s="139"/>
      <c r="N9" s="139"/>
      <c r="O9" s="139"/>
      <c r="P9" s="139"/>
      <c r="Q9" s="139"/>
      <c r="R9" s="139"/>
      <c r="S9" s="139"/>
      <c r="T9" s="139"/>
      <c r="U9" s="139"/>
    </row>
    <row r="10" spans="1:29" s="17" customFormat="1" ht="18.75" x14ac:dyDescent="0.2">
      <c r="A10" s="401" t="s">
        <v>6</v>
      </c>
      <c r="B10" s="401"/>
      <c r="C10" s="401"/>
      <c r="D10" s="142"/>
      <c r="E10" s="142"/>
      <c r="F10" s="142"/>
      <c r="G10" s="142"/>
      <c r="H10" s="139"/>
      <c r="I10" s="139"/>
      <c r="J10" s="139"/>
      <c r="K10" s="139"/>
      <c r="L10" s="139"/>
      <c r="M10" s="139"/>
      <c r="N10" s="139"/>
      <c r="O10" s="139"/>
      <c r="P10" s="139"/>
      <c r="Q10" s="139"/>
      <c r="R10" s="139"/>
      <c r="S10" s="139"/>
      <c r="T10" s="139"/>
      <c r="U10" s="139"/>
    </row>
    <row r="11" spans="1:29" s="17" customFormat="1" ht="18.75" x14ac:dyDescent="0.2">
      <c r="A11" s="397"/>
      <c r="B11" s="397"/>
      <c r="C11" s="397"/>
      <c r="D11" s="154"/>
      <c r="E11" s="154"/>
      <c r="F11" s="154"/>
      <c r="G11" s="154"/>
      <c r="H11" s="139"/>
      <c r="I11" s="139"/>
      <c r="J11" s="139"/>
      <c r="K11" s="139"/>
      <c r="L11" s="139"/>
      <c r="M11" s="139"/>
      <c r="N11" s="139"/>
      <c r="O11" s="139"/>
      <c r="P11" s="139"/>
      <c r="Q11" s="139"/>
      <c r="R11" s="139"/>
      <c r="S11" s="139"/>
      <c r="T11" s="139"/>
      <c r="U11" s="139"/>
    </row>
    <row r="12" spans="1:29" s="17" customFormat="1" ht="18.75" x14ac:dyDescent="0.2">
      <c r="A12" s="395" t="str">
        <f>'1. паспорт местоположение'!A12:C12</f>
        <v>J  19-01</v>
      </c>
      <c r="B12" s="395"/>
      <c r="C12" s="395"/>
      <c r="D12" s="141"/>
      <c r="E12" s="141"/>
      <c r="F12" s="141"/>
      <c r="G12" s="141"/>
      <c r="H12" s="139"/>
      <c r="I12" s="139"/>
      <c r="J12" s="139"/>
      <c r="K12" s="139"/>
      <c r="L12" s="139"/>
      <c r="M12" s="139"/>
      <c r="N12" s="139"/>
      <c r="O12" s="139"/>
      <c r="P12" s="139"/>
      <c r="Q12" s="139"/>
      <c r="R12" s="139"/>
      <c r="S12" s="139"/>
      <c r="T12" s="139"/>
      <c r="U12" s="139"/>
    </row>
    <row r="13" spans="1:29" s="17" customFormat="1" ht="18.75" x14ac:dyDescent="0.2">
      <c r="A13" s="401" t="s">
        <v>5</v>
      </c>
      <c r="B13" s="401"/>
      <c r="C13" s="401"/>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02"/>
      <c r="B14" s="402"/>
      <c r="C14" s="402"/>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32"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2"/>
      <c r="C15" s="432"/>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401" t="s">
        <v>4</v>
      </c>
      <c r="B16" s="401"/>
      <c r="C16" s="401"/>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03"/>
      <c r="B17" s="403"/>
      <c r="C17" s="403"/>
      <c r="D17" s="143"/>
      <c r="E17" s="143"/>
      <c r="F17" s="143"/>
      <c r="G17" s="143"/>
      <c r="H17" s="143"/>
      <c r="I17" s="143"/>
      <c r="J17" s="143"/>
      <c r="K17" s="143"/>
      <c r="L17" s="143"/>
      <c r="M17" s="143"/>
      <c r="N17" s="143"/>
      <c r="O17" s="143"/>
      <c r="P17" s="143"/>
      <c r="Q17" s="143"/>
      <c r="R17" s="143"/>
    </row>
    <row r="18" spans="1:21" s="138" customFormat="1" ht="27.75" customHeight="1" x14ac:dyDescent="0.2">
      <c r="A18" s="404" t="s">
        <v>381</v>
      </c>
      <c r="B18" s="404"/>
      <c r="C18" s="404"/>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4" t="s">
        <v>394</v>
      </c>
      <c r="C22" s="227" t="s">
        <v>555</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574</v>
      </c>
      <c r="D23" s="152"/>
      <c r="E23" s="152"/>
      <c r="F23" s="152"/>
      <c r="G23" s="152"/>
      <c r="H23" s="152"/>
      <c r="I23" s="152"/>
      <c r="J23" s="152"/>
      <c r="K23" s="152"/>
      <c r="L23" s="152"/>
      <c r="M23" s="152"/>
      <c r="N23" s="152"/>
      <c r="O23" s="152"/>
      <c r="P23" s="152"/>
      <c r="Q23" s="152"/>
      <c r="R23" s="152"/>
      <c r="S23" s="152"/>
      <c r="T23" s="152"/>
      <c r="U23" s="152"/>
    </row>
    <row r="24" spans="1:21" ht="133.5" customHeight="1" x14ac:dyDescent="0.25">
      <c r="A24" s="157" t="s">
        <v>60</v>
      </c>
      <c r="B24" s="158" t="s">
        <v>413</v>
      </c>
      <c r="C24" s="33" t="s">
        <v>630</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159" t="s">
        <v>590</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438</v>
      </c>
      <c r="D26" s="152"/>
      <c r="E26" s="152"/>
      <c r="F26" s="152"/>
      <c r="G26" s="152"/>
      <c r="H26" s="152"/>
      <c r="I26" s="152"/>
      <c r="J26" s="152"/>
      <c r="K26" s="152"/>
      <c r="L26" s="152"/>
      <c r="M26" s="152"/>
      <c r="N26" s="152"/>
      <c r="O26" s="152"/>
      <c r="P26" s="152"/>
      <c r="Q26" s="152"/>
      <c r="R26" s="152"/>
      <c r="S26" s="152"/>
      <c r="T26" s="152"/>
      <c r="U26" s="152"/>
    </row>
    <row r="27" spans="1:21" ht="78.75" x14ac:dyDescent="0.25">
      <c r="A27" s="157" t="s">
        <v>56</v>
      </c>
      <c r="B27" s="158" t="s">
        <v>395</v>
      </c>
      <c r="C27" s="155" t="s">
        <v>591</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2020</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2021</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631</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3" zoomScale="90" zoomScaleNormal="80" zoomScaleSheetLayoutView="90" workbookViewId="0">
      <selection activeCell="A12" sqref="A12:Z12"/>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9" t="s">
        <v>66</v>
      </c>
    </row>
    <row r="2" spans="1:28" ht="18.75" x14ac:dyDescent="0.3">
      <c r="Z2" s="14" t="s">
        <v>8</v>
      </c>
    </row>
    <row r="3" spans="1:28" ht="18.75" x14ac:dyDescent="0.3">
      <c r="Z3" s="14" t="s">
        <v>65</v>
      </c>
    </row>
    <row r="4" spans="1:28" ht="18.75" customHeight="1" x14ac:dyDescent="0.25">
      <c r="A4" s="388" t="str">
        <f>'1. паспорт местоположение'!A5:C5</f>
        <v>Год раскрытия информации: 2021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6" spans="1:28"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39"/>
      <c r="AB6" s="139"/>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39"/>
      <c r="AB7" s="139"/>
    </row>
    <row r="8" spans="1:28" ht="15.75" x14ac:dyDescent="0.25">
      <c r="A8" s="395" t="str">
        <f>'1. паспорт местоположение'!A9:C9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41"/>
      <c r="AB8" s="141"/>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42"/>
      <c r="AB9" s="142"/>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39"/>
      <c r="AB10" s="139"/>
    </row>
    <row r="11" spans="1:28" ht="15.75" x14ac:dyDescent="0.25">
      <c r="A11" s="395" t="str">
        <f>'1. паспорт местоположение'!A12:C12</f>
        <v>J  19-01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41"/>
      <c r="AB11" s="141"/>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42"/>
      <c r="AB12" s="142"/>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61"/>
      <c r="AB13" s="161"/>
    </row>
    <row r="14" spans="1:28" ht="15.75" x14ac:dyDescent="0.25">
      <c r="A14"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41"/>
      <c r="AB14" s="141"/>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42"/>
      <c r="AB15" s="142"/>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62"/>
      <c r="AB16" s="162"/>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62"/>
      <c r="AB17" s="162"/>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62"/>
      <c r="AB18" s="162"/>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62"/>
      <c r="AB19" s="162"/>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163"/>
      <c r="AB20" s="163"/>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63"/>
      <c r="AB21" s="163"/>
    </row>
    <row r="22" spans="1:28" x14ac:dyDescent="0.25">
      <c r="A22" s="434" t="s">
        <v>412</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164"/>
      <c r="AB22" s="164"/>
    </row>
    <row r="23" spans="1:28" ht="32.25" customHeight="1" x14ac:dyDescent="0.25">
      <c r="A23" s="436" t="s">
        <v>295</v>
      </c>
      <c r="B23" s="437"/>
      <c r="C23" s="437"/>
      <c r="D23" s="437"/>
      <c r="E23" s="437"/>
      <c r="F23" s="437"/>
      <c r="G23" s="437"/>
      <c r="H23" s="437"/>
      <c r="I23" s="437"/>
      <c r="J23" s="437"/>
      <c r="K23" s="437"/>
      <c r="L23" s="438"/>
      <c r="M23" s="435" t="s">
        <v>296</v>
      </c>
      <c r="N23" s="435"/>
      <c r="O23" s="435"/>
      <c r="P23" s="435"/>
      <c r="Q23" s="435"/>
      <c r="R23" s="435"/>
      <c r="S23" s="435"/>
      <c r="T23" s="435"/>
      <c r="U23" s="435"/>
      <c r="V23" s="435"/>
      <c r="W23" s="435"/>
      <c r="X23" s="435"/>
      <c r="Y23" s="435"/>
      <c r="Z23" s="435"/>
    </row>
    <row r="24" spans="1:28" ht="151.5" customHeight="1" x14ac:dyDescent="0.25">
      <c r="A24" s="165" t="s">
        <v>210</v>
      </c>
      <c r="B24" s="166" t="s">
        <v>230</v>
      </c>
      <c r="C24" s="165" t="s">
        <v>293</v>
      </c>
      <c r="D24" s="165" t="s">
        <v>211</v>
      </c>
      <c r="E24" s="165" t="s">
        <v>294</v>
      </c>
      <c r="F24" s="165" t="s">
        <v>447</v>
      </c>
      <c r="G24" s="165" t="s">
        <v>448</v>
      </c>
      <c r="H24" s="165" t="s">
        <v>212</v>
      </c>
      <c r="I24" s="165" t="s">
        <v>449</v>
      </c>
      <c r="J24" s="165" t="s">
        <v>235</v>
      </c>
      <c r="K24" s="166" t="s">
        <v>229</v>
      </c>
      <c r="L24" s="166" t="s">
        <v>213</v>
      </c>
      <c r="M24" s="167" t="s">
        <v>242</v>
      </c>
      <c r="N24" s="166" t="s">
        <v>450</v>
      </c>
      <c r="O24" s="165" t="s">
        <v>451</v>
      </c>
      <c r="P24" s="165" t="s">
        <v>452</v>
      </c>
      <c r="Q24" s="165" t="s">
        <v>453</v>
      </c>
      <c r="R24" s="165" t="s">
        <v>212</v>
      </c>
      <c r="S24" s="165" t="s">
        <v>454</v>
      </c>
      <c r="T24" s="165" t="s">
        <v>455</v>
      </c>
      <c r="U24" s="165" t="s">
        <v>456</v>
      </c>
      <c r="V24" s="165" t="s">
        <v>453</v>
      </c>
      <c r="W24" s="168" t="s">
        <v>457</v>
      </c>
      <c r="X24" s="168" t="s">
        <v>458</v>
      </c>
      <c r="Y24" s="168" t="s">
        <v>459</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460</v>
      </c>
      <c r="D26" s="172" t="s">
        <v>461</v>
      </c>
      <c r="E26" s="172" t="s">
        <v>462</v>
      </c>
      <c r="F26" s="172" t="s">
        <v>463</v>
      </c>
      <c r="G26" s="172" t="s">
        <v>464</v>
      </c>
      <c r="H26" s="172" t="s">
        <v>212</v>
      </c>
      <c r="I26" s="172" t="s">
        <v>465</v>
      </c>
      <c r="J26" s="172" t="s">
        <v>466</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467</v>
      </c>
      <c r="G27" s="172" t="s">
        <v>468</v>
      </c>
      <c r="H27" s="173" t="s">
        <v>212</v>
      </c>
      <c r="I27" s="172" t="s">
        <v>469</v>
      </c>
      <c r="J27" s="172" t="s">
        <v>470</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471</v>
      </c>
      <c r="G28" s="172" t="s">
        <v>472</v>
      </c>
      <c r="H28" s="173" t="s">
        <v>212</v>
      </c>
      <c r="I28" s="172" t="s">
        <v>236</v>
      </c>
      <c r="J28" s="172" t="s">
        <v>473</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474</v>
      </c>
      <c r="G29" s="172" t="s">
        <v>475</v>
      </c>
      <c r="H29" s="173" t="s">
        <v>212</v>
      </c>
      <c r="I29" s="172" t="s">
        <v>237</v>
      </c>
      <c r="J29" s="172" t="s">
        <v>476</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477</v>
      </c>
      <c r="G30" s="172" t="s">
        <v>478</v>
      </c>
      <c r="H30" s="173" t="s">
        <v>212</v>
      </c>
      <c r="I30" s="172" t="s">
        <v>238</v>
      </c>
      <c r="J30" s="172" t="s">
        <v>479</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480</v>
      </c>
      <c r="D32" s="172" t="s">
        <v>481</v>
      </c>
      <c r="E32" s="172" t="s">
        <v>482</v>
      </c>
      <c r="F32" s="172" t="s">
        <v>483</v>
      </c>
      <c r="G32" s="172" t="s">
        <v>484</v>
      </c>
      <c r="H32" s="172" t="s">
        <v>212</v>
      </c>
      <c r="I32" s="172" t="s">
        <v>485</v>
      </c>
      <c r="J32" s="172" t="s">
        <v>486</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7" customFormat="1" ht="18.75" customHeight="1" x14ac:dyDescent="0.2">
      <c r="O1" s="29" t="s">
        <v>66</v>
      </c>
    </row>
    <row r="2" spans="1:28" s="17" customFormat="1" ht="18.75" customHeight="1" x14ac:dyDescent="0.3">
      <c r="O2" s="14" t="s">
        <v>8</v>
      </c>
    </row>
    <row r="3" spans="1:28" s="17" customFormat="1" ht="18.75" x14ac:dyDescent="0.3">
      <c r="A3" s="136"/>
      <c r="B3" s="136"/>
      <c r="O3" s="14" t="s">
        <v>65</v>
      </c>
    </row>
    <row r="4" spans="1:28" s="17" customFormat="1" ht="18.75" x14ac:dyDescent="0.3">
      <c r="A4" s="136"/>
      <c r="B4" s="136"/>
      <c r="L4" s="14"/>
    </row>
    <row r="5" spans="1:28" s="17" customFormat="1" ht="15.75" x14ac:dyDescent="0.2">
      <c r="A5" s="388" t="str">
        <f>'1. паспорт местоположение'!A5:C5</f>
        <v>Год раскрытия информации: 2021 год</v>
      </c>
      <c r="B5" s="388"/>
      <c r="C5" s="388"/>
      <c r="D5" s="388"/>
      <c r="E5" s="388"/>
      <c r="F5" s="388"/>
      <c r="G5" s="388"/>
      <c r="H5" s="388"/>
      <c r="I5" s="388"/>
      <c r="J5" s="388"/>
      <c r="K5" s="388"/>
      <c r="L5" s="388"/>
      <c r="M5" s="388"/>
      <c r="N5" s="388"/>
      <c r="O5" s="388"/>
      <c r="P5" s="106"/>
      <c r="Q5" s="106"/>
      <c r="R5" s="106"/>
      <c r="S5" s="106"/>
      <c r="T5" s="106"/>
      <c r="U5" s="106"/>
      <c r="V5" s="106"/>
      <c r="W5" s="106"/>
      <c r="X5" s="106"/>
      <c r="Y5" s="106"/>
      <c r="Z5" s="106"/>
      <c r="AA5" s="106"/>
      <c r="AB5" s="106"/>
    </row>
    <row r="6" spans="1:28" s="17" customFormat="1" ht="18.75" x14ac:dyDescent="0.3">
      <c r="A6" s="136"/>
      <c r="B6" s="136"/>
      <c r="L6" s="14"/>
    </row>
    <row r="7" spans="1:28" s="17" customFormat="1" ht="18.75" x14ac:dyDescent="0.2">
      <c r="A7" s="397" t="s">
        <v>7</v>
      </c>
      <c r="B7" s="397"/>
      <c r="C7" s="397"/>
      <c r="D7" s="397"/>
      <c r="E7" s="397"/>
      <c r="F7" s="397"/>
      <c r="G7" s="397"/>
      <c r="H7" s="397"/>
      <c r="I7" s="397"/>
      <c r="J7" s="397"/>
      <c r="K7" s="397"/>
      <c r="L7" s="397"/>
      <c r="M7" s="397"/>
      <c r="N7" s="397"/>
      <c r="O7" s="397"/>
      <c r="P7" s="139"/>
      <c r="Q7" s="139"/>
      <c r="R7" s="139"/>
      <c r="S7" s="139"/>
      <c r="T7" s="139"/>
      <c r="U7" s="139"/>
      <c r="V7" s="139"/>
      <c r="W7" s="139"/>
      <c r="X7" s="139"/>
      <c r="Y7" s="139"/>
      <c r="Z7" s="139"/>
    </row>
    <row r="8" spans="1:28" s="17" customFormat="1" ht="18.75" x14ac:dyDescent="0.2">
      <c r="A8" s="397"/>
      <c r="B8" s="397"/>
      <c r="C8" s="397"/>
      <c r="D8" s="397"/>
      <c r="E8" s="397"/>
      <c r="F8" s="397"/>
      <c r="G8" s="397"/>
      <c r="H8" s="397"/>
      <c r="I8" s="397"/>
      <c r="J8" s="397"/>
      <c r="K8" s="397"/>
      <c r="L8" s="397"/>
      <c r="M8" s="397"/>
      <c r="N8" s="397"/>
      <c r="O8" s="397"/>
      <c r="P8" s="139"/>
      <c r="Q8" s="139"/>
      <c r="R8" s="139"/>
      <c r="S8" s="139"/>
      <c r="T8" s="139"/>
      <c r="U8" s="139"/>
      <c r="V8" s="139"/>
      <c r="W8" s="139"/>
      <c r="X8" s="139"/>
      <c r="Y8" s="139"/>
      <c r="Z8" s="139"/>
    </row>
    <row r="9" spans="1:28" s="17" customFormat="1" ht="18.75" x14ac:dyDescent="0.2">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c r="N9" s="395"/>
      <c r="O9" s="395"/>
      <c r="P9" s="139"/>
      <c r="Q9" s="139"/>
      <c r="R9" s="139"/>
      <c r="S9" s="139"/>
      <c r="T9" s="139"/>
      <c r="U9" s="139"/>
      <c r="V9" s="139"/>
      <c r="W9" s="139"/>
      <c r="X9" s="139"/>
      <c r="Y9" s="139"/>
      <c r="Z9" s="139"/>
    </row>
    <row r="10" spans="1:28" s="17" customFormat="1" ht="18.75" x14ac:dyDescent="0.2">
      <c r="A10" s="401" t="s">
        <v>6</v>
      </c>
      <c r="B10" s="401"/>
      <c r="C10" s="401"/>
      <c r="D10" s="401"/>
      <c r="E10" s="401"/>
      <c r="F10" s="401"/>
      <c r="G10" s="401"/>
      <c r="H10" s="401"/>
      <c r="I10" s="401"/>
      <c r="J10" s="401"/>
      <c r="K10" s="401"/>
      <c r="L10" s="401"/>
      <c r="M10" s="401"/>
      <c r="N10" s="401"/>
      <c r="O10" s="401"/>
      <c r="P10" s="139"/>
      <c r="Q10" s="139"/>
      <c r="R10" s="139"/>
      <c r="S10" s="139"/>
      <c r="T10" s="139"/>
      <c r="U10" s="139"/>
      <c r="V10" s="139"/>
      <c r="W10" s="139"/>
      <c r="X10" s="139"/>
      <c r="Y10" s="139"/>
      <c r="Z10" s="139"/>
    </row>
    <row r="11" spans="1:28" s="17" customFormat="1" ht="18.75" x14ac:dyDescent="0.2">
      <c r="A11" s="397"/>
      <c r="B11" s="397"/>
      <c r="C11" s="397"/>
      <c r="D11" s="397"/>
      <c r="E11" s="397"/>
      <c r="F11" s="397"/>
      <c r="G11" s="397"/>
      <c r="H11" s="397"/>
      <c r="I11" s="397"/>
      <c r="J11" s="397"/>
      <c r="K11" s="397"/>
      <c r="L11" s="397"/>
      <c r="M11" s="397"/>
      <c r="N11" s="397"/>
      <c r="O11" s="397"/>
      <c r="P11" s="139"/>
      <c r="Q11" s="139"/>
      <c r="R11" s="139"/>
      <c r="S11" s="139"/>
      <c r="T11" s="139"/>
      <c r="U11" s="139"/>
      <c r="V11" s="139"/>
      <c r="W11" s="139"/>
      <c r="X11" s="139"/>
      <c r="Y11" s="139"/>
      <c r="Z11" s="139"/>
    </row>
    <row r="12" spans="1:28" s="17" customFormat="1" ht="18.75" x14ac:dyDescent="0.2">
      <c r="A12" s="395" t="str">
        <f>'1. паспорт местоположение'!A12:C12</f>
        <v>J  19-01</v>
      </c>
      <c r="B12" s="395"/>
      <c r="C12" s="395"/>
      <c r="D12" s="395"/>
      <c r="E12" s="395"/>
      <c r="F12" s="395"/>
      <c r="G12" s="395"/>
      <c r="H12" s="395"/>
      <c r="I12" s="395"/>
      <c r="J12" s="395"/>
      <c r="K12" s="395"/>
      <c r="L12" s="395"/>
      <c r="M12" s="395"/>
      <c r="N12" s="395"/>
      <c r="O12" s="395"/>
      <c r="P12" s="139"/>
      <c r="Q12" s="139"/>
      <c r="R12" s="139"/>
      <c r="S12" s="139"/>
      <c r="T12" s="139"/>
      <c r="U12" s="139"/>
      <c r="V12" s="139"/>
      <c r="W12" s="139"/>
      <c r="X12" s="139"/>
      <c r="Y12" s="139"/>
      <c r="Z12" s="139"/>
    </row>
    <row r="13" spans="1:28" s="17" customFormat="1" ht="18.75" x14ac:dyDescent="0.2">
      <c r="A13" s="401" t="s">
        <v>5</v>
      </c>
      <c r="B13" s="401"/>
      <c r="C13" s="401"/>
      <c r="D13" s="401"/>
      <c r="E13" s="401"/>
      <c r="F13" s="401"/>
      <c r="G13" s="401"/>
      <c r="H13" s="401"/>
      <c r="I13" s="401"/>
      <c r="J13" s="401"/>
      <c r="K13" s="401"/>
      <c r="L13" s="401"/>
      <c r="M13" s="401"/>
      <c r="N13" s="401"/>
      <c r="O13" s="401"/>
      <c r="P13" s="139"/>
      <c r="Q13" s="139"/>
      <c r="R13" s="139"/>
      <c r="S13" s="139"/>
      <c r="T13" s="139"/>
      <c r="U13" s="139"/>
      <c r="V13" s="139"/>
      <c r="W13" s="139"/>
      <c r="X13" s="139"/>
      <c r="Y13" s="139"/>
      <c r="Z13" s="139"/>
    </row>
    <row r="14" spans="1:28" s="137" customFormat="1" ht="15.75" customHeight="1" x14ac:dyDescent="0.2">
      <c r="A14" s="402"/>
      <c r="B14" s="402"/>
      <c r="C14" s="402"/>
      <c r="D14" s="402"/>
      <c r="E14" s="402"/>
      <c r="F14" s="402"/>
      <c r="G14" s="402"/>
      <c r="H14" s="402"/>
      <c r="I14" s="402"/>
      <c r="J14" s="402"/>
      <c r="K14" s="402"/>
      <c r="L14" s="402"/>
      <c r="M14" s="402"/>
      <c r="N14" s="402"/>
      <c r="O14" s="402"/>
      <c r="P14" s="140"/>
      <c r="Q14" s="140"/>
      <c r="R14" s="140"/>
      <c r="S14" s="140"/>
      <c r="T14" s="140"/>
      <c r="U14" s="140"/>
      <c r="V14" s="140"/>
      <c r="W14" s="140"/>
      <c r="X14" s="140"/>
      <c r="Y14" s="140"/>
      <c r="Z14" s="140"/>
    </row>
    <row r="15" spans="1:28" s="138" customFormat="1" ht="15.75" x14ac:dyDescent="0.2">
      <c r="A15"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5"/>
      <c r="C15" s="395"/>
      <c r="D15" s="395"/>
      <c r="E15" s="395"/>
      <c r="F15" s="395"/>
      <c r="G15" s="395"/>
      <c r="H15" s="395"/>
      <c r="I15" s="395"/>
      <c r="J15" s="395"/>
      <c r="K15" s="395"/>
      <c r="L15" s="395"/>
      <c r="M15" s="395"/>
      <c r="N15" s="395"/>
      <c r="O15" s="395"/>
      <c r="P15" s="141"/>
      <c r="Q15" s="141"/>
      <c r="R15" s="141"/>
      <c r="S15" s="141"/>
      <c r="T15" s="141"/>
      <c r="U15" s="141"/>
      <c r="V15" s="141"/>
      <c r="W15" s="141"/>
      <c r="X15" s="141"/>
      <c r="Y15" s="141"/>
      <c r="Z15" s="141"/>
    </row>
    <row r="16" spans="1:28" s="138" customFormat="1" ht="15" customHeight="1" x14ac:dyDescent="0.2">
      <c r="A16" s="401" t="s">
        <v>4</v>
      </c>
      <c r="B16" s="401"/>
      <c r="C16" s="401"/>
      <c r="D16" s="401"/>
      <c r="E16" s="401"/>
      <c r="F16" s="401"/>
      <c r="G16" s="401"/>
      <c r="H16" s="401"/>
      <c r="I16" s="401"/>
      <c r="J16" s="401"/>
      <c r="K16" s="401"/>
      <c r="L16" s="401"/>
      <c r="M16" s="401"/>
      <c r="N16" s="401"/>
      <c r="O16" s="401"/>
      <c r="P16" s="142"/>
      <c r="Q16" s="142"/>
      <c r="R16" s="142"/>
      <c r="S16" s="142"/>
      <c r="T16" s="142"/>
      <c r="U16" s="142"/>
      <c r="V16" s="142"/>
      <c r="W16" s="142"/>
      <c r="X16" s="142"/>
      <c r="Y16" s="142"/>
      <c r="Z16" s="142"/>
    </row>
    <row r="17" spans="1:26" s="138" customFormat="1" ht="15" customHeight="1" x14ac:dyDescent="0.2">
      <c r="A17" s="403"/>
      <c r="B17" s="403"/>
      <c r="C17" s="403"/>
      <c r="D17" s="403"/>
      <c r="E17" s="403"/>
      <c r="F17" s="403"/>
      <c r="G17" s="403"/>
      <c r="H17" s="403"/>
      <c r="I17" s="403"/>
      <c r="J17" s="403"/>
      <c r="K17" s="403"/>
      <c r="L17" s="403"/>
      <c r="M17" s="403"/>
      <c r="N17" s="403"/>
      <c r="O17" s="403"/>
      <c r="P17" s="143"/>
      <c r="Q17" s="143"/>
      <c r="R17" s="143"/>
      <c r="S17" s="143"/>
      <c r="T17" s="143"/>
      <c r="U17" s="143"/>
      <c r="V17" s="143"/>
      <c r="W17" s="143"/>
    </row>
    <row r="18" spans="1:26" s="138" customFormat="1" ht="91.5" customHeight="1" x14ac:dyDescent="0.2">
      <c r="A18" s="444" t="s">
        <v>390</v>
      </c>
      <c r="B18" s="444"/>
      <c r="C18" s="444"/>
      <c r="D18" s="444"/>
      <c r="E18" s="444"/>
      <c r="F18" s="444"/>
      <c r="G18" s="444"/>
      <c r="H18" s="444"/>
      <c r="I18" s="444"/>
      <c r="J18" s="444"/>
      <c r="K18" s="444"/>
      <c r="L18" s="444"/>
      <c r="M18" s="444"/>
      <c r="N18" s="444"/>
      <c r="O18" s="444"/>
      <c r="P18" s="144"/>
      <c r="Q18" s="144"/>
      <c r="R18" s="144"/>
      <c r="S18" s="144"/>
      <c r="T18" s="144"/>
      <c r="U18" s="144"/>
      <c r="V18" s="144"/>
      <c r="W18" s="144"/>
      <c r="X18" s="144"/>
      <c r="Y18" s="144"/>
      <c r="Z18" s="144"/>
    </row>
    <row r="19" spans="1:26" s="138" customFormat="1" ht="78" customHeight="1" x14ac:dyDescent="0.2">
      <c r="A19" s="440" t="s">
        <v>3</v>
      </c>
      <c r="B19" s="440" t="s">
        <v>82</v>
      </c>
      <c r="C19" s="440" t="s">
        <v>81</v>
      </c>
      <c r="D19" s="440" t="s">
        <v>73</v>
      </c>
      <c r="E19" s="441" t="s">
        <v>80</v>
      </c>
      <c r="F19" s="442"/>
      <c r="G19" s="442"/>
      <c r="H19" s="442"/>
      <c r="I19" s="443"/>
      <c r="J19" s="440" t="s">
        <v>79</v>
      </c>
      <c r="K19" s="440"/>
      <c r="L19" s="440"/>
      <c r="M19" s="440"/>
      <c r="N19" s="440"/>
      <c r="O19" s="440"/>
      <c r="P19" s="143"/>
      <c r="Q19" s="143"/>
      <c r="R19" s="143"/>
      <c r="S19" s="143"/>
      <c r="T19" s="143"/>
      <c r="U19" s="143"/>
      <c r="V19" s="143"/>
      <c r="W19" s="143"/>
    </row>
    <row r="20" spans="1:26" s="138" customFormat="1" ht="51" customHeight="1" x14ac:dyDescent="0.2">
      <c r="A20" s="440"/>
      <c r="B20" s="440"/>
      <c r="C20" s="440"/>
      <c r="D20" s="440"/>
      <c r="E20" s="220" t="s">
        <v>78</v>
      </c>
      <c r="F20" s="220" t="s">
        <v>77</v>
      </c>
      <c r="G20" s="220" t="s">
        <v>76</v>
      </c>
      <c r="H20" s="220" t="s">
        <v>75</v>
      </c>
      <c r="I20" s="220" t="s">
        <v>74</v>
      </c>
      <c r="J20" s="220">
        <v>2018</v>
      </c>
      <c r="K20" s="220">
        <v>2019</v>
      </c>
      <c r="L20" s="220">
        <v>2020</v>
      </c>
      <c r="M20" s="220">
        <v>2021</v>
      </c>
      <c r="N20" s="220">
        <v>2022</v>
      </c>
      <c r="O20" s="220">
        <v>2023</v>
      </c>
      <c r="P20" s="147"/>
      <c r="Q20" s="147"/>
      <c r="R20" s="147"/>
      <c r="S20" s="147"/>
      <c r="T20" s="147"/>
      <c r="U20" s="147"/>
      <c r="V20" s="147"/>
      <c r="W20" s="147"/>
      <c r="X20" s="148"/>
      <c r="Y20" s="148"/>
      <c r="Z20" s="148"/>
    </row>
    <row r="21" spans="1:26" s="138"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7"/>
      <c r="Q21" s="147"/>
      <c r="R21" s="147"/>
      <c r="S21" s="147"/>
      <c r="T21" s="147"/>
      <c r="U21" s="147"/>
      <c r="V21" s="147"/>
      <c r="W21" s="147"/>
      <c r="X21" s="148"/>
      <c r="Y21" s="148"/>
      <c r="Z21" s="148"/>
    </row>
    <row r="22" spans="1:26" s="138" customFormat="1" ht="18.75" x14ac:dyDescent="0.2">
      <c r="A22" s="221" t="s">
        <v>62</v>
      </c>
      <c r="B22" s="222" t="s">
        <v>549</v>
      </c>
      <c r="C22" s="223">
        <v>0</v>
      </c>
      <c r="D22" s="223">
        <v>0</v>
      </c>
      <c r="E22" s="223">
        <v>0</v>
      </c>
      <c r="F22" s="223">
        <v>0</v>
      </c>
      <c r="G22" s="223">
        <v>0</v>
      </c>
      <c r="H22" s="223">
        <v>0</v>
      </c>
      <c r="I22" s="223">
        <v>0</v>
      </c>
      <c r="J22" s="224">
        <v>0</v>
      </c>
      <c r="K22" s="224">
        <v>0</v>
      </c>
      <c r="L22" s="225">
        <v>0</v>
      </c>
      <c r="M22" s="225">
        <v>0</v>
      </c>
      <c r="N22" s="225">
        <v>0</v>
      </c>
      <c r="O22" s="225">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workbookViewId="0">
      <selection activeCell="H157" sqref="H157"/>
    </sheetView>
  </sheetViews>
  <sheetFormatPr defaultColWidth="9.140625" defaultRowHeight="15.75" x14ac:dyDescent="0.2"/>
  <cols>
    <col min="1" max="1" width="61.7109375" style="294" customWidth="1"/>
    <col min="2" max="2" width="18.5703125" style="282" customWidth="1"/>
    <col min="3" max="12" width="16.85546875" style="282" customWidth="1"/>
    <col min="13" max="42" width="16.85546875" style="282" hidden="1" customWidth="1"/>
    <col min="43" max="49" width="16.85546875" style="283" hidden="1" customWidth="1"/>
    <col min="50" max="51" width="16.85546875" style="283" customWidth="1"/>
    <col min="52" max="256" width="9.140625" style="283"/>
    <col min="257" max="257" width="61.7109375" style="283" customWidth="1"/>
    <col min="258" max="258" width="18.5703125" style="283" customWidth="1"/>
    <col min="259" max="298" width="16.85546875" style="283" customWidth="1"/>
    <col min="299" max="300" width="18.5703125" style="283" customWidth="1"/>
    <col min="301" max="301" width="21.7109375" style="283" customWidth="1"/>
    <col min="302" max="512" width="9.140625" style="283"/>
    <col min="513" max="513" width="61.7109375" style="283" customWidth="1"/>
    <col min="514" max="514" width="18.5703125" style="283" customWidth="1"/>
    <col min="515" max="554" width="16.85546875" style="283" customWidth="1"/>
    <col min="555" max="556" width="18.5703125" style="283" customWidth="1"/>
    <col min="557" max="557" width="21.7109375" style="283" customWidth="1"/>
    <col min="558" max="768" width="9.140625" style="283"/>
    <col min="769" max="769" width="61.7109375" style="283" customWidth="1"/>
    <col min="770" max="770" width="18.5703125" style="283" customWidth="1"/>
    <col min="771" max="810" width="16.85546875" style="283" customWidth="1"/>
    <col min="811" max="812" width="18.5703125" style="283" customWidth="1"/>
    <col min="813" max="813" width="21.7109375" style="283" customWidth="1"/>
    <col min="814" max="1024" width="9.140625" style="283"/>
    <col min="1025" max="1025" width="61.7109375" style="283" customWidth="1"/>
    <col min="1026" max="1026" width="18.5703125" style="283" customWidth="1"/>
    <col min="1027" max="1066" width="16.85546875" style="283" customWidth="1"/>
    <col min="1067" max="1068" width="18.5703125" style="283" customWidth="1"/>
    <col min="1069" max="1069" width="21.7109375" style="283" customWidth="1"/>
    <col min="1070" max="1280" width="9.140625" style="283"/>
    <col min="1281" max="1281" width="61.7109375" style="283" customWidth="1"/>
    <col min="1282" max="1282" width="18.5703125" style="283" customWidth="1"/>
    <col min="1283" max="1322" width="16.85546875" style="283" customWidth="1"/>
    <col min="1323" max="1324" width="18.5703125" style="283" customWidth="1"/>
    <col min="1325" max="1325" width="21.7109375" style="283" customWidth="1"/>
    <col min="1326" max="1536" width="9.140625" style="283"/>
    <col min="1537" max="1537" width="61.7109375" style="283" customWidth="1"/>
    <col min="1538" max="1538" width="18.5703125" style="283" customWidth="1"/>
    <col min="1539" max="1578" width="16.85546875" style="283" customWidth="1"/>
    <col min="1579" max="1580" width="18.5703125" style="283" customWidth="1"/>
    <col min="1581" max="1581" width="21.7109375" style="283" customWidth="1"/>
    <col min="1582" max="1792" width="9.140625" style="283"/>
    <col min="1793" max="1793" width="61.7109375" style="283" customWidth="1"/>
    <col min="1794" max="1794" width="18.5703125" style="283" customWidth="1"/>
    <col min="1795" max="1834" width="16.85546875" style="283" customWidth="1"/>
    <col min="1835" max="1836" width="18.5703125" style="283" customWidth="1"/>
    <col min="1837" max="1837" width="21.7109375" style="283" customWidth="1"/>
    <col min="1838" max="2048" width="9.140625" style="283"/>
    <col min="2049" max="2049" width="61.7109375" style="283" customWidth="1"/>
    <col min="2050" max="2050" width="18.5703125" style="283" customWidth="1"/>
    <col min="2051" max="2090" width="16.85546875" style="283" customWidth="1"/>
    <col min="2091" max="2092" width="18.5703125" style="283" customWidth="1"/>
    <col min="2093" max="2093" width="21.7109375" style="283" customWidth="1"/>
    <col min="2094" max="2304" width="9.140625" style="283"/>
    <col min="2305" max="2305" width="61.7109375" style="283" customWidth="1"/>
    <col min="2306" max="2306" width="18.5703125" style="283" customWidth="1"/>
    <col min="2307" max="2346" width="16.85546875" style="283" customWidth="1"/>
    <col min="2347" max="2348" width="18.5703125" style="283" customWidth="1"/>
    <col min="2349" max="2349" width="21.7109375" style="283" customWidth="1"/>
    <col min="2350" max="2560" width="9.140625" style="283"/>
    <col min="2561" max="2561" width="61.7109375" style="283" customWidth="1"/>
    <col min="2562" max="2562" width="18.5703125" style="283" customWidth="1"/>
    <col min="2563" max="2602" width="16.85546875" style="283" customWidth="1"/>
    <col min="2603" max="2604" width="18.5703125" style="283" customWidth="1"/>
    <col min="2605" max="2605" width="21.7109375" style="283" customWidth="1"/>
    <col min="2606" max="2816" width="9.140625" style="283"/>
    <col min="2817" max="2817" width="61.7109375" style="283" customWidth="1"/>
    <col min="2818" max="2818" width="18.5703125" style="283" customWidth="1"/>
    <col min="2819" max="2858" width="16.85546875" style="283" customWidth="1"/>
    <col min="2859" max="2860" width="18.5703125" style="283" customWidth="1"/>
    <col min="2861" max="2861" width="21.7109375" style="283" customWidth="1"/>
    <col min="2862" max="3072" width="9.140625" style="283"/>
    <col min="3073" max="3073" width="61.7109375" style="283" customWidth="1"/>
    <col min="3074" max="3074" width="18.5703125" style="283" customWidth="1"/>
    <col min="3075" max="3114" width="16.85546875" style="283" customWidth="1"/>
    <col min="3115" max="3116" width="18.5703125" style="283" customWidth="1"/>
    <col min="3117" max="3117" width="21.7109375" style="283" customWidth="1"/>
    <col min="3118" max="3328" width="9.140625" style="283"/>
    <col min="3329" max="3329" width="61.7109375" style="283" customWidth="1"/>
    <col min="3330" max="3330" width="18.5703125" style="283" customWidth="1"/>
    <col min="3331" max="3370" width="16.85546875" style="283" customWidth="1"/>
    <col min="3371" max="3372" width="18.5703125" style="283" customWidth="1"/>
    <col min="3373" max="3373" width="21.7109375" style="283" customWidth="1"/>
    <col min="3374" max="3584" width="9.140625" style="283"/>
    <col min="3585" max="3585" width="61.7109375" style="283" customWidth="1"/>
    <col min="3586" max="3586" width="18.5703125" style="283" customWidth="1"/>
    <col min="3587" max="3626" width="16.85546875" style="283" customWidth="1"/>
    <col min="3627" max="3628" width="18.5703125" style="283" customWidth="1"/>
    <col min="3629" max="3629" width="21.7109375" style="283" customWidth="1"/>
    <col min="3630" max="3840" width="9.140625" style="283"/>
    <col min="3841" max="3841" width="61.7109375" style="283" customWidth="1"/>
    <col min="3842" max="3842" width="18.5703125" style="283" customWidth="1"/>
    <col min="3843" max="3882" width="16.85546875" style="283" customWidth="1"/>
    <col min="3883" max="3884" width="18.5703125" style="283" customWidth="1"/>
    <col min="3885" max="3885" width="21.7109375" style="283" customWidth="1"/>
    <col min="3886" max="4096" width="9.140625" style="283"/>
    <col min="4097" max="4097" width="61.7109375" style="283" customWidth="1"/>
    <col min="4098" max="4098" width="18.5703125" style="283" customWidth="1"/>
    <col min="4099" max="4138" width="16.85546875" style="283" customWidth="1"/>
    <col min="4139" max="4140" width="18.5703125" style="283" customWidth="1"/>
    <col min="4141" max="4141" width="21.7109375" style="283" customWidth="1"/>
    <col min="4142" max="4352" width="9.140625" style="283"/>
    <col min="4353" max="4353" width="61.7109375" style="283" customWidth="1"/>
    <col min="4354" max="4354" width="18.5703125" style="283" customWidth="1"/>
    <col min="4355" max="4394" width="16.85546875" style="283" customWidth="1"/>
    <col min="4395" max="4396" width="18.5703125" style="283" customWidth="1"/>
    <col min="4397" max="4397" width="21.7109375" style="283" customWidth="1"/>
    <col min="4398" max="4608" width="9.140625" style="283"/>
    <col min="4609" max="4609" width="61.7109375" style="283" customWidth="1"/>
    <col min="4610" max="4610" width="18.5703125" style="283" customWidth="1"/>
    <col min="4611" max="4650" width="16.85546875" style="283" customWidth="1"/>
    <col min="4651" max="4652" width="18.5703125" style="283" customWidth="1"/>
    <col min="4653" max="4653" width="21.7109375" style="283" customWidth="1"/>
    <col min="4654" max="4864" width="9.140625" style="283"/>
    <col min="4865" max="4865" width="61.7109375" style="283" customWidth="1"/>
    <col min="4866" max="4866" width="18.5703125" style="283" customWidth="1"/>
    <col min="4867" max="4906" width="16.85546875" style="283" customWidth="1"/>
    <col min="4907" max="4908" width="18.5703125" style="283" customWidth="1"/>
    <col min="4909" max="4909" width="21.7109375" style="283" customWidth="1"/>
    <col min="4910" max="5120" width="9.140625" style="283"/>
    <col min="5121" max="5121" width="61.7109375" style="283" customWidth="1"/>
    <col min="5122" max="5122" width="18.5703125" style="283" customWidth="1"/>
    <col min="5123" max="5162" width="16.85546875" style="283" customWidth="1"/>
    <col min="5163" max="5164" width="18.5703125" style="283" customWidth="1"/>
    <col min="5165" max="5165" width="21.7109375" style="283" customWidth="1"/>
    <col min="5166" max="5376" width="9.140625" style="283"/>
    <col min="5377" max="5377" width="61.7109375" style="283" customWidth="1"/>
    <col min="5378" max="5378" width="18.5703125" style="283" customWidth="1"/>
    <col min="5379" max="5418" width="16.85546875" style="283" customWidth="1"/>
    <col min="5419" max="5420" width="18.5703125" style="283" customWidth="1"/>
    <col min="5421" max="5421" width="21.7109375" style="283" customWidth="1"/>
    <col min="5422" max="5632" width="9.140625" style="283"/>
    <col min="5633" max="5633" width="61.7109375" style="283" customWidth="1"/>
    <col min="5634" max="5634" width="18.5703125" style="283" customWidth="1"/>
    <col min="5635" max="5674" width="16.85546875" style="283" customWidth="1"/>
    <col min="5675" max="5676" width="18.5703125" style="283" customWidth="1"/>
    <col min="5677" max="5677" width="21.7109375" style="283" customWidth="1"/>
    <col min="5678" max="5888" width="9.140625" style="283"/>
    <col min="5889" max="5889" width="61.7109375" style="283" customWidth="1"/>
    <col min="5890" max="5890" width="18.5703125" style="283" customWidth="1"/>
    <col min="5891" max="5930" width="16.85546875" style="283" customWidth="1"/>
    <col min="5931" max="5932" width="18.5703125" style="283" customWidth="1"/>
    <col min="5933" max="5933" width="21.7109375" style="283" customWidth="1"/>
    <col min="5934" max="6144" width="9.140625" style="283"/>
    <col min="6145" max="6145" width="61.7109375" style="283" customWidth="1"/>
    <col min="6146" max="6146" width="18.5703125" style="283" customWidth="1"/>
    <col min="6147" max="6186" width="16.85546875" style="283" customWidth="1"/>
    <col min="6187" max="6188" width="18.5703125" style="283" customWidth="1"/>
    <col min="6189" max="6189" width="21.7109375" style="283" customWidth="1"/>
    <col min="6190" max="6400" width="9.140625" style="283"/>
    <col min="6401" max="6401" width="61.7109375" style="283" customWidth="1"/>
    <col min="6402" max="6402" width="18.5703125" style="283" customWidth="1"/>
    <col min="6403" max="6442" width="16.85546875" style="283" customWidth="1"/>
    <col min="6443" max="6444" width="18.5703125" style="283" customWidth="1"/>
    <col min="6445" max="6445" width="21.7109375" style="283" customWidth="1"/>
    <col min="6446" max="6656" width="9.140625" style="283"/>
    <col min="6657" max="6657" width="61.7109375" style="283" customWidth="1"/>
    <col min="6658" max="6658" width="18.5703125" style="283" customWidth="1"/>
    <col min="6659" max="6698" width="16.85546875" style="283" customWidth="1"/>
    <col min="6699" max="6700" width="18.5703125" style="283" customWidth="1"/>
    <col min="6701" max="6701" width="21.7109375" style="283" customWidth="1"/>
    <col min="6702" max="6912" width="9.140625" style="283"/>
    <col min="6913" max="6913" width="61.7109375" style="283" customWidth="1"/>
    <col min="6914" max="6914" width="18.5703125" style="283" customWidth="1"/>
    <col min="6915" max="6954" width="16.85546875" style="283" customWidth="1"/>
    <col min="6955" max="6956" width="18.5703125" style="283" customWidth="1"/>
    <col min="6957" max="6957" width="21.7109375" style="283" customWidth="1"/>
    <col min="6958" max="7168" width="9.140625" style="283"/>
    <col min="7169" max="7169" width="61.7109375" style="283" customWidth="1"/>
    <col min="7170" max="7170" width="18.5703125" style="283" customWidth="1"/>
    <col min="7171" max="7210" width="16.85546875" style="283" customWidth="1"/>
    <col min="7211" max="7212" width="18.5703125" style="283" customWidth="1"/>
    <col min="7213" max="7213" width="21.7109375" style="283" customWidth="1"/>
    <col min="7214" max="7424" width="9.140625" style="283"/>
    <col min="7425" max="7425" width="61.7109375" style="283" customWidth="1"/>
    <col min="7426" max="7426" width="18.5703125" style="283" customWidth="1"/>
    <col min="7427" max="7466" width="16.85546875" style="283" customWidth="1"/>
    <col min="7467" max="7468" width="18.5703125" style="283" customWidth="1"/>
    <col min="7469" max="7469" width="21.7109375" style="283" customWidth="1"/>
    <col min="7470" max="7680" width="9.140625" style="283"/>
    <col min="7681" max="7681" width="61.7109375" style="283" customWidth="1"/>
    <col min="7682" max="7682" width="18.5703125" style="283" customWidth="1"/>
    <col min="7683" max="7722" width="16.85546875" style="283" customWidth="1"/>
    <col min="7723" max="7724" width="18.5703125" style="283" customWidth="1"/>
    <col min="7725" max="7725" width="21.7109375" style="283" customWidth="1"/>
    <col min="7726" max="7936" width="9.140625" style="283"/>
    <col min="7937" max="7937" width="61.7109375" style="283" customWidth="1"/>
    <col min="7938" max="7938" width="18.5703125" style="283" customWidth="1"/>
    <col min="7939" max="7978" width="16.85546875" style="283" customWidth="1"/>
    <col min="7979" max="7980" width="18.5703125" style="283" customWidth="1"/>
    <col min="7981" max="7981" width="21.7109375" style="283" customWidth="1"/>
    <col min="7982" max="8192" width="9.140625" style="283"/>
    <col min="8193" max="8193" width="61.7109375" style="283" customWidth="1"/>
    <col min="8194" max="8194" width="18.5703125" style="283" customWidth="1"/>
    <col min="8195" max="8234" width="16.85546875" style="283" customWidth="1"/>
    <col min="8235" max="8236" width="18.5703125" style="283" customWidth="1"/>
    <col min="8237" max="8237" width="21.7109375" style="283" customWidth="1"/>
    <col min="8238" max="8448" width="9.140625" style="283"/>
    <col min="8449" max="8449" width="61.7109375" style="283" customWidth="1"/>
    <col min="8450" max="8450" width="18.5703125" style="283" customWidth="1"/>
    <col min="8451" max="8490" width="16.85546875" style="283" customWidth="1"/>
    <col min="8491" max="8492" width="18.5703125" style="283" customWidth="1"/>
    <col min="8493" max="8493" width="21.7109375" style="283" customWidth="1"/>
    <col min="8494" max="8704" width="9.140625" style="283"/>
    <col min="8705" max="8705" width="61.7109375" style="283" customWidth="1"/>
    <col min="8706" max="8706" width="18.5703125" style="283" customWidth="1"/>
    <col min="8707" max="8746" width="16.85546875" style="283" customWidth="1"/>
    <col min="8747" max="8748" width="18.5703125" style="283" customWidth="1"/>
    <col min="8749" max="8749" width="21.7109375" style="283" customWidth="1"/>
    <col min="8750" max="8960" width="9.140625" style="283"/>
    <col min="8961" max="8961" width="61.7109375" style="283" customWidth="1"/>
    <col min="8962" max="8962" width="18.5703125" style="283" customWidth="1"/>
    <col min="8963" max="9002" width="16.85546875" style="283" customWidth="1"/>
    <col min="9003" max="9004" width="18.5703125" style="283" customWidth="1"/>
    <col min="9005" max="9005" width="21.7109375" style="283" customWidth="1"/>
    <col min="9006" max="9216" width="9.140625" style="283"/>
    <col min="9217" max="9217" width="61.7109375" style="283" customWidth="1"/>
    <col min="9218" max="9218" width="18.5703125" style="283" customWidth="1"/>
    <col min="9219" max="9258" width="16.85546875" style="283" customWidth="1"/>
    <col min="9259" max="9260" width="18.5703125" style="283" customWidth="1"/>
    <col min="9261" max="9261" width="21.7109375" style="283" customWidth="1"/>
    <col min="9262" max="9472" width="9.140625" style="283"/>
    <col min="9473" max="9473" width="61.7109375" style="283" customWidth="1"/>
    <col min="9474" max="9474" width="18.5703125" style="283" customWidth="1"/>
    <col min="9475" max="9514" width="16.85546875" style="283" customWidth="1"/>
    <col min="9515" max="9516" width="18.5703125" style="283" customWidth="1"/>
    <col min="9517" max="9517" width="21.7109375" style="283" customWidth="1"/>
    <col min="9518" max="9728" width="9.140625" style="283"/>
    <col min="9729" max="9729" width="61.7109375" style="283" customWidth="1"/>
    <col min="9730" max="9730" width="18.5703125" style="283" customWidth="1"/>
    <col min="9731" max="9770" width="16.85546875" style="283" customWidth="1"/>
    <col min="9771" max="9772" width="18.5703125" style="283" customWidth="1"/>
    <col min="9773" max="9773" width="21.7109375" style="283" customWidth="1"/>
    <col min="9774" max="9984" width="9.140625" style="283"/>
    <col min="9985" max="9985" width="61.7109375" style="283" customWidth="1"/>
    <col min="9986" max="9986" width="18.5703125" style="283" customWidth="1"/>
    <col min="9987" max="10026" width="16.85546875" style="283" customWidth="1"/>
    <col min="10027" max="10028" width="18.5703125" style="283" customWidth="1"/>
    <col min="10029" max="10029" width="21.7109375" style="283" customWidth="1"/>
    <col min="10030" max="10240" width="9.140625" style="283"/>
    <col min="10241" max="10241" width="61.7109375" style="283" customWidth="1"/>
    <col min="10242" max="10242" width="18.5703125" style="283" customWidth="1"/>
    <col min="10243" max="10282" width="16.85546875" style="283" customWidth="1"/>
    <col min="10283" max="10284" width="18.5703125" style="283" customWidth="1"/>
    <col min="10285" max="10285" width="21.7109375" style="283" customWidth="1"/>
    <col min="10286" max="10496" width="9.140625" style="283"/>
    <col min="10497" max="10497" width="61.7109375" style="283" customWidth="1"/>
    <col min="10498" max="10498" width="18.5703125" style="283" customWidth="1"/>
    <col min="10499" max="10538" width="16.85546875" style="283" customWidth="1"/>
    <col min="10539" max="10540" width="18.5703125" style="283" customWidth="1"/>
    <col min="10541" max="10541" width="21.7109375" style="283" customWidth="1"/>
    <col min="10542" max="10752" width="9.140625" style="283"/>
    <col min="10753" max="10753" width="61.7109375" style="283" customWidth="1"/>
    <col min="10754" max="10754" width="18.5703125" style="283" customWidth="1"/>
    <col min="10755" max="10794" width="16.85546875" style="283" customWidth="1"/>
    <col min="10795" max="10796" width="18.5703125" style="283" customWidth="1"/>
    <col min="10797" max="10797" width="21.7109375" style="283" customWidth="1"/>
    <col min="10798" max="11008" width="9.140625" style="283"/>
    <col min="11009" max="11009" width="61.7109375" style="283" customWidth="1"/>
    <col min="11010" max="11010" width="18.5703125" style="283" customWidth="1"/>
    <col min="11011" max="11050" width="16.85546875" style="283" customWidth="1"/>
    <col min="11051" max="11052" width="18.5703125" style="283" customWidth="1"/>
    <col min="11053" max="11053" width="21.7109375" style="283" customWidth="1"/>
    <col min="11054" max="11264" width="9.140625" style="283"/>
    <col min="11265" max="11265" width="61.7109375" style="283" customWidth="1"/>
    <col min="11266" max="11266" width="18.5703125" style="283" customWidth="1"/>
    <col min="11267" max="11306" width="16.85546875" style="283" customWidth="1"/>
    <col min="11307" max="11308" width="18.5703125" style="283" customWidth="1"/>
    <col min="11309" max="11309" width="21.7109375" style="283" customWidth="1"/>
    <col min="11310" max="11520" width="9.140625" style="283"/>
    <col min="11521" max="11521" width="61.7109375" style="283" customWidth="1"/>
    <col min="11522" max="11522" width="18.5703125" style="283" customWidth="1"/>
    <col min="11523" max="11562" width="16.85546875" style="283" customWidth="1"/>
    <col min="11563" max="11564" width="18.5703125" style="283" customWidth="1"/>
    <col min="11565" max="11565" width="21.7109375" style="283" customWidth="1"/>
    <col min="11566" max="11776" width="9.140625" style="283"/>
    <col min="11777" max="11777" width="61.7109375" style="283" customWidth="1"/>
    <col min="11778" max="11778" width="18.5703125" style="283" customWidth="1"/>
    <col min="11779" max="11818" width="16.85546875" style="283" customWidth="1"/>
    <col min="11819" max="11820" width="18.5703125" style="283" customWidth="1"/>
    <col min="11821" max="11821" width="21.7109375" style="283" customWidth="1"/>
    <col min="11822" max="12032" width="9.140625" style="283"/>
    <col min="12033" max="12033" width="61.7109375" style="283" customWidth="1"/>
    <col min="12034" max="12034" width="18.5703125" style="283" customWidth="1"/>
    <col min="12035" max="12074" width="16.85546875" style="283" customWidth="1"/>
    <col min="12075" max="12076" width="18.5703125" style="283" customWidth="1"/>
    <col min="12077" max="12077" width="21.7109375" style="283" customWidth="1"/>
    <col min="12078" max="12288" width="9.140625" style="283"/>
    <col min="12289" max="12289" width="61.7109375" style="283" customWidth="1"/>
    <col min="12290" max="12290" width="18.5703125" style="283" customWidth="1"/>
    <col min="12291" max="12330" width="16.85546875" style="283" customWidth="1"/>
    <col min="12331" max="12332" width="18.5703125" style="283" customWidth="1"/>
    <col min="12333" max="12333" width="21.7109375" style="283" customWidth="1"/>
    <col min="12334" max="12544" width="9.140625" style="283"/>
    <col min="12545" max="12545" width="61.7109375" style="283" customWidth="1"/>
    <col min="12546" max="12546" width="18.5703125" style="283" customWidth="1"/>
    <col min="12547" max="12586" width="16.85546875" style="283" customWidth="1"/>
    <col min="12587" max="12588" width="18.5703125" style="283" customWidth="1"/>
    <col min="12589" max="12589" width="21.7109375" style="283" customWidth="1"/>
    <col min="12590" max="12800" width="9.140625" style="283"/>
    <col min="12801" max="12801" width="61.7109375" style="283" customWidth="1"/>
    <col min="12802" max="12802" width="18.5703125" style="283" customWidth="1"/>
    <col min="12803" max="12842" width="16.85546875" style="283" customWidth="1"/>
    <col min="12843" max="12844" width="18.5703125" style="283" customWidth="1"/>
    <col min="12845" max="12845" width="21.7109375" style="283" customWidth="1"/>
    <col min="12846" max="13056" width="9.140625" style="283"/>
    <col min="13057" max="13057" width="61.7109375" style="283" customWidth="1"/>
    <col min="13058" max="13058" width="18.5703125" style="283" customWidth="1"/>
    <col min="13059" max="13098" width="16.85546875" style="283" customWidth="1"/>
    <col min="13099" max="13100" width="18.5703125" style="283" customWidth="1"/>
    <col min="13101" max="13101" width="21.7109375" style="283" customWidth="1"/>
    <col min="13102" max="13312" width="9.140625" style="283"/>
    <col min="13313" max="13313" width="61.7109375" style="283" customWidth="1"/>
    <col min="13314" max="13314" width="18.5703125" style="283" customWidth="1"/>
    <col min="13315" max="13354" width="16.85546875" style="283" customWidth="1"/>
    <col min="13355" max="13356" width="18.5703125" style="283" customWidth="1"/>
    <col min="13357" max="13357" width="21.7109375" style="283" customWidth="1"/>
    <col min="13358" max="13568" width="9.140625" style="283"/>
    <col min="13569" max="13569" width="61.7109375" style="283" customWidth="1"/>
    <col min="13570" max="13570" width="18.5703125" style="283" customWidth="1"/>
    <col min="13571" max="13610" width="16.85546875" style="283" customWidth="1"/>
    <col min="13611" max="13612" width="18.5703125" style="283" customWidth="1"/>
    <col min="13613" max="13613" width="21.7109375" style="283" customWidth="1"/>
    <col min="13614" max="13824" width="9.140625" style="283"/>
    <col min="13825" max="13825" width="61.7109375" style="283" customWidth="1"/>
    <col min="13826" max="13826" width="18.5703125" style="283" customWidth="1"/>
    <col min="13827" max="13866" width="16.85546875" style="283" customWidth="1"/>
    <col min="13867" max="13868" width="18.5703125" style="283" customWidth="1"/>
    <col min="13869" max="13869" width="21.7109375" style="283" customWidth="1"/>
    <col min="13870" max="14080" width="9.140625" style="283"/>
    <col min="14081" max="14081" width="61.7109375" style="283" customWidth="1"/>
    <col min="14082" max="14082" width="18.5703125" style="283" customWidth="1"/>
    <col min="14083" max="14122" width="16.85546875" style="283" customWidth="1"/>
    <col min="14123" max="14124" width="18.5703125" style="283" customWidth="1"/>
    <col min="14125" max="14125" width="21.7109375" style="283" customWidth="1"/>
    <col min="14126" max="14336" width="9.140625" style="283"/>
    <col min="14337" max="14337" width="61.7109375" style="283" customWidth="1"/>
    <col min="14338" max="14338" width="18.5703125" style="283" customWidth="1"/>
    <col min="14339" max="14378" width="16.85546875" style="283" customWidth="1"/>
    <col min="14379" max="14380" width="18.5703125" style="283" customWidth="1"/>
    <col min="14381" max="14381" width="21.7109375" style="283" customWidth="1"/>
    <col min="14382" max="14592" width="9.140625" style="283"/>
    <col min="14593" max="14593" width="61.7109375" style="283" customWidth="1"/>
    <col min="14594" max="14594" width="18.5703125" style="283" customWidth="1"/>
    <col min="14595" max="14634" width="16.85546875" style="283" customWidth="1"/>
    <col min="14635" max="14636" width="18.5703125" style="283" customWidth="1"/>
    <col min="14637" max="14637" width="21.7109375" style="283" customWidth="1"/>
    <col min="14638" max="14848" width="9.140625" style="283"/>
    <col min="14849" max="14849" width="61.7109375" style="283" customWidth="1"/>
    <col min="14850" max="14850" width="18.5703125" style="283" customWidth="1"/>
    <col min="14851" max="14890" width="16.85546875" style="283" customWidth="1"/>
    <col min="14891" max="14892" width="18.5703125" style="283" customWidth="1"/>
    <col min="14893" max="14893" width="21.7109375" style="283" customWidth="1"/>
    <col min="14894" max="15104" width="9.140625" style="283"/>
    <col min="15105" max="15105" width="61.7109375" style="283" customWidth="1"/>
    <col min="15106" max="15106" width="18.5703125" style="283" customWidth="1"/>
    <col min="15107" max="15146" width="16.85546875" style="283" customWidth="1"/>
    <col min="15147" max="15148" width="18.5703125" style="283" customWidth="1"/>
    <col min="15149" max="15149" width="21.7109375" style="283" customWidth="1"/>
    <col min="15150" max="15360" width="9.140625" style="283"/>
    <col min="15361" max="15361" width="61.7109375" style="283" customWidth="1"/>
    <col min="15362" max="15362" width="18.5703125" style="283" customWidth="1"/>
    <col min="15363" max="15402" width="16.85546875" style="283" customWidth="1"/>
    <col min="15403" max="15404" width="18.5703125" style="283" customWidth="1"/>
    <col min="15405" max="15405" width="21.7109375" style="283" customWidth="1"/>
    <col min="15406" max="15616" width="9.140625" style="283"/>
    <col min="15617" max="15617" width="61.7109375" style="283" customWidth="1"/>
    <col min="15618" max="15618" width="18.5703125" style="283" customWidth="1"/>
    <col min="15619" max="15658" width="16.85546875" style="283" customWidth="1"/>
    <col min="15659" max="15660" width="18.5703125" style="283" customWidth="1"/>
    <col min="15661" max="15661" width="21.7109375" style="283" customWidth="1"/>
    <col min="15662" max="15872" width="9.140625" style="283"/>
    <col min="15873" max="15873" width="61.7109375" style="283" customWidth="1"/>
    <col min="15874" max="15874" width="18.5703125" style="283" customWidth="1"/>
    <col min="15875" max="15914" width="16.85546875" style="283" customWidth="1"/>
    <col min="15915" max="15916" width="18.5703125" style="283" customWidth="1"/>
    <col min="15917" max="15917" width="21.7109375" style="283" customWidth="1"/>
    <col min="15918" max="16128" width="9.140625" style="283"/>
    <col min="16129" max="16129" width="61.7109375" style="283" customWidth="1"/>
    <col min="16130" max="16130" width="18.5703125" style="283" customWidth="1"/>
    <col min="16131" max="16170" width="16.85546875" style="283" customWidth="1"/>
    <col min="16171" max="16172" width="18.5703125" style="283" customWidth="1"/>
    <col min="16173" max="16173" width="21.7109375" style="283" customWidth="1"/>
    <col min="16174" max="16384" width="9.140625" style="283"/>
  </cols>
  <sheetData>
    <row r="1" spans="1:44" ht="18.75" x14ac:dyDescent="0.2">
      <c r="A1" s="135"/>
      <c r="B1" s="135"/>
      <c r="C1" s="135"/>
      <c r="D1" s="135"/>
      <c r="G1" s="135"/>
      <c r="H1" s="259" t="s">
        <v>66</v>
      </c>
      <c r="I1" s="135"/>
      <c r="J1" s="135"/>
      <c r="K1" s="259"/>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row>
    <row r="2" spans="1:44" ht="18.75" x14ac:dyDescent="0.3">
      <c r="A2" s="135"/>
      <c r="B2" s="135"/>
      <c r="C2" s="135"/>
      <c r="D2" s="135"/>
      <c r="E2" s="283"/>
      <c r="F2" s="283"/>
      <c r="G2" s="135"/>
      <c r="H2" s="260" t="s">
        <v>8</v>
      </c>
      <c r="I2" s="135"/>
      <c r="J2" s="135"/>
      <c r="K2" s="260"/>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row>
    <row r="3" spans="1:44" ht="18.75" x14ac:dyDescent="0.3">
      <c r="A3" s="284"/>
      <c r="B3" s="135"/>
      <c r="C3" s="135"/>
      <c r="D3" s="135"/>
      <c r="E3" s="283"/>
      <c r="F3" s="283"/>
      <c r="G3" s="135"/>
      <c r="H3" s="260" t="s">
        <v>444</v>
      </c>
      <c r="I3" s="135"/>
      <c r="J3" s="135"/>
      <c r="K3" s="260"/>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row>
    <row r="4" spans="1:44" ht="18.75" x14ac:dyDescent="0.3">
      <c r="A4" s="284"/>
      <c r="B4" s="135"/>
      <c r="C4" s="135"/>
      <c r="D4" s="135"/>
      <c r="E4" s="135"/>
      <c r="F4" s="135"/>
      <c r="G4" s="135"/>
      <c r="H4" s="135"/>
      <c r="I4" s="135"/>
      <c r="J4" s="135"/>
      <c r="K4" s="260"/>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row>
    <row r="5" spans="1:44" x14ac:dyDescent="0.2">
      <c r="A5" s="460" t="str">
        <f>'1. паспорт местоположение'!A5:C5</f>
        <v>Год раскрытия информации: 2021 год</v>
      </c>
      <c r="B5" s="460"/>
      <c r="C5" s="460"/>
      <c r="D5" s="460"/>
      <c r="E5" s="460"/>
      <c r="F5" s="460"/>
      <c r="G5" s="460"/>
      <c r="H5" s="460"/>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ht="18.75" x14ac:dyDescent="0.3">
      <c r="A6" s="284"/>
      <c r="B6" s="135"/>
      <c r="C6" s="135"/>
      <c r="D6" s="135"/>
      <c r="E6" s="135"/>
      <c r="F6" s="135"/>
      <c r="G6" s="135"/>
      <c r="H6" s="135"/>
      <c r="I6" s="135"/>
      <c r="J6" s="135"/>
      <c r="K6" s="260"/>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row>
    <row r="7" spans="1:44" ht="18.75" x14ac:dyDescent="0.2">
      <c r="A7" s="461" t="s">
        <v>7</v>
      </c>
      <c r="B7" s="461"/>
      <c r="C7" s="461"/>
      <c r="D7" s="461"/>
      <c r="E7" s="461"/>
      <c r="F7" s="461"/>
      <c r="G7" s="461"/>
      <c r="H7" s="461"/>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ht="18.75" x14ac:dyDescent="0.2">
      <c r="A8" s="286"/>
      <c r="B8" s="286"/>
      <c r="C8" s="286"/>
      <c r="D8" s="286"/>
      <c r="E8" s="286"/>
      <c r="F8" s="286"/>
      <c r="G8" s="286"/>
      <c r="H8" s="286"/>
      <c r="I8" s="286"/>
      <c r="J8" s="286"/>
      <c r="K8" s="286"/>
      <c r="L8" s="285"/>
      <c r="M8" s="285"/>
      <c r="N8" s="285"/>
      <c r="O8" s="285"/>
      <c r="P8" s="285"/>
      <c r="Q8" s="285"/>
      <c r="R8" s="285"/>
      <c r="S8" s="285"/>
      <c r="T8" s="285"/>
      <c r="U8" s="285"/>
      <c r="V8" s="285"/>
      <c r="W8" s="285"/>
      <c r="X8" s="285"/>
      <c r="Y8" s="285"/>
      <c r="Z8" s="135"/>
      <c r="AA8" s="135"/>
      <c r="AB8" s="135"/>
      <c r="AC8" s="135"/>
      <c r="AD8" s="135"/>
      <c r="AE8" s="135"/>
      <c r="AF8" s="135"/>
      <c r="AG8" s="135"/>
      <c r="AH8" s="135"/>
      <c r="AI8" s="135"/>
      <c r="AJ8" s="135"/>
      <c r="AK8" s="135"/>
      <c r="AL8" s="135"/>
      <c r="AM8" s="135"/>
      <c r="AN8" s="135"/>
      <c r="AO8" s="135"/>
      <c r="AP8" s="135"/>
      <c r="AQ8" s="135"/>
      <c r="AR8" s="135"/>
    </row>
    <row r="9" spans="1:44" ht="18.75" x14ac:dyDescent="0.2">
      <c r="A9" s="462" t="s">
        <v>589</v>
      </c>
      <c r="B9" s="462"/>
      <c r="C9" s="462"/>
      <c r="D9" s="462"/>
      <c r="E9" s="462"/>
      <c r="F9" s="462"/>
      <c r="G9" s="462"/>
      <c r="H9" s="462"/>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x14ac:dyDescent="0.2">
      <c r="A10" s="463" t="s">
        <v>6</v>
      </c>
      <c r="B10" s="463"/>
      <c r="C10" s="463"/>
      <c r="D10" s="463"/>
      <c r="E10" s="463"/>
      <c r="F10" s="463"/>
      <c r="G10" s="463"/>
      <c r="H10" s="463"/>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ht="18.75" x14ac:dyDescent="0.2">
      <c r="A11" s="286"/>
      <c r="B11" s="286"/>
      <c r="C11" s="286"/>
      <c r="D11" s="286"/>
      <c r="E11" s="286"/>
      <c r="F11" s="286"/>
      <c r="G11" s="286"/>
      <c r="H11" s="286"/>
      <c r="I11" s="286"/>
      <c r="J11" s="286"/>
      <c r="K11" s="286"/>
      <c r="L11" s="285"/>
      <c r="M11" s="285"/>
      <c r="N11" s="285"/>
      <c r="O11" s="285"/>
      <c r="P11" s="285"/>
      <c r="Q11" s="285"/>
      <c r="R11" s="285"/>
      <c r="S11" s="285"/>
      <c r="T11" s="285"/>
      <c r="U11" s="285"/>
      <c r="V11" s="285"/>
      <c r="W11" s="285"/>
      <c r="X11" s="285"/>
      <c r="Y11" s="285"/>
      <c r="Z11" s="135"/>
      <c r="AA11" s="135"/>
      <c r="AB11" s="135"/>
      <c r="AC11" s="135"/>
      <c r="AD11" s="135"/>
      <c r="AE11" s="135"/>
      <c r="AF11" s="135"/>
      <c r="AG11" s="135"/>
      <c r="AH11" s="135"/>
      <c r="AI11" s="135"/>
      <c r="AJ11" s="135"/>
      <c r="AK11" s="135"/>
      <c r="AL11" s="135"/>
      <c r="AM11" s="135"/>
      <c r="AN11" s="135"/>
      <c r="AO11" s="135"/>
      <c r="AP11" s="135"/>
      <c r="AQ11" s="135"/>
      <c r="AR11" s="135"/>
    </row>
    <row r="12" spans="1:44" ht="18.75" x14ac:dyDescent="0.2">
      <c r="A12" s="462" t="s">
        <v>592</v>
      </c>
      <c r="B12" s="462"/>
      <c r="C12" s="462"/>
      <c r="D12" s="462"/>
      <c r="E12" s="462"/>
      <c r="F12" s="462"/>
      <c r="G12" s="462"/>
      <c r="H12" s="462"/>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x14ac:dyDescent="0.2">
      <c r="A13" s="463" t="s">
        <v>5</v>
      </c>
      <c r="B13" s="463"/>
      <c r="C13" s="463"/>
      <c r="D13" s="463"/>
      <c r="E13" s="463"/>
      <c r="F13" s="463"/>
      <c r="G13" s="463"/>
      <c r="H13" s="463"/>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135"/>
      <c r="AA14" s="135"/>
      <c r="AB14" s="135"/>
      <c r="AC14" s="135"/>
      <c r="AD14" s="135"/>
      <c r="AE14" s="135"/>
      <c r="AF14" s="135"/>
      <c r="AG14" s="135"/>
      <c r="AH14" s="135"/>
      <c r="AI14" s="135"/>
      <c r="AJ14" s="135"/>
      <c r="AK14" s="135"/>
      <c r="AL14" s="135"/>
      <c r="AM14" s="135"/>
      <c r="AN14" s="135"/>
      <c r="AO14" s="135"/>
      <c r="AP14" s="135"/>
      <c r="AQ14" s="135"/>
      <c r="AR14" s="135"/>
    </row>
    <row r="15" spans="1:44" ht="18.75" x14ac:dyDescent="0.2">
      <c r="A15" s="464" t="s">
        <v>691</v>
      </c>
      <c r="B15" s="464"/>
      <c r="C15" s="464"/>
      <c r="D15" s="464"/>
      <c r="E15" s="464"/>
      <c r="F15" s="464"/>
      <c r="G15" s="464"/>
      <c r="H15" s="464"/>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x14ac:dyDescent="0.2">
      <c r="A16" s="463" t="s">
        <v>4</v>
      </c>
      <c r="B16" s="463"/>
      <c r="C16" s="463"/>
      <c r="D16" s="463"/>
      <c r="E16" s="463"/>
      <c r="F16" s="463"/>
      <c r="G16" s="463"/>
      <c r="H16" s="463"/>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4" ht="18.7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row>
    <row r="18" spans="1:44" ht="18.75" x14ac:dyDescent="0.2">
      <c r="A18" s="462" t="s">
        <v>391</v>
      </c>
      <c r="B18" s="462"/>
      <c r="C18" s="462"/>
      <c r="D18" s="462"/>
      <c r="E18" s="462"/>
      <c r="F18" s="462"/>
      <c r="G18" s="462"/>
      <c r="H18" s="462"/>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4" x14ac:dyDescent="0.2">
      <c r="A19" s="292"/>
      <c r="Q19" s="293"/>
    </row>
    <row r="20" spans="1:44" x14ac:dyDescent="0.2">
      <c r="A20" s="292"/>
      <c r="Q20" s="293"/>
    </row>
    <row r="21" spans="1:44" x14ac:dyDescent="0.2">
      <c r="A21" s="292"/>
      <c r="Q21" s="293"/>
    </row>
    <row r="22" spans="1:44" x14ac:dyDescent="0.2">
      <c r="A22" s="292"/>
      <c r="Q22" s="293"/>
    </row>
    <row r="23" spans="1:44" x14ac:dyDescent="0.2">
      <c r="D23" s="295"/>
      <c r="Q23" s="293"/>
    </row>
    <row r="24" spans="1:44" ht="16.5" thickBot="1" x14ac:dyDescent="0.25">
      <c r="A24" s="296" t="s">
        <v>288</v>
      </c>
      <c r="B24" s="297" t="s">
        <v>1</v>
      </c>
      <c r="D24" s="298"/>
      <c r="E24" s="299"/>
      <c r="F24" s="299"/>
      <c r="G24" s="299"/>
      <c r="H24" s="299"/>
    </row>
    <row r="25" spans="1:44" x14ac:dyDescent="0.2">
      <c r="A25" s="300" t="s">
        <v>428</v>
      </c>
      <c r="B25" s="262">
        <f>B126/1.2</f>
        <v>345770799.16666669</v>
      </c>
    </row>
    <row r="26" spans="1:44" x14ac:dyDescent="0.2">
      <c r="A26" s="301" t="s">
        <v>286</v>
      </c>
      <c r="B26" s="302">
        <v>0</v>
      </c>
    </row>
    <row r="27" spans="1:44" x14ac:dyDescent="0.2">
      <c r="A27" s="301" t="s">
        <v>284</v>
      </c>
      <c r="B27" s="302">
        <f>$B$123</f>
        <v>30</v>
      </c>
      <c r="D27" s="295" t="s">
        <v>287</v>
      </c>
    </row>
    <row r="28" spans="1:44" ht="16.5" thickBot="1" x14ac:dyDescent="0.25">
      <c r="A28" s="303" t="s">
        <v>282</v>
      </c>
      <c r="B28" s="304">
        <v>1</v>
      </c>
      <c r="D28" s="447" t="s">
        <v>285</v>
      </c>
      <c r="E28" s="448"/>
      <c r="F28" s="449"/>
      <c r="G28" s="458">
        <f>IF(SUM(B89:L89)=0,"не окупается",SUM(B89:L89))</f>
        <v>8.851652940320454</v>
      </c>
      <c r="H28" s="459"/>
    </row>
    <row r="29" spans="1:44" x14ac:dyDescent="0.2">
      <c r="A29" s="305" t="s">
        <v>281</v>
      </c>
      <c r="B29" s="306">
        <f>$B$126*$B$127/1.2</f>
        <v>345770.79916666669</v>
      </c>
      <c r="D29" s="447" t="s">
        <v>283</v>
      </c>
      <c r="E29" s="448"/>
      <c r="F29" s="449"/>
      <c r="G29" s="458" t="str">
        <f>IF(SUM(B90:L90)=0,"не окупается",SUM(B90:L90))</f>
        <v>не окупается</v>
      </c>
      <c r="H29" s="459"/>
    </row>
    <row r="30" spans="1:44" ht="33.75" customHeight="1" x14ac:dyDescent="0.2">
      <c r="A30" s="301" t="s">
        <v>429</v>
      </c>
      <c r="B30" s="302">
        <v>6</v>
      </c>
      <c r="D30" s="447" t="s">
        <v>636</v>
      </c>
      <c r="E30" s="448"/>
      <c r="F30" s="449"/>
      <c r="G30" s="450">
        <f>L87</f>
        <v>-107449199.50452985</v>
      </c>
      <c r="H30" s="451"/>
    </row>
    <row r="31" spans="1:44" x14ac:dyDescent="0.2">
      <c r="A31" s="301" t="s">
        <v>280</v>
      </c>
      <c r="B31" s="302">
        <v>6</v>
      </c>
      <c r="D31" s="452"/>
      <c r="E31" s="453"/>
      <c r="F31" s="454"/>
      <c r="G31" s="452"/>
      <c r="H31" s="454"/>
    </row>
    <row r="32" spans="1:44" x14ac:dyDescent="0.2">
      <c r="A32" s="301" t="s">
        <v>259</v>
      </c>
      <c r="B32" s="302"/>
    </row>
    <row r="33" spans="1:42" x14ac:dyDescent="0.2">
      <c r="A33" s="301" t="s">
        <v>279</v>
      </c>
      <c r="B33" s="302"/>
    </row>
    <row r="34" spans="1:42" x14ac:dyDescent="0.2">
      <c r="A34" s="301" t="s">
        <v>278</v>
      </c>
      <c r="B34" s="302"/>
    </row>
    <row r="35" spans="1:42" x14ac:dyDescent="0.2">
      <c r="A35" s="307"/>
      <c r="B35" s="302"/>
    </row>
    <row r="36" spans="1:42" ht="16.5" thickBot="1" x14ac:dyDescent="0.25">
      <c r="A36" s="303" t="s">
        <v>253</v>
      </c>
      <c r="B36" s="308">
        <v>0.2</v>
      </c>
    </row>
    <row r="37" spans="1:42" x14ac:dyDescent="0.2">
      <c r="A37" s="305" t="s">
        <v>430</v>
      </c>
      <c r="B37" s="306">
        <v>0</v>
      </c>
    </row>
    <row r="38" spans="1:42" x14ac:dyDescent="0.2">
      <c r="A38" s="301" t="s">
        <v>277</v>
      </c>
      <c r="B38" s="302"/>
    </row>
    <row r="39" spans="1:42" ht="16.5" thickBot="1" x14ac:dyDescent="0.25">
      <c r="A39" s="307" t="s">
        <v>276</v>
      </c>
      <c r="B39" s="309"/>
    </row>
    <row r="40" spans="1:42" x14ac:dyDescent="0.2">
      <c r="A40" s="300" t="s">
        <v>431</v>
      </c>
      <c r="B40" s="310">
        <v>1</v>
      </c>
    </row>
    <row r="41" spans="1:42" x14ac:dyDescent="0.2">
      <c r="A41" s="311" t="s">
        <v>275</v>
      </c>
      <c r="B41" s="312"/>
    </row>
    <row r="42" spans="1:42" x14ac:dyDescent="0.2">
      <c r="A42" s="311" t="s">
        <v>274</v>
      </c>
      <c r="B42" s="313"/>
    </row>
    <row r="43" spans="1:42" x14ac:dyDescent="0.2">
      <c r="A43" s="311" t="s">
        <v>273</v>
      </c>
      <c r="B43" s="313">
        <v>0</v>
      </c>
    </row>
    <row r="44" spans="1:42" x14ac:dyDescent="0.2">
      <c r="A44" s="311" t="s">
        <v>272</v>
      </c>
      <c r="B44" s="313">
        <f>B129</f>
        <v>9.8699999999999996E-2</v>
      </c>
    </row>
    <row r="45" spans="1:42" x14ac:dyDescent="0.2">
      <c r="A45" s="311" t="s">
        <v>271</v>
      </c>
      <c r="B45" s="313">
        <f>1-B43</f>
        <v>1</v>
      </c>
    </row>
    <row r="46" spans="1:42" ht="16.5" thickBot="1" x14ac:dyDescent="0.25">
      <c r="A46" s="314" t="s">
        <v>637</v>
      </c>
      <c r="B46" s="315">
        <f>B45*B44+B43*B42*(1-B36)</f>
        <v>9.8699999999999996E-2</v>
      </c>
    </row>
    <row r="47" spans="1:42" x14ac:dyDescent="0.2">
      <c r="A47" s="316" t="s">
        <v>270</v>
      </c>
      <c r="B47" s="317">
        <f>B58</f>
        <v>1</v>
      </c>
      <c r="C47" s="317">
        <f t="shared" ref="C47:AO47" si="0">C58</f>
        <v>2</v>
      </c>
      <c r="D47" s="317">
        <f t="shared" si="0"/>
        <v>3</v>
      </c>
      <c r="E47" s="317">
        <f t="shared" si="0"/>
        <v>4</v>
      </c>
      <c r="F47" s="317">
        <f t="shared" si="0"/>
        <v>5</v>
      </c>
      <c r="G47" s="317">
        <f t="shared" si="0"/>
        <v>6</v>
      </c>
      <c r="H47" s="317">
        <f t="shared" si="0"/>
        <v>7</v>
      </c>
      <c r="I47" s="317">
        <f t="shared" si="0"/>
        <v>8</v>
      </c>
      <c r="J47" s="317">
        <f t="shared" si="0"/>
        <v>9</v>
      </c>
      <c r="K47" s="317">
        <f t="shared" si="0"/>
        <v>10</v>
      </c>
      <c r="L47" s="317">
        <f t="shared" si="0"/>
        <v>11</v>
      </c>
      <c r="M47" s="317">
        <f t="shared" si="0"/>
        <v>12</v>
      </c>
      <c r="N47" s="317">
        <f t="shared" si="0"/>
        <v>13</v>
      </c>
      <c r="O47" s="317">
        <f t="shared" si="0"/>
        <v>14</v>
      </c>
      <c r="P47" s="317">
        <f t="shared" si="0"/>
        <v>15</v>
      </c>
      <c r="Q47" s="317">
        <f t="shared" si="0"/>
        <v>16</v>
      </c>
      <c r="R47" s="317">
        <f t="shared" si="0"/>
        <v>17</v>
      </c>
      <c r="S47" s="317">
        <f t="shared" si="0"/>
        <v>18</v>
      </c>
      <c r="T47" s="317">
        <f t="shared" si="0"/>
        <v>19</v>
      </c>
      <c r="U47" s="317">
        <f t="shared" si="0"/>
        <v>20</v>
      </c>
      <c r="V47" s="317">
        <f t="shared" si="0"/>
        <v>21</v>
      </c>
      <c r="W47" s="317">
        <f t="shared" si="0"/>
        <v>22</v>
      </c>
      <c r="X47" s="317">
        <f t="shared" si="0"/>
        <v>23</v>
      </c>
      <c r="Y47" s="317">
        <f t="shared" si="0"/>
        <v>24</v>
      </c>
      <c r="Z47" s="317">
        <f t="shared" si="0"/>
        <v>25</v>
      </c>
      <c r="AA47" s="317">
        <f t="shared" si="0"/>
        <v>26</v>
      </c>
      <c r="AB47" s="317">
        <f t="shared" si="0"/>
        <v>27</v>
      </c>
      <c r="AC47" s="317">
        <f t="shared" si="0"/>
        <v>28</v>
      </c>
      <c r="AD47" s="317">
        <f t="shared" si="0"/>
        <v>29</v>
      </c>
      <c r="AE47" s="317">
        <f t="shared" si="0"/>
        <v>30</v>
      </c>
      <c r="AF47" s="317">
        <f t="shared" si="0"/>
        <v>31</v>
      </c>
      <c r="AG47" s="317">
        <f t="shared" si="0"/>
        <v>32</v>
      </c>
      <c r="AH47" s="317">
        <f t="shared" si="0"/>
        <v>33</v>
      </c>
      <c r="AI47" s="317">
        <f t="shared" si="0"/>
        <v>34</v>
      </c>
      <c r="AJ47" s="317">
        <f t="shared" si="0"/>
        <v>35</v>
      </c>
      <c r="AK47" s="317">
        <f t="shared" si="0"/>
        <v>36</v>
      </c>
      <c r="AL47" s="317">
        <f t="shared" si="0"/>
        <v>37</v>
      </c>
      <c r="AM47" s="317">
        <f t="shared" si="0"/>
        <v>38</v>
      </c>
      <c r="AN47" s="317">
        <f t="shared" si="0"/>
        <v>39</v>
      </c>
      <c r="AO47" s="317">
        <f t="shared" si="0"/>
        <v>40</v>
      </c>
      <c r="AP47" s="317">
        <f>AP58</f>
        <v>41</v>
      </c>
    </row>
    <row r="48" spans="1:42" x14ac:dyDescent="0.2">
      <c r="A48" s="318" t="s">
        <v>269</v>
      </c>
      <c r="B48" s="319">
        <v>6.2E-2</v>
      </c>
      <c r="C48" s="319">
        <v>5.0999999999999997E-2</v>
      </c>
      <c r="D48" s="319">
        <v>4.8000000000000001E-2</v>
      </c>
      <c r="E48" s="319">
        <v>4.7E-2</v>
      </c>
      <c r="F48" s="320">
        <v>4.7E-2</v>
      </c>
      <c r="G48" s="320">
        <v>4.7E-2</v>
      </c>
      <c r="H48" s="320">
        <v>4.7E-2</v>
      </c>
      <c r="I48" s="320">
        <v>4.7E-2</v>
      </c>
      <c r="J48" s="320">
        <v>4.7E-2</v>
      </c>
      <c r="K48" s="320">
        <v>4.7E-2</v>
      </c>
      <c r="L48" s="320">
        <v>4.7E-2</v>
      </c>
      <c r="M48" s="320">
        <v>4.7E-2</v>
      </c>
      <c r="N48" s="320">
        <v>4.7E-2</v>
      </c>
      <c r="O48" s="320">
        <v>4.7E-2</v>
      </c>
      <c r="P48" s="320">
        <v>4.7E-2</v>
      </c>
      <c r="Q48" s="320">
        <v>4.7E-2</v>
      </c>
      <c r="R48" s="320">
        <v>4.7E-2</v>
      </c>
      <c r="S48" s="320">
        <v>4.7E-2</v>
      </c>
      <c r="T48" s="320">
        <v>4.7E-2</v>
      </c>
      <c r="U48" s="320">
        <v>4.7E-2</v>
      </c>
      <c r="V48" s="320">
        <v>4.7E-2</v>
      </c>
      <c r="W48" s="320">
        <v>4.7E-2</v>
      </c>
      <c r="X48" s="320">
        <v>4.7E-2</v>
      </c>
      <c r="Y48" s="320">
        <v>4.7E-2</v>
      </c>
      <c r="Z48" s="320">
        <v>4.7E-2</v>
      </c>
      <c r="AA48" s="320">
        <v>4.7E-2</v>
      </c>
      <c r="AB48" s="320">
        <v>4.7E-2</v>
      </c>
      <c r="AC48" s="320">
        <v>4.7E-2</v>
      </c>
      <c r="AD48" s="320">
        <v>4.7E-2</v>
      </c>
      <c r="AE48" s="320">
        <v>4.7E-2</v>
      </c>
      <c r="AF48" s="321">
        <f t="shared" ref="AF48:AH48" si="1">AH136</f>
        <v>4.7E-2</v>
      </c>
      <c r="AG48" s="321">
        <f t="shared" si="1"/>
        <v>4.7E-2</v>
      </c>
      <c r="AH48" s="321">
        <f t="shared" si="1"/>
        <v>4.2000000000000003E-2</v>
      </c>
      <c r="AI48" s="321">
        <f t="shared" ref="AI48:AP48" si="2">AK136</f>
        <v>4.2000000000000003E-2</v>
      </c>
      <c r="AJ48" s="321">
        <f t="shared" si="2"/>
        <v>4.2000000000000003E-2</v>
      </c>
      <c r="AK48" s="321">
        <f t="shared" si="2"/>
        <v>4.2000000000000003E-2</v>
      </c>
      <c r="AL48" s="321">
        <f t="shared" si="2"/>
        <v>4.2000000000000003E-2</v>
      </c>
      <c r="AM48" s="321">
        <f t="shared" si="2"/>
        <v>4.2000000000000003E-2</v>
      </c>
      <c r="AN48" s="321">
        <f t="shared" si="2"/>
        <v>4.2000000000000003E-2</v>
      </c>
      <c r="AO48" s="321">
        <f t="shared" si="2"/>
        <v>4.2000000000000003E-2</v>
      </c>
      <c r="AP48" s="321">
        <f t="shared" si="2"/>
        <v>4.2000000000000003E-2</v>
      </c>
    </row>
    <row r="49" spans="1:42" x14ac:dyDescent="0.2">
      <c r="A49" s="318" t="s">
        <v>268</v>
      </c>
      <c r="B49" s="321">
        <f>F137</f>
        <v>6.2000000000000055E-2</v>
      </c>
      <c r="C49" s="321">
        <f t="shared" ref="C49:F49" si="3">G137</f>
        <v>0.1161620000000001</v>
      </c>
      <c r="D49" s="321">
        <f t="shared" si="3"/>
        <v>0.16973777600000006</v>
      </c>
      <c r="E49" s="321">
        <f t="shared" si="3"/>
        <v>0.22471545147200001</v>
      </c>
      <c r="F49" s="321">
        <f t="shared" si="3"/>
        <v>0.28227707769118382</v>
      </c>
      <c r="G49" s="321">
        <f t="shared" ref="G49" si="4">K137</f>
        <v>0.34254410034266947</v>
      </c>
      <c r="H49" s="321">
        <f t="shared" ref="H49" si="5">L137</f>
        <v>0.40564367305877491</v>
      </c>
      <c r="I49" s="321">
        <f t="shared" ref="I49:J49" si="6">M137</f>
        <v>0.47170892569253731</v>
      </c>
      <c r="J49" s="321">
        <f t="shared" si="6"/>
        <v>0.54087924520008657</v>
      </c>
      <c r="K49" s="321">
        <f t="shared" ref="K49" si="7">O137</f>
        <v>0.61330056972449043</v>
      </c>
      <c r="L49" s="321">
        <f t="shared" ref="L49" si="8">P137</f>
        <v>0.68912569650154132</v>
      </c>
      <c r="M49" s="321">
        <f t="shared" ref="M49:N49" si="9">Q137</f>
        <v>0.7685146042371136</v>
      </c>
      <c r="N49" s="321">
        <f t="shared" si="9"/>
        <v>0.8516347906362578</v>
      </c>
      <c r="O49" s="321">
        <f t="shared" ref="O49" si="10">S137</f>
        <v>0.93866162579616175</v>
      </c>
      <c r="P49" s="321">
        <f t="shared" ref="P49" si="11">T137</f>
        <v>1.0297787222085812</v>
      </c>
      <c r="Q49" s="321">
        <f t="shared" ref="Q49:R49" si="12">U137</f>
        <v>1.1251783221523843</v>
      </c>
      <c r="R49" s="321">
        <f t="shared" si="12"/>
        <v>1.2250617032935462</v>
      </c>
      <c r="S49" s="321">
        <f t="shared" ref="S49" si="13">W137</f>
        <v>1.3296396033483426</v>
      </c>
      <c r="T49" s="321">
        <f t="shared" ref="T49" si="14">X137</f>
        <v>1.4391326647057148</v>
      </c>
      <c r="U49" s="321">
        <f t="shared" ref="U49:V49" si="15">Y137</f>
        <v>1.553771899946883</v>
      </c>
      <c r="V49" s="321">
        <f t="shared" si="15"/>
        <v>1.6737991792443863</v>
      </c>
      <c r="W49" s="321">
        <f t="shared" ref="W49" si="16">AA137</f>
        <v>1.7994677406688724</v>
      </c>
      <c r="X49" s="321">
        <f t="shared" ref="X49" si="17">AB137</f>
        <v>1.9310427244803092</v>
      </c>
      <c r="Y49" s="321">
        <f t="shared" ref="Y49:Z49" si="18">AC137</f>
        <v>2.0688017325308836</v>
      </c>
      <c r="Z49" s="321">
        <f t="shared" si="18"/>
        <v>2.2130354139598349</v>
      </c>
      <c r="AA49" s="321">
        <f t="shared" ref="AA49" si="19">AE137</f>
        <v>2.364048078415947</v>
      </c>
      <c r="AB49" s="321">
        <f t="shared" ref="AB49" si="20">AF137</f>
        <v>2.5221583381014963</v>
      </c>
      <c r="AC49" s="321">
        <f t="shared" ref="AC49:AD49" si="21">AG137</f>
        <v>2.6876997799922662</v>
      </c>
      <c r="AD49" s="321">
        <f t="shared" si="21"/>
        <v>2.8610216696519024</v>
      </c>
      <c r="AE49" s="321">
        <f t="shared" ref="AE49" si="22">AI137</f>
        <v>3.0424896881255412</v>
      </c>
      <c r="AF49" s="321">
        <f t="shared" ref="AF49" si="23">AJ137</f>
        <v>3.2122742550268137</v>
      </c>
      <c r="AG49" s="321">
        <f t="shared" ref="AG49:AH49" si="24">AK137</f>
        <v>3.3891897737379404</v>
      </c>
      <c r="AH49" s="321">
        <f t="shared" si="24"/>
        <v>3.5735357442349338</v>
      </c>
      <c r="AI49" s="321">
        <f t="shared" ref="AI49" si="25">AM137</f>
        <v>3.7656242454928011</v>
      </c>
      <c r="AJ49" s="321">
        <f t="shared" ref="AJ49" si="26">AN137</f>
        <v>3.9657804638034992</v>
      </c>
      <c r="AK49" s="321">
        <f t="shared" ref="AK49:AL49" si="27">AO137</f>
        <v>4.1743432432832464</v>
      </c>
      <c r="AL49" s="321">
        <f t="shared" si="27"/>
        <v>4.3916656595011432</v>
      </c>
      <c r="AM49" s="321">
        <f t="shared" ref="AM49" si="28">AQ137</f>
        <v>4.6181156172001918</v>
      </c>
      <c r="AN49" s="321">
        <f t="shared" ref="AN49" si="29">AR137</f>
        <v>4.8540764731225998</v>
      </c>
      <c r="AO49" s="321">
        <f t="shared" ref="AO49:AP49" si="30">AS137</f>
        <v>5.0999476849937491</v>
      </c>
      <c r="AP49" s="321">
        <f t="shared" si="30"/>
        <v>5.3561454877634871</v>
      </c>
    </row>
    <row r="50" spans="1:42" ht="16.5" thickBot="1" x14ac:dyDescent="0.25">
      <c r="A50" s="322" t="s">
        <v>432</v>
      </c>
      <c r="B50" s="265">
        <f>IF($B$124="да",($B$126*0+'2. паспорт  ТП'!S22*1.2*1000000),0)*0</f>
        <v>0</v>
      </c>
      <c r="C50" s="265">
        <f>G108*(1+C49)</f>
        <v>40281693.799612887</v>
      </c>
      <c r="D50" s="265">
        <f>H108*(1+H49)</f>
        <v>57956443.002715856</v>
      </c>
      <c r="E50" s="265">
        <f t="shared" ref="E50:M50" si="31">I108*(1+E49)</f>
        <v>53466931.7078081</v>
      </c>
      <c r="F50" s="265">
        <f t="shared" si="31"/>
        <v>59089870.692412578</v>
      </c>
      <c r="G50" s="265">
        <f t="shared" si="31"/>
        <v>63820792.339638785</v>
      </c>
      <c r="H50" s="265">
        <f t="shared" si="31"/>
        <v>68184050.591430411</v>
      </c>
      <c r="I50" s="265">
        <f t="shared" si="31"/>
        <v>71388700.969227642</v>
      </c>
      <c r="J50" s="265">
        <f t="shared" si="31"/>
        <v>74743969.914781347</v>
      </c>
      <c r="K50" s="265">
        <f t="shared" si="31"/>
        <v>78256936.500776052</v>
      </c>
      <c r="L50" s="265">
        <f t="shared" si="31"/>
        <v>81935012.516312525</v>
      </c>
      <c r="M50" s="265">
        <f t="shared" si="31"/>
        <v>85785958.104579195</v>
      </c>
      <c r="N50" s="265">
        <f t="shared" ref="N50:AP50" si="32">N108*(1+N49)</f>
        <v>89817898.135494411</v>
      </c>
      <c r="O50" s="265">
        <f t="shared" si="32"/>
        <v>94039339.347862646</v>
      </c>
      <c r="P50" s="265">
        <f t="shared" si="32"/>
        <v>98459188.297212183</v>
      </c>
      <c r="Q50" s="265">
        <f t="shared" si="32"/>
        <v>103086770.14718115</v>
      </c>
      <c r="R50" s="265">
        <f t="shared" si="32"/>
        <v>107931848.34409866</v>
      </c>
      <c r="S50" s="265">
        <f t="shared" si="32"/>
        <v>113004645.21627128</v>
      </c>
      <c r="T50" s="265">
        <f t="shared" si="32"/>
        <v>118315863.54143603</v>
      </c>
      <c r="U50" s="265">
        <f t="shared" si="32"/>
        <v>123876709.12788351</v>
      </c>
      <c r="V50" s="265">
        <f t="shared" si="32"/>
        <v>129698914.45689403</v>
      </c>
      <c r="W50" s="265">
        <f t="shared" si="32"/>
        <v>135794763.43636805</v>
      </c>
      <c r="X50" s="265">
        <f t="shared" si="32"/>
        <v>142177117.31787732</v>
      </c>
      <c r="Y50" s="265">
        <f t="shared" si="32"/>
        <v>148859441.83181757</v>
      </c>
      <c r="Z50" s="265">
        <f t="shared" si="32"/>
        <v>155855835.59791297</v>
      </c>
      <c r="AA50" s="265">
        <f t="shared" si="32"/>
        <v>163181059.87101486</v>
      </c>
      <c r="AB50" s="265">
        <f t="shared" si="32"/>
        <v>170850569.68495256</v>
      </c>
      <c r="AC50" s="265">
        <f t="shared" si="32"/>
        <v>178880546.46014529</v>
      </c>
      <c r="AD50" s="265">
        <f t="shared" si="32"/>
        <v>187287932.14377213</v>
      </c>
      <c r="AE50" s="265">
        <f t="shared" si="32"/>
        <v>196090464.95452937</v>
      </c>
      <c r="AF50" s="265">
        <f t="shared" si="32"/>
        <v>204326264.48261961</v>
      </c>
      <c r="AG50" s="265">
        <f t="shared" si="32"/>
        <v>212907967.59088966</v>
      </c>
      <c r="AH50" s="265">
        <f t="shared" si="32"/>
        <v>221850102.229707</v>
      </c>
      <c r="AI50" s="265">
        <f t="shared" si="32"/>
        <v>231167806.52335471</v>
      </c>
      <c r="AJ50" s="265">
        <f t="shared" si="32"/>
        <v>240876854.39733562</v>
      </c>
      <c r="AK50" s="265">
        <f t="shared" si="32"/>
        <v>250993682.28202373</v>
      </c>
      <c r="AL50" s="265">
        <f t="shared" si="32"/>
        <v>261535416.93786874</v>
      </c>
      <c r="AM50" s="265">
        <f t="shared" si="32"/>
        <v>272519904.44925928</v>
      </c>
      <c r="AN50" s="265">
        <f t="shared" si="32"/>
        <v>283965740.43612814</v>
      </c>
      <c r="AO50" s="265">
        <f t="shared" si="32"/>
        <v>295892301.53444552</v>
      </c>
      <c r="AP50" s="265">
        <f t="shared" si="32"/>
        <v>308319778.1988923</v>
      </c>
    </row>
    <row r="51" spans="1:42" ht="16.5" thickBot="1" x14ac:dyDescent="0.25">
      <c r="B51" s="282">
        <v>2020</v>
      </c>
      <c r="C51" s="282">
        <f>B51+1</f>
        <v>2021</v>
      </c>
      <c r="D51" s="282">
        <f t="shared" ref="D51:AP51" si="33">C51+1</f>
        <v>2022</v>
      </c>
      <c r="E51" s="282">
        <f t="shared" si="33"/>
        <v>2023</v>
      </c>
      <c r="F51" s="282">
        <f t="shared" si="33"/>
        <v>2024</v>
      </c>
      <c r="G51" s="282">
        <f t="shared" si="33"/>
        <v>2025</v>
      </c>
      <c r="H51" s="282">
        <f t="shared" si="33"/>
        <v>2026</v>
      </c>
      <c r="I51" s="282">
        <f t="shared" si="33"/>
        <v>2027</v>
      </c>
      <c r="J51" s="282">
        <f t="shared" si="33"/>
        <v>2028</v>
      </c>
      <c r="K51" s="282">
        <f t="shared" si="33"/>
        <v>2029</v>
      </c>
      <c r="L51" s="282">
        <f t="shared" si="33"/>
        <v>2030</v>
      </c>
      <c r="M51" s="282">
        <f t="shared" si="33"/>
        <v>2031</v>
      </c>
      <c r="N51" s="282">
        <f t="shared" si="33"/>
        <v>2032</v>
      </c>
      <c r="O51" s="282">
        <f t="shared" si="33"/>
        <v>2033</v>
      </c>
      <c r="P51" s="282">
        <f t="shared" si="33"/>
        <v>2034</v>
      </c>
      <c r="Q51" s="282">
        <f t="shared" si="33"/>
        <v>2035</v>
      </c>
      <c r="R51" s="282">
        <f t="shared" si="33"/>
        <v>2036</v>
      </c>
      <c r="S51" s="282">
        <f t="shared" si="33"/>
        <v>2037</v>
      </c>
      <c r="T51" s="282">
        <f t="shared" si="33"/>
        <v>2038</v>
      </c>
      <c r="U51" s="282">
        <f t="shared" si="33"/>
        <v>2039</v>
      </c>
      <c r="V51" s="282">
        <f t="shared" si="33"/>
        <v>2040</v>
      </c>
      <c r="W51" s="282">
        <f t="shared" si="33"/>
        <v>2041</v>
      </c>
      <c r="X51" s="282">
        <f t="shared" si="33"/>
        <v>2042</v>
      </c>
      <c r="Y51" s="282">
        <f t="shared" si="33"/>
        <v>2043</v>
      </c>
      <c r="Z51" s="282">
        <f t="shared" si="33"/>
        <v>2044</v>
      </c>
      <c r="AA51" s="282">
        <f t="shared" si="33"/>
        <v>2045</v>
      </c>
      <c r="AB51" s="282">
        <f t="shared" si="33"/>
        <v>2046</v>
      </c>
      <c r="AC51" s="282">
        <f t="shared" si="33"/>
        <v>2047</v>
      </c>
      <c r="AD51" s="282">
        <f t="shared" si="33"/>
        <v>2048</v>
      </c>
      <c r="AE51" s="282">
        <f t="shared" si="33"/>
        <v>2049</v>
      </c>
      <c r="AF51" s="282">
        <f t="shared" si="33"/>
        <v>2050</v>
      </c>
      <c r="AG51" s="282">
        <f t="shared" si="33"/>
        <v>2051</v>
      </c>
      <c r="AH51" s="282">
        <f t="shared" si="33"/>
        <v>2052</v>
      </c>
      <c r="AI51" s="282">
        <f t="shared" si="33"/>
        <v>2053</v>
      </c>
      <c r="AJ51" s="282">
        <f t="shared" si="33"/>
        <v>2054</v>
      </c>
      <c r="AK51" s="282">
        <f t="shared" si="33"/>
        <v>2055</v>
      </c>
      <c r="AL51" s="282">
        <f t="shared" si="33"/>
        <v>2056</v>
      </c>
      <c r="AM51" s="282">
        <f t="shared" si="33"/>
        <v>2057</v>
      </c>
      <c r="AN51" s="282">
        <f t="shared" si="33"/>
        <v>2058</v>
      </c>
      <c r="AO51" s="282">
        <f t="shared" si="33"/>
        <v>2059</v>
      </c>
      <c r="AP51" s="282">
        <f t="shared" si="33"/>
        <v>2060</v>
      </c>
    </row>
    <row r="52" spans="1:42" x14ac:dyDescent="0.2">
      <c r="A52" s="263" t="s">
        <v>267</v>
      </c>
      <c r="B52" s="317">
        <f>B58</f>
        <v>1</v>
      </c>
      <c r="C52" s="317">
        <f t="shared" ref="C52:AO52" si="34">C58</f>
        <v>2</v>
      </c>
      <c r="D52" s="317">
        <f t="shared" si="34"/>
        <v>3</v>
      </c>
      <c r="E52" s="317">
        <f t="shared" si="34"/>
        <v>4</v>
      </c>
      <c r="F52" s="317">
        <f t="shared" si="34"/>
        <v>5</v>
      </c>
      <c r="G52" s="317">
        <f t="shared" si="34"/>
        <v>6</v>
      </c>
      <c r="H52" s="317">
        <f t="shared" si="34"/>
        <v>7</v>
      </c>
      <c r="I52" s="317">
        <f t="shared" si="34"/>
        <v>8</v>
      </c>
      <c r="J52" s="317">
        <f t="shared" si="34"/>
        <v>9</v>
      </c>
      <c r="K52" s="317">
        <f t="shared" si="34"/>
        <v>10</v>
      </c>
      <c r="L52" s="317">
        <f t="shared" si="34"/>
        <v>11</v>
      </c>
      <c r="M52" s="317">
        <f t="shared" si="34"/>
        <v>12</v>
      </c>
      <c r="N52" s="317">
        <f t="shared" si="34"/>
        <v>13</v>
      </c>
      <c r="O52" s="317">
        <f t="shared" si="34"/>
        <v>14</v>
      </c>
      <c r="P52" s="317">
        <f t="shared" si="34"/>
        <v>15</v>
      </c>
      <c r="Q52" s="317">
        <f t="shared" si="34"/>
        <v>16</v>
      </c>
      <c r="R52" s="317">
        <f t="shared" si="34"/>
        <v>17</v>
      </c>
      <c r="S52" s="317">
        <f t="shared" si="34"/>
        <v>18</v>
      </c>
      <c r="T52" s="317">
        <f t="shared" si="34"/>
        <v>19</v>
      </c>
      <c r="U52" s="317">
        <f t="shared" si="34"/>
        <v>20</v>
      </c>
      <c r="V52" s="317">
        <f t="shared" si="34"/>
        <v>21</v>
      </c>
      <c r="W52" s="317">
        <f t="shared" si="34"/>
        <v>22</v>
      </c>
      <c r="X52" s="317">
        <f t="shared" si="34"/>
        <v>23</v>
      </c>
      <c r="Y52" s="317">
        <f t="shared" si="34"/>
        <v>24</v>
      </c>
      <c r="Z52" s="317">
        <f t="shared" si="34"/>
        <v>25</v>
      </c>
      <c r="AA52" s="317">
        <f t="shared" si="34"/>
        <v>26</v>
      </c>
      <c r="AB52" s="317">
        <f t="shared" si="34"/>
        <v>27</v>
      </c>
      <c r="AC52" s="317">
        <f t="shared" si="34"/>
        <v>28</v>
      </c>
      <c r="AD52" s="317">
        <f t="shared" si="34"/>
        <v>29</v>
      </c>
      <c r="AE52" s="317">
        <f t="shared" si="34"/>
        <v>30</v>
      </c>
      <c r="AF52" s="317">
        <f t="shared" si="34"/>
        <v>31</v>
      </c>
      <c r="AG52" s="317">
        <f t="shared" si="34"/>
        <v>32</v>
      </c>
      <c r="AH52" s="317">
        <f t="shared" si="34"/>
        <v>33</v>
      </c>
      <c r="AI52" s="317">
        <f t="shared" si="34"/>
        <v>34</v>
      </c>
      <c r="AJ52" s="317">
        <f t="shared" si="34"/>
        <v>35</v>
      </c>
      <c r="AK52" s="317">
        <f t="shared" si="34"/>
        <v>36</v>
      </c>
      <c r="AL52" s="317">
        <f t="shared" si="34"/>
        <v>37</v>
      </c>
      <c r="AM52" s="317">
        <f t="shared" si="34"/>
        <v>38</v>
      </c>
      <c r="AN52" s="317">
        <f t="shared" si="34"/>
        <v>39</v>
      </c>
      <c r="AO52" s="317">
        <f t="shared" si="34"/>
        <v>40</v>
      </c>
      <c r="AP52" s="317">
        <f>AP58</f>
        <v>41</v>
      </c>
    </row>
    <row r="53" spans="1:42" x14ac:dyDescent="0.2">
      <c r="A53" s="318" t="s">
        <v>266</v>
      </c>
      <c r="B53" s="264">
        <v>0</v>
      </c>
      <c r="C53" s="264">
        <f t="shared" ref="C53:AP53" si="35">B53+B54-B55</f>
        <v>0</v>
      </c>
      <c r="D53" s="264">
        <f t="shared" si="35"/>
        <v>0</v>
      </c>
      <c r="E53" s="264">
        <f t="shared" si="35"/>
        <v>0</v>
      </c>
      <c r="F53" s="264">
        <f t="shared" si="35"/>
        <v>0</v>
      </c>
      <c r="G53" s="264">
        <f t="shared" si="35"/>
        <v>0</v>
      </c>
      <c r="H53" s="264">
        <f t="shared" si="35"/>
        <v>0</v>
      </c>
      <c r="I53" s="264">
        <f t="shared" si="35"/>
        <v>0</v>
      </c>
      <c r="J53" s="264">
        <f t="shared" si="35"/>
        <v>0</v>
      </c>
      <c r="K53" s="264">
        <f t="shared" si="35"/>
        <v>0</v>
      </c>
      <c r="L53" s="264">
        <f t="shared" si="35"/>
        <v>0</v>
      </c>
      <c r="M53" s="264">
        <f t="shared" si="35"/>
        <v>0</v>
      </c>
      <c r="N53" s="264">
        <f t="shared" si="35"/>
        <v>0</v>
      </c>
      <c r="O53" s="264">
        <f t="shared" si="35"/>
        <v>0</v>
      </c>
      <c r="P53" s="264">
        <f t="shared" si="35"/>
        <v>0</v>
      </c>
      <c r="Q53" s="264">
        <f t="shared" si="35"/>
        <v>0</v>
      </c>
      <c r="R53" s="264">
        <f t="shared" si="35"/>
        <v>0</v>
      </c>
      <c r="S53" s="264">
        <f t="shared" si="35"/>
        <v>0</v>
      </c>
      <c r="T53" s="264">
        <f t="shared" si="35"/>
        <v>0</v>
      </c>
      <c r="U53" s="264">
        <f t="shared" si="35"/>
        <v>0</v>
      </c>
      <c r="V53" s="264">
        <f t="shared" si="35"/>
        <v>0</v>
      </c>
      <c r="W53" s="264">
        <f t="shared" si="35"/>
        <v>0</v>
      </c>
      <c r="X53" s="264">
        <f t="shared" si="35"/>
        <v>0</v>
      </c>
      <c r="Y53" s="264">
        <f t="shared" si="35"/>
        <v>0</v>
      </c>
      <c r="Z53" s="264">
        <f t="shared" si="35"/>
        <v>0</v>
      </c>
      <c r="AA53" s="264">
        <f t="shared" si="35"/>
        <v>0</v>
      </c>
      <c r="AB53" s="264">
        <f t="shared" si="35"/>
        <v>0</v>
      </c>
      <c r="AC53" s="264">
        <f t="shared" si="35"/>
        <v>0</v>
      </c>
      <c r="AD53" s="264">
        <f t="shared" si="35"/>
        <v>0</v>
      </c>
      <c r="AE53" s="264">
        <f t="shared" si="35"/>
        <v>0</v>
      </c>
      <c r="AF53" s="264">
        <f t="shared" si="35"/>
        <v>0</v>
      </c>
      <c r="AG53" s="264">
        <f t="shared" si="35"/>
        <v>0</v>
      </c>
      <c r="AH53" s="264">
        <f t="shared" si="35"/>
        <v>0</v>
      </c>
      <c r="AI53" s="264">
        <f t="shared" si="35"/>
        <v>0</v>
      </c>
      <c r="AJ53" s="264">
        <f t="shared" si="35"/>
        <v>0</v>
      </c>
      <c r="AK53" s="264">
        <f t="shared" si="35"/>
        <v>0</v>
      </c>
      <c r="AL53" s="264">
        <f t="shared" si="35"/>
        <v>0</v>
      </c>
      <c r="AM53" s="264">
        <f t="shared" si="35"/>
        <v>0</v>
      </c>
      <c r="AN53" s="264">
        <f t="shared" si="35"/>
        <v>0</v>
      </c>
      <c r="AO53" s="264">
        <f t="shared" si="35"/>
        <v>0</v>
      </c>
      <c r="AP53" s="264">
        <f t="shared" si="35"/>
        <v>0</v>
      </c>
    </row>
    <row r="54" spans="1:42" x14ac:dyDescent="0.2">
      <c r="A54" s="318" t="s">
        <v>265</v>
      </c>
      <c r="B54" s="264">
        <f>B25*B28*B43*1.18</f>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4">
        <v>0</v>
      </c>
      <c r="AO54" s="264">
        <v>0</v>
      </c>
      <c r="AP54" s="264">
        <v>0</v>
      </c>
    </row>
    <row r="55" spans="1:42" x14ac:dyDescent="0.2">
      <c r="A55" s="318" t="s">
        <v>264</v>
      </c>
      <c r="B55" s="264">
        <f>$B$54/$B$40</f>
        <v>0</v>
      </c>
      <c r="C55" s="264">
        <f t="shared" ref="C55:AP55" si="36">IF(ROUND(C53,1)=0,0,B55+C54/$B$40)</f>
        <v>0</v>
      </c>
      <c r="D55" s="264">
        <f t="shared" si="36"/>
        <v>0</v>
      </c>
      <c r="E55" s="264">
        <f t="shared" si="36"/>
        <v>0</v>
      </c>
      <c r="F55" s="264">
        <f t="shared" si="36"/>
        <v>0</v>
      </c>
      <c r="G55" s="264">
        <f t="shared" si="36"/>
        <v>0</v>
      </c>
      <c r="H55" s="264">
        <f t="shared" si="36"/>
        <v>0</v>
      </c>
      <c r="I55" s="264">
        <f t="shared" si="36"/>
        <v>0</v>
      </c>
      <c r="J55" s="264">
        <f t="shared" si="36"/>
        <v>0</v>
      </c>
      <c r="K55" s="264">
        <f t="shared" si="36"/>
        <v>0</v>
      </c>
      <c r="L55" s="264">
        <f t="shared" si="36"/>
        <v>0</v>
      </c>
      <c r="M55" s="264">
        <f t="shared" si="36"/>
        <v>0</v>
      </c>
      <c r="N55" s="264">
        <f t="shared" si="36"/>
        <v>0</v>
      </c>
      <c r="O55" s="264">
        <f t="shared" si="36"/>
        <v>0</v>
      </c>
      <c r="P55" s="264">
        <f t="shared" si="36"/>
        <v>0</v>
      </c>
      <c r="Q55" s="264">
        <f t="shared" si="36"/>
        <v>0</v>
      </c>
      <c r="R55" s="264">
        <f t="shared" si="36"/>
        <v>0</v>
      </c>
      <c r="S55" s="264">
        <f t="shared" si="36"/>
        <v>0</v>
      </c>
      <c r="T55" s="264">
        <f t="shared" si="36"/>
        <v>0</v>
      </c>
      <c r="U55" s="264">
        <f t="shared" si="36"/>
        <v>0</v>
      </c>
      <c r="V55" s="264">
        <f t="shared" si="36"/>
        <v>0</v>
      </c>
      <c r="W55" s="264">
        <f t="shared" si="36"/>
        <v>0</v>
      </c>
      <c r="X55" s="264">
        <f t="shared" si="36"/>
        <v>0</v>
      </c>
      <c r="Y55" s="264">
        <f t="shared" si="36"/>
        <v>0</v>
      </c>
      <c r="Z55" s="264">
        <f t="shared" si="36"/>
        <v>0</v>
      </c>
      <c r="AA55" s="264">
        <f t="shared" si="36"/>
        <v>0</v>
      </c>
      <c r="AB55" s="264">
        <f t="shared" si="36"/>
        <v>0</v>
      </c>
      <c r="AC55" s="264">
        <f t="shared" si="36"/>
        <v>0</v>
      </c>
      <c r="AD55" s="264">
        <f t="shared" si="36"/>
        <v>0</v>
      </c>
      <c r="AE55" s="264">
        <f t="shared" si="36"/>
        <v>0</v>
      </c>
      <c r="AF55" s="264">
        <f t="shared" si="36"/>
        <v>0</v>
      </c>
      <c r="AG55" s="264">
        <f t="shared" si="36"/>
        <v>0</v>
      </c>
      <c r="AH55" s="264">
        <f t="shared" si="36"/>
        <v>0</v>
      </c>
      <c r="AI55" s="264">
        <f t="shared" si="36"/>
        <v>0</v>
      </c>
      <c r="AJ55" s="264">
        <f t="shared" si="36"/>
        <v>0</v>
      </c>
      <c r="AK55" s="264">
        <f t="shared" si="36"/>
        <v>0</v>
      </c>
      <c r="AL55" s="264">
        <f t="shared" si="36"/>
        <v>0</v>
      </c>
      <c r="AM55" s="264">
        <f t="shared" si="36"/>
        <v>0</v>
      </c>
      <c r="AN55" s="264">
        <f t="shared" si="36"/>
        <v>0</v>
      </c>
      <c r="AO55" s="264">
        <f t="shared" si="36"/>
        <v>0</v>
      </c>
      <c r="AP55" s="264">
        <f t="shared" si="36"/>
        <v>0</v>
      </c>
    </row>
    <row r="56" spans="1:42" ht="16.5" thickBot="1" x14ac:dyDescent="0.25">
      <c r="A56" s="322" t="s">
        <v>263</v>
      </c>
      <c r="B56" s="265">
        <f t="shared" ref="B56:AP56" si="37">AVERAGE(SUM(B53:B54),(SUM(B53:B54)-B55))*$B$42</f>
        <v>0</v>
      </c>
      <c r="C56" s="265">
        <f t="shared" si="37"/>
        <v>0</v>
      </c>
      <c r="D56" s="265">
        <f t="shared" si="37"/>
        <v>0</v>
      </c>
      <c r="E56" s="265">
        <f t="shared" si="37"/>
        <v>0</v>
      </c>
      <c r="F56" s="265">
        <f t="shared" si="37"/>
        <v>0</v>
      </c>
      <c r="G56" s="265">
        <f t="shared" si="37"/>
        <v>0</v>
      </c>
      <c r="H56" s="265">
        <f t="shared" si="37"/>
        <v>0</v>
      </c>
      <c r="I56" s="265">
        <f t="shared" si="37"/>
        <v>0</v>
      </c>
      <c r="J56" s="265">
        <f t="shared" si="37"/>
        <v>0</v>
      </c>
      <c r="K56" s="265">
        <f t="shared" si="37"/>
        <v>0</v>
      </c>
      <c r="L56" s="265">
        <f t="shared" si="37"/>
        <v>0</v>
      </c>
      <c r="M56" s="265">
        <f t="shared" si="37"/>
        <v>0</v>
      </c>
      <c r="N56" s="265">
        <f t="shared" si="37"/>
        <v>0</v>
      </c>
      <c r="O56" s="265">
        <f t="shared" si="37"/>
        <v>0</v>
      </c>
      <c r="P56" s="265">
        <f t="shared" si="37"/>
        <v>0</v>
      </c>
      <c r="Q56" s="265">
        <f t="shared" si="37"/>
        <v>0</v>
      </c>
      <c r="R56" s="265">
        <f t="shared" si="37"/>
        <v>0</v>
      </c>
      <c r="S56" s="265">
        <f t="shared" si="37"/>
        <v>0</v>
      </c>
      <c r="T56" s="265">
        <f t="shared" si="37"/>
        <v>0</v>
      </c>
      <c r="U56" s="265">
        <f t="shared" si="37"/>
        <v>0</v>
      </c>
      <c r="V56" s="265">
        <f t="shared" si="37"/>
        <v>0</v>
      </c>
      <c r="W56" s="265">
        <f t="shared" si="37"/>
        <v>0</v>
      </c>
      <c r="X56" s="265">
        <f t="shared" si="37"/>
        <v>0</v>
      </c>
      <c r="Y56" s="265">
        <f t="shared" si="37"/>
        <v>0</v>
      </c>
      <c r="Z56" s="265">
        <f t="shared" si="37"/>
        <v>0</v>
      </c>
      <c r="AA56" s="265">
        <f t="shared" si="37"/>
        <v>0</v>
      </c>
      <c r="AB56" s="265">
        <f t="shared" si="37"/>
        <v>0</v>
      </c>
      <c r="AC56" s="265">
        <f t="shared" si="37"/>
        <v>0</v>
      </c>
      <c r="AD56" s="265">
        <f t="shared" si="37"/>
        <v>0</v>
      </c>
      <c r="AE56" s="265">
        <f t="shared" si="37"/>
        <v>0</v>
      </c>
      <c r="AF56" s="265">
        <f t="shared" si="37"/>
        <v>0</v>
      </c>
      <c r="AG56" s="265">
        <f t="shared" si="37"/>
        <v>0</v>
      </c>
      <c r="AH56" s="265">
        <f t="shared" si="37"/>
        <v>0</v>
      </c>
      <c r="AI56" s="265">
        <f t="shared" si="37"/>
        <v>0</v>
      </c>
      <c r="AJ56" s="265">
        <f t="shared" si="37"/>
        <v>0</v>
      </c>
      <c r="AK56" s="265">
        <f t="shared" si="37"/>
        <v>0</v>
      </c>
      <c r="AL56" s="265">
        <f t="shared" si="37"/>
        <v>0</v>
      </c>
      <c r="AM56" s="265">
        <f t="shared" si="37"/>
        <v>0</v>
      </c>
      <c r="AN56" s="265">
        <f t="shared" si="37"/>
        <v>0</v>
      </c>
      <c r="AO56" s="265">
        <f t="shared" si="37"/>
        <v>0</v>
      </c>
      <c r="AP56" s="265">
        <f t="shared" si="37"/>
        <v>0</v>
      </c>
    </row>
    <row r="57" spans="1:42" ht="16.5" thickBot="1" x14ac:dyDescent="0.25">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row>
    <row r="58" spans="1:42" x14ac:dyDescent="0.2">
      <c r="A58" s="263" t="s">
        <v>433</v>
      </c>
      <c r="B58" s="317">
        <v>1</v>
      </c>
      <c r="C58" s="317">
        <f>B58+1</f>
        <v>2</v>
      </c>
      <c r="D58" s="317">
        <f t="shared" ref="D58:AP58" si="38">C58+1</f>
        <v>3</v>
      </c>
      <c r="E58" s="317">
        <f t="shared" si="38"/>
        <v>4</v>
      </c>
      <c r="F58" s="317">
        <f t="shared" si="38"/>
        <v>5</v>
      </c>
      <c r="G58" s="317">
        <f t="shared" si="38"/>
        <v>6</v>
      </c>
      <c r="H58" s="317">
        <f t="shared" si="38"/>
        <v>7</v>
      </c>
      <c r="I58" s="317">
        <f t="shared" si="38"/>
        <v>8</v>
      </c>
      <c r="J58" s="317">
        <f t="shared" si="38"/>
        <v>9</v>
      </c>
      <c r="K58" s="317">
        <f t="shared" si="38"/>
        <v>10</v>
      </c>
      <c r="L58" s="317">
        <f t="shared" si="38"/>
        <v>11</v>
      </c>
      <c r="M58" s="317">
        <f t="shared" si="38"/>
        <v>12</v>
      </c>
      <c r="N58" s="317">
        <f t="shared" si="38"/>
        <v>13</v>
      </c>
      <c r="O58" s="317">
        <f t="shared" si="38"/>
        <v>14</v>
      </c>
      <c r="P58" s="317">
        <f t="shared" si="38"/>
        <v>15</v>
      </c>
      <c r="Q58" s="317">
        <f t="shared" si="38"/>
        <v>16</v>
      </c>
      <c r="R58" s="317">
        <f t="shared" si="38"/>
        <v>17</v>
      </c>
      <c r="S58" s="317">
        <f t="shared" si="38"/>
        <v>18</v>
      </c>
      <c r="T58" s="317">
        <f t="shared" si="38"/>
        <v>19</v>
      </c>
      <c r="U58" s="317">
        <f t="shared" si="38"/>
        <v>20</v>
      </c>
      <c r="V58" s="317">
        <f t="shared" si="38"/>
        <v>21</v>
      </c>
      <c r="W58" s="317">
        <f t="shared" si="38"/>
        <v>22</v>
      </c>
      <c r="X58" s="317">
        <f t="shared" si="38"/>
        <v>23</v>
      </c>
      <c r="Y58" s="317">
        <f t="shared" si="38"/>
        <v>24</v>
      </c>
      <c r="Z58" s="317">
        <f t="shared" si="38"/>
        <v>25</v>
      </c>
      <c r="AA58" s="317">
        <f t="shared" si="38"/>
        <v>26</v>
      </c>
      <c r="AB58" s="317">
        <f t="shared" si="38"/>
        <v>27</v>
      </c>
      <c r="AC58" s="317">
        <f t="shared" si="38"/>
        <v>28</v>
      </c>
      <c r="AD58" s="317">
        <f t="shared" si="38"/>
        <v>29</v>
      </c>
      <c r="AE58" s="317">
        <f t="shared" si="38"/>
        <v>30</v>
      </c>
      <c r="AF58" s="317">
        <f t="shared" si="38"/>
        <v>31</v>
      </c>
      <c r="AG58" s="317">
        <f t="shared" si="38"/>
        <v>32</v>
      </c>
      <c r="AH58" s="317">
        <f t="shared" si="38"/>
        <v>33</v>
      </c>
      <c r="AI58" s="317">
        <f t="shared" si="38"/>
        <v>34</v>
      </c>
      <c r="AJ58" s="317">
        <f t="shared" si="38"/>
        <v>35</v>
      </c>
      <c r="AK58" s="317">
        <f t="shared" si="38"/>
        <v>36</v>
      </c>
      <c r="AL58" s="317">
        <f t="shared" si="38"/>
        <v>37</v>
      </c>
      <c r="AM58" s="317">
        <f t="shared" si="38"/>
        <v>38</v>
      </c>
      <c r="AN58" s="317">
        <f t="shared" si="38"/>
        <v>39</v>
      </c>
      <c r="AO58" s="317">
        <f t="shared" si="38"/>
        <v>40</v>
      </c>
      <c r="AP58" s="317">
        <f t="shared" si="38"/>
        <v>41</v>
      </c>
    </row>
    <row r="59" spans="1:42" ht="14.25" x14ac:dyDescent="0.2">
      <c r="A59" s="266" t="s">
        <v>262</v>
      </c>
      <c r="B59" s="267">
        <f>B50*$B$28</f>
        <v>0</v>
      </c>
      <c r="C59" s="267">
        <f>C50*$B$28</f>
        <v>40281693.799612887</v>
      </c>
      <c r="D59" s="267">
        <f>D50*$B$28</f>
        <v>57956443.002715856</v>
      </c>
      <c r="E59" s="267">
        <f t="shared" ref="E59:AP59" si="39">E50*$B$28</f>
        <v>53466931.7078081</v>
      </c>
      <c r="F59" s="267">
        <f t="shared" si="39"/>
        <v>59089870.692412578</v>
      </c>
      <c r="G59" s="267">
        <f>G50*$B$28</f>
        <v>63820792.339638785</v>
      </c>
      <c r="H59" s="267">
        <f t="shared" si="39"/>
        <v>68184050.591430411</v>
      </c>
      <c r="I59" s="267">
        <f t="shared" si="39"/>
        <v>71388700.969227642</v>
      </c>
      <c r="J59" s="267">
        <f t="shared" si="39"/>
        <v>74743969.914781347</v>
      </c>
      <c r="K59" s="267">
        <f t="shared" si="39"/>
        <v>78256936.500776052</v>
      </c>
      <c r="L59" s="267">
        <f t="shared" si="39"/>
        <v>81935012.516312525</v>
      </c>
      <c r="M59" s="267">
        <f t="shared" si="39"/>
        <v>85785958.104579195</v>
      </c>
      <c r="N59" s="267">
        <f t="shared" si="39"/>
        <v>89817898.135494411</v>
      </c>
      <c r="O59" s="267">
        <f t="shared" si="39"/>
        <v>94039339.347862646</v>
      </c>
      <c r="P59" s="267">
        <f t="shared" si="39"/>
        <v>98459188.297212183</v>
      </c>
      <c r="Q59" s="267">
        <f t="shared" si="39"/>
        <v>103086770.14718115</v>
      </c>
      <c r="R59" s="267">
        <f t="shared" si="39"/>
        <v>107931848.34409866</v>
      </c>
      <c r="S59" s="267">
        <f t="shared" si="39"/>
        <v>113004645.21627128</v>
      </c>
      <c r="T59" s="267">
        <f t="shared" si="39"/>
        <v>118315863.54143603</v>
      </c>
      <c r="U59" s="267">
        <f t="shared" si="39"/>
        <v>123876709.12788351</v>
      </c>
      <c r="V59" s="267">
        <f t="shared" si="39"/>
        <v>129698914.45689403</v>
      </c>
      <c r="W59" s="267">
        <f t="shared" si="39"/>
        <v>135794763.43636805</v>
      </c>
      <c r="X59" s="267">
        <f t="shared" si="39"/>
        <v>142177117.31787732</v>
      </c>
      <c r="Y59" s="267">
        <f t="shared" si="39"/>
        <v>148859441.83181757</v>
      </c>
      <c r="Z59" s="267">
        <f t="shared" si="39"/>
        <v>155855835.59791297</v>
      </c>
      <c r="AA59" s="267">
        <f t="shared" si="39"/>
        <v>163181059.87101486</v>
      </c>
      <c r="AB59" s="267">
        <f t="shared" si="39"/>
        <v>170850569.68495256</v>
      </c>
      <c r="AC59" s="267">
        <f t="shared" si="39"/>
        <v>178880546.46014529</v>
      </c>
      <c r="AD59" s="267">
        <f t="shared" si="39"/>
        <v>187287932.14377213</v>
      </c>
      <c r="AE59" s="267">
        <f t="shared" si="39"/>
        <v>196090464.95452937</v>
      </c>
      <c r="AF59" s="267">
        <f t="shared" si="39"/>
        <v>204326264.48261961</v>
      </c>
      <c r="AG59" s="267">
        <f t="shared" si="39"/>
        <v>212907967.59088966</v>
      </c>
      <c r="AH59" s="267">
        <f t="shared" si="39"/>
        <v>221850102.229707</v>
      </c>
      <c r="AI59" s="267">
        <f t="shared" si="39"/>
        <v>231167806.52335471</v>
      </c>
      <c r="AJ59" s="267">
        <f t="shared" si="39"/>
        <v>240876854.39733562</v>
      </c>
      <c r="AK59" s="267">
        <f t="shared" si="39"/>
        <v>250993682.28202373</v>
      </c>
      <c r="AL59" s="267">
        <f t="shared" si="39"/>
        <v>261535416.93786874</v>
      </c>
      <c r="AM59" s="267">
        <f t="shared" si="39"/>
        <v>272519904.44925928</v>
      </c>
      <c r="AN59" s="267">
        <f t="shared" si="39"/>
        <v>283965740.43612814</v>
      </c>
      <c r="AO59" s="267">
        <f t="shared" si="39"/>
        <v>295892301.53444552</v>
      </c>
      <c r="AP59" s="267">
        <f t="shared" si="39"/>
        <v>308319778.1988923</v>
      </c>
    </row>
    <row r="60" spans="1:42" x14ac:dyDescent="0.2">
      <c r="A60" s="318" t="s">
        <v>261</v>
      </c>
      <c r="B60" s="264">
        <f t="shared" ref="B60:AP60" si="40">SUM(B61:B65)</f>
        <v>0</v>
      </c>
      <c r="C60" s="264">
        <f t="shared" si="40"/>
        <v>0</v>
      </c>
      <c r="D60" s="264">
        <f>SUM(D61:D65)</f>
        <v>0</v>
      </c>
      <c r="E60" s="264">
        <f t="shared" si="40"/>
        <v>0</v>
      </c>
      <c r="F60" s="264">
        <f t="shared" si="40"/>
        <v>0</v>
      </c>
      <c r="G60" s="264">
        <f t="shared" si="40"/>
        <v>0</v>
      </c>
      <c r="H60" s="264">
        <f>SUM(H61:H65)</f>
        <v>-486030.53617710137</v>
      </c>
      <c r="I60" s="264">
        <f t="shared" si="40"/>
        <v>0</v>
      </c>
      <c r="J60" s="264">
        <f t="shared" si="40"/>
        <v>0</v>
      </c>
      <c r="K60" s="264">
        <f t="shared" si="40"/>
        <v>0</v>
      </c>
      <c r="L60" s="264">
        <f t="shared" si="40"/>
        <v>0</v>
      </c>
      <c r="M60" s="264">
        <f t="shared" si="40"/>
        <v>0</v>
      </c>
      <c r="N60" s="264">
        <f t="shared" si="40"/>
        <v>0</v>
      </c>
      <c r="O60" s="264">
        <f t="shared" si="40"/>
        <v>-670332.57966528821</v>
      </c>
      <c r="P60" s="264">
        <f t="shared" si="40"/>
        <v>0</v>
      </c>
      <c r="Q60" s="264">
        <f t="shared" si="40"/>
        <v>0</v>
      </c>
      <c r="R60" s="264">
        <f t="shared" si="40"/>
        <v>0</v>
      </c>
      <c r="S60" s="264">
        <f t="shared" si="40"/>
        <v>0</v>
      </c>
      <c r="T60" s="264">
        <f t="shared" si="40"/>
        <v>0</v>
      </c>
      <c r="U60" s="264">
        <f t="shared" si="40"/>
        <v>0</v>
      </c>
      <c r="V60" s="264">
        <f t="shared" si="40"/>
        <v>-924521.67901850888</v>
      </c>
      <c r="W60" s="264">
        <f t="shared" si="40"/>
        <v>0</v>
      </c>
      <c r="X60" s="264">
        <f t="shared" si="40"/>
        <v>0</v>
      </c>
      <c r="Y60" s="264">
        <f t="shared" si="40"/>
        <v>0</v>
      </c>
      <c r="Z60" s="264">
        <f t="shared" si="40"/>
        <v>0</v>
      </c>
      <c r="AA60" s="264">
        <f t="shared" si="40"/>
        <v>0</v>
      </c>
      <c r="AB60" s="264">
        <f t="shared" si="40"/>
        <v>0</v>
      </c>
      <c r="AC60" s="264">
        <f t="shared" si="40"/>
        <v>-1275098.9000146668</v>
      </c>
      <c r="AD60" s="264">
        <f t="shared" si="40"/>
        <v>0</v>
      </c>
      <c r="AE60" s="264">
        <f t="shared" si="40"/>
        <v>0</v>
      </c>
      <c r="AF60" s="264">
        <f t="shared" si="40"/>
        <v>0</v>
      </c>
      <c r="AG60" s="264">
        <f t="shared" si="40"/>
        <v>0</v>
      </c>
      <c r="AH60" s="264">
        <f t="shared" si="40"/>
        <v>0</v>
      </c>
      <c r="AI60" s="264">
        <f t="shared" si="40"/>
        <v>0</v>
      </c>
      <c r="AJ60" s="264">
        <f t="shared" si="40"/>
        <v>-1717021.8794555566</v>
      </c>
      <c r="AK60" s="264">
        <f t="shared" si="40"/>
        <v>0</v>
      </c>
      <c r="AL60" s="264">
        <f t="shared" si="40"/>
        <v>0</v>
      </c>
      <c r="AM60" s="264">
        <f t="shared" si="40"/>
        <v>0</v>
      </c>
      <c r="AN60" s="264">
        <f t="shared" si="40"/>
        <v>0</v>
      </c>
      <c r="AO60" s="264">
        <f t="shared" si="40"/>
        <v>0</v>
      </c>
      <c r="AP60" s="264">
        <f t="shared" si="40"/>
        <v>0</v>
      </c>
    </row>
    <row r="61" spans="1:42" x14ac:dyDescent="0.2">
      <c r="A61" s="324" t="s">
        <v>260</v>
      </c>
      <c r="B61" s="264"/>
      <c r="C61" s="264">
        <f>-IF(C$47&lt;=$B$30,0,$B$29*(1+C$49)*$B$28)</f>
        <v>0</v>
      </c>
      <c r="D61" s="264">
        <f>-IF(D$47&lt;=$B$30,0,$B$29*(1+D$49)*$B$28)</f>
        <v>0</v>
      </c>
      <c r="E61" s="264">
        <f>-IF(E$47&lt;=$B$30,0,$B$29*(1+E$49)*$B$28)</f>
        <v>0</v>
      </c>
      <c r="F61" s="264">
        <f t="shared" ref="F61:AJ61" si="41">-IF(F$47&lt;=$B$30,0,$B$29*(1+F$49)*$B$28)</f>
        <v>0</v>
      </c>
      <c r="G61" s="264">
        <f t="shared" si="41"/>
        <v>0</v>
      </c>
      <c r="H61" s="264">
        <f>-IF(H$47&lt;=$B$30,0,$B$29*(1+H$49)*$B$28)</f>
        <v>-486030.53617710137</v>
      </c>
      <c r="I61" s="264">
        <f t="shared" ref="I61:N61" si="42">-IF(I$47&lt;=$B$30,0,$B$29*(1+I$49)*$B$28)*0</f>
        <v>0</v>
      </c>
      <c r="J61" s="264">
        <f t="shared" si="42"/>
        <v>0</v>
      </c>
      <c r="K61" s="264">
        <f t="shared" si="42"/>
        <v>0</v>
      </c>
      <c r="L61" s="264">
        <f t="shared" si="42"/>
        <v>0</v>
      </c>
      <c r="M61" s="264">
        <f t="shared" si="42"/>
        <v>0</v>
      </c>
      <c r="N61" s="264">
        <f t="shared" si="42"/>
        <v>0</v>
      </c>
      <c r="O61" s="264">
        <f>-IF(O$47&lt;=$B$30,0,$B$29*(1+O$49)*$B$28)</f>
        <v>-670332.57966528821</v>
      </c>
      <c r="P61" s="264">
        <f t="shared" ref="P61:U61" si="43">-IF(P$47&lt;=$B$30,0,$B$29*(1+P$49)*$B$28)*0</f>
        <v>0</v>
      </c>
      <c r="Q61" s="264">
        <f t="shared" si="43"/>
        <v>0</v>
      </c>
      <c r="R61" s="264">
        <f t="shared" si="43"/>
        <v>0</v>
      </c>
      <c r="S61" s="264">
        <f t="shared" si="43"/>
        <v>0</v>
      </c>
      <c r="T61" s="264">
        <f t="shared" si="43"/>
        <v>0</v>
      </c>
      <c r="U61" s="264">
        <f t="shared" si="43"/>
        <v>0</v>
      </c>
      <c r="V61" s="264">
        <f>-IF(V$47&lt;=$B$30,0,$B$29*(1+V$49)*$B$28)</f>
        <v>-924521.67901850888</v>
      </c>
      <c r="W61" s="264">
        <f t="shared" ref="W61:AB61" si="44">-IF(W$47&lt;=$B$30,0,$B$29*(1+W$49)*$B$28)*0</f>
        <v>0</v>
      </c>
      <c r="X61" s="264">
        <f t="shared" si="44"/>
        <v>0</v>
      </c>
      <c r="Y61" s="264">
        <f t="shared" si="44"/>
        <v>0</v>
      </c>
      <c r="Z61" s="264">
        <f t="shared" si="44"/>
        <v>0</v>
      </c>
      <c r="AA61" s="264">
        <f t="shared" si="44"/>
        <v>0</v>
      </c>
      <c r="AB61" s="264">
        <f t="shared" si="44"/>
        <v>0</v>
      </c>
      <c r="AC61" s="264">
        <f t="shared" si="41"/>
        <v>-1275098.9000146668</v>
      </c>
      <c r="AD61" s="264">
        <f t="shared" ref="AD61:AI61" si="45">-IF(AD$47&lt;=$B$30,0,$B$29*(1+AD$49)*$B$28)*0</f>
        <v>0</v>
      </c>
      <c r="AE61" s="264">
        <f t="shared" si="45"/>
        <v>0</v>
      </c>
      <c r="AF61" s="264">
        <f t="shared" si="45"/>
        <v>0</v>
      </c>
      <c r="AG61" s="264">
        <f t="shared" si="45"/>
        <v>0</v>
      </c>
      <c r="AH61" s="264">
        <f t="shared" si="45"/>
        <v>0</v>
      </c>
      <c r="AI61" s="264">
        <f t="shared" si="45"/>
        <v>0</v>
      </c>
      <c r="AJ61" s="264">
        <f t="shared" si="41"/>
        <v>-1717021.8794555566</v>
      </c>
      <c r="AK61" s="264">
        <f t="shared" ref="AK61:AP61" si="46">-IF(AK$47&lt;=$B$30,0,$B$29*(1+AK$49)*$B$28)*0</f>
        <v>0</v>
      </c>
      <c r="AL61" s="264">
        <f t="shared" si="46"/>
        <v>0</v>
      </c>
      <c r="AM61" s="264">
        <f t="shared" si="46"/>
        <v>0</v>
      </c>
      <c r="AN61" s="264">
        <f t="shared" si="46"/>
        <v>0</v>
      </c>
      <c r="AO61" s="264">
        <f t="shared" si="46"/>
        <v>0</v>
      </c>
      <c r="AP61" s="264">
        <f t="shared" si="46"/>
        <v>0</v>
      </c>
    </row>
    <row r="62" spans="1:42" x14ac:dyDescent="0.2">
      <c r="A62" s="324" t="str">
        <f>A32</f>
        <v>Прочие расходы при эксплуатации объекта, руб. без НДС</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row>
    <row r="63" spans="1:42" x14ac:dyDescent="0.2">
      <c r="A63" s="324" t="s">
        <v>430</v>
      </c>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row>
    <row r="64" spans="1:42" x14ac:dyDescent="0.2">
      <c r="A64" s="324" t="s">
        <v>430</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row>
    <row r="65" spans="1:45" ht="31.5" x14ac:dyDescent="0.2">
      <c r="A65" s="324" t="s">
        <v>638</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4"/>
      <c r="AL65" s="264"/>
      <c r="AM65" s="264"/>
      <c r="AN65" s="264"/>
      <c r="AO65" s="264"/>
      <c r="AP65" s="264"/>
    </row>
    <row r="66" spans="1:45" ht="28.5" x14ac:dyDescent="0.2">
      <c r="A66" s="268" t="s">
        <v>639</v>
      </c>
      <c r="B66" s="267">
        <f>B59+B60</f>
        <v>0</v>
      </c>
      <c r="C66" s="267">
        <f t="shared" ref="C66:AO66" si="47">C59+C60</f>
        <v>40281693.799612887</v>
      </c>
      <c r="D66" s="267">
        <f t="shared" si="47"/>
        <v>57956443.002715856</v>
      </c>
      <c r="E66" s="267">
        <f t="shared" si="47"/>
        <v>53466931.7078081</v>
      </c>
      <c r="F66" s="267">
        <f t="shared" si="47"/>
        <v>59089870.692412578</v>
      </c>
      <c r="G66" s="267">
        <f t="shared" si="47"/>
        <v>63820792.339638785</v>
      </c>
      <c r="H66" s="267">
        <f t="shared" si="47"/>
        <v>67698020.055253312</v>
      </c>
      <c r="I66" s="267">
        <f t="shared" si="47"/>
        <v>71388700.969227642</v>
      </c>
      <c r="J66" s="267">
        <f t="shared" si="47"/>
        <v>74743969.914781347</v>
      </c>
      <c r="K66" s="267">
        <f t="shared" si="47"/>
        <v>78256936.500776052</v>
      </c>
      <c r="L66" s="267">
        <f t="shared" si="47"/>
        <v>81935012.516312525</v>
      </c>
      <c r="M66" s="267">
        <f t="shared" si="47"/>
        <v>85785958.104579195</v>
      </c>
      <c r="N66" s="267">
        <f t="shared" si="47"/>
        <v>89817898.135494411</v>
      </c>
      <c r="O66" s="267">
        <f t="shared" si="47"/>
        <v>93369006.768197358</v>
      </c>
      <c r="P66" s="267">
        <f t="shared" si="47"/>
        <v>98459188.297212183</v>
      </c>
      <c r="Q66" s="267">
        <f t="shared" si="47"/>
        <v>103086770.14718115</v>
      </c>
      <c r="R66" s="267">
        <f t="shared" si="47"/>
        <v>107931848.34409866</v>
      </c>
      <c r="S66" s="267">
        <f t="shared" si="47"/>
        <v>113004645.21627128</v>
      </c>
      <c r="T66" s="267">
        <f t="shared" si="47"/>
        <v>118315863.54143603</v>
      </c>
      <c r="U66" s="267">
        <f t="shared" si="47"/>
        <v>123876709.12788351</v>
      </c>
      <c r="V66" s="267">
        <f t="shared" si="47"/>
        <v>128774392.77787551</v>
      </c>
      <c r="W66" s="267">
        <f t="shared" si="47"/>
        <v>135794763.43636805</v>
      </c>
      <c r="X66" s="267">
        <f t="shared" si="47"/>
        <v>142177117.31787732</v>
      </c>
      <c r="Y66" s="267">
        <f t="shared" si="47"/>
        <v>148859441.83181757</v>
      </c>
      <c r="Z66" s="267">
        <f t="shared" si="47"/>
        <v>155855835.59791297</v>
      </c>
      <c r="AA66" s="267">
        <f t="shared" si="47"/>
        <v>163181059.87101486</v>
      </c>
      <c r="AB66" s="267">
        <f t="shared" si="47"/>
        <v>170850569.68495256</v>
      </c>
      <c r="AC66" s="267">
        <f t="shared" si="47"/>
        <v>177605447.56013063</v>
      </c>
      <c r="AD66" s="267">
        <f t="shared" si="47"/>
        <v>187287932.14377213</v>
      </c>
      <c r="AE66" s="267">
        <f t="shared" si="47"/>
        <v>196090464.95452937</v>
      </c>
      <c r="AF66" s="267">
        <f t="shared" si="47"/>
        <v>204326264.48261961</v>
      </c>
      <c r="AG66" s="267">
        <f t="shared" si="47"/>
        <v>212907967.59088966</v>
      </c>
      <c r="AH66" s="267">
        <f t="shared" si="47"/>
        <v>221850102.229707</v>
      </c>
      <c r="AI66" s="267">
        <f t="shared" si="47"/>
        <v>231167806.52335471</v>
      </c>
      <c r="AJ66" s="267">
        <f t="shared" si="47"/>
        <v>239159832.51788005</v>
      </c>
      <c r="AK66" s="267">
        <f t="shared" si="47"/>
        <v>250993682.28202373</v>
      </c>
      <c r="AL66" s="267">
        <f t="shared" si="47"/>
        <v>261535416.93786874</v>
      </c>
      <c r="AM66" s="267">
        <f t="shared" si="47"/>
        <v>272519904.44925928</v>
      </c>
      <c r="AN66" s="267">
        <f t="shared" si="47"/>
        <v>283965740.43612814</v>
      </c>
      <c r="AO66" s="267">
        <f t="shared" si="47"/>
        <v>295892301.53444552</v>
      </c>
      <c r="AP66" s="267">
        <f>AP59+AP60</f>
        <v>308319778.1988923</v>
      </c>
    </row>
    <row r="67" spans="1:45" x14ac:dyDescent="0.2">
      <c r="A67" s="324" t="s">
        <v>255</v>
      </c>
      <c r="C67" s="264">
        <v>0</v>
      </c>
      <c r="D67" s="264">
        <f>-($B$25)*$B$28/$B$27</f>
        <v>-11525693.305555556</v>
      </c>
      <c r="E67" s="264">
        <f t="shared" ref="E67:AP67" si="48">D67</f>
        <v>-11525693.305555556</v>
      </c>
      <c r="F67" s="264">
        <f t="shared" si="48"/>
        <v>-11525693.305555556</v>
      </c>
      <c r="G67" s="264">
        <f t="shared" si="48"/>
        <v>-11525693.305555556</v>
      </c>
      <c r="H67" s="264">
        <f t="shared" si="48"/>
        <v>-11525693.305555556</v>
      </c>
      <c r="I67" s="264">
        <f t="shared" si="48"/>
        <v>-11525693.305555556</v>
      </c>
      <c r="J67" s="264">
        <f t="shared" si="48"/>
        <v>-11525693.305555556</v>
      </c>
      <c r="K67" s="264">
        <f t="shared" si="48"/>
        <v>-11525693.305555556</v>
      </c>
      <c r="L67" s="264">
        <f t="shared" si="48"/>
        <v>-11525693.305555556</v>
      </c>
      <c r="M67" s="264">
        <f t="shared" si="48"/>
        <v>-11525693.305555556</v>
      </c>
      <c r="N67" s="264">
        <f t="shared" si="48"/>
        <v>-11525693.305555556</v>
      </c>
      <c r="O67" s="264">
        <f t="shared" si="48"/>
        <v>-11525693.305555556</v>
      </c>
      <c r="P67" s="264">
        <f t="shared" si="48"/>
        <v>-11525693.305555556</v>
      </c>
      <c r="Q67" s="264">
        <f t="shared" si="48"/>
        <v>-11525693.305555556</v>
      </c>
      <c r="R67" s="264">
        <f t="shared" si="48"/>
        <v>-11525693.305555556</v>
      </c>
      <c r="S67" s="264">
        <f t="shared" si="48"/>
        <v>-11525693.305555556</v>
      </c>
      <c r="T67" s="264">
        <f t="shared" si="48"/>
        <v>-11525693.305555556</v>
      </c>
      <c r="U67" s="264">
        <f t="shared" si="48"/>
        <v>-11525693.305555556</v>
      </c>
      <c r="V67" s="264">
        <f t="shared" si="48"/>
        <v>-11525693.305555556</v>
      </c>
      <c r="W67" s="264">
        <f t="shared" si="48"/>
        <v>-11525693.305555556</v>
      </c>
      <c r="X67" s="264">
        <f t="shared" si="48"/>
        <v>-11525693.305555556</v>
      </c>
      <c r="Y67" s="264">
        <f t="shared" si="48"/>
        <v>-11525693.305555556</v>
      </c>
      <c r="Z67" s="264">
        <f t="shared" si="48"/>
        <v>-11525693.305555556</v>
      </c>
      <c r="AA67" s="264">
        <f t="shared" si="48"/>
        <v>-11525693.305555556</v>
      </c>
      <c r="AB67" s="264">
        <f t="shared" si="48"/>
        <v>-11525693.305555556</v>
      </c>
      <c r="AC67" s="264">
        <f t="shared" si="48"/>
        <v>-11525693.305555556</v>
      </c>
      <c r="AD67" s="264">
        <f t="shared" si="48"/>
        <v>-11525693.305555556</v>
      </c>
      <c r="AE67" s="264">
        <f t="shared" si="48"/>
        <v>-11525693.305555556</v>
      </c>
      <c r="AF67" s="264">
        <f t="shared" si="48"/>
        <v>-11525693.305555556</v>
      </c>
      <c r="AG67" s="264">
        <f t="shared" si="48"/>
        <v>-11525693.305555556</v>
      </c>
      <c r="AH67" s="264">
        <f t="shared" si="48"/>
        <v>-11525693.305555556</v>
      </c>
      <c r="AI67" s="264">
        <f t="shared" si="48"/>
        <v>-11525693.305555556</v>
      </c>
      <c r="AJ67" s="264">
        <f t="shared" si="48"/>
        <v>-11525693.305555556</v>
      </c>
      <c r="AK67" s="264">
        <f t="shared" si="48"/>
        <v>-11525693.305555556</v>
      </c>
      <c r="AL67" s="264">
        <f t="shared" si="48"/>
        <v>-11525693.305555556</v>
      </c>
      <c r="AM67" s="264">
        <f t="shared" si="48"/>
        <v>-11525693.305555556</v>
      </c>
      <c r="AN67" s="264">
        <f t="shared" si="48"/>
        <v>-11525693.305555556</v>
      </c>
      <c r="AO67" s="264">
        <f t="shared" si="48"/>
        <v>-11525693.305555556</v>
      </c>
      <c r="AP67" s="264">
        <f t="shared" si="48"/>
        <v>-11525693.305555556</v>
      </c>
      <c r="AQ67" s="325">
        <f>SUM(B67:AA67)/1.18</f>
        <v>-234420880.79096046</v>
      </c>
      <c r="AR67" s="326">
        <f>SUM(B67:AF67)/1.18</f>
        <v>-283258564.28907734</v>
      </c>
      <c r="AS67" s="326">
        <f>SUM(B67:AP67)/1.18</f>
        <v>-380933931.2853111</v>
      </c>
    </row>
    <row r="68" spans="1:45" ht="28.5" x14ac:dyDescent="0.2">
      <c r="A68" s="268" t="s">
        <v>640</v>
      </c>
      <c r="B68" s="267">
        <f>B66+B67</f>
        <v>0</v>
      </c>
      <c r="C68" s="267">
        <f>C66+C67</f>
        <v>40281693.799612887</v>
      </c>
      <c r="D68" s="267">
        <f>D66+D67</f>
        <v>46430749.697160304</v>
      </c>
      <c r="E68" s="267">
        <f t="shared" ref="E68:J68" si="49">E66+E67</f>
        <v>41941238.40225254</v>
      </c>
      <c r="F68" s="267">
        <f>F66+C67</f>
        <v>59089870.692412578</v>
      </c>
      <c r="G68" s="267">
        <f t="shared" si="49"/>
        <v>52295099.034083232</v>
      </c>
      <c r="H68" s="267">
        <f t="shared" si="49"/>
        <v>56172326.74969776</v>
      </c>
      <c r="I68" s="267">
        <f t="shared" si="49"/>
        <v>59863007.66367209</v>
      </c>
      <c r="J68" s="267">
        <f t="shared" si="49"/>
        <v>63218276.609225795</v>
      </c>
      <c r="K68" s="267">
        <f>K66+K67</f>
        <v>66731243.1952205</v>
      </c>
      <c r="L68" s="267">
        <f>L66+L67</f>
        <v>70409319.210756972</v>
      </c>
      <c r="M68" s="267">
        <f t="shared" ref="M68:AO68" si="50">M66+M67</f>
        <v>74260264.799023643</v>
      </c>
      <c r="N68" s="267">
        <f t="shared" si="50"/>
        <v>78292204.829938859</v>
      </c>
      <c r="O68" s="267">
        <f t="shared" si="50"/>
        <v>81843313.462641805</v>
      </c>
      <c r="P68" s="267">
        <f t="shared" si="50"/>
        <v>86933494.991656631</v>
      </c>
      <c r="Q68" s="267">
        <f t="shared" si="50"/>
        <v>91561076.841625601</v>
      </c>
      <c r="R68" s="267">
        <f t="shared" si="50"/>
        <v>96406155.038543105</v>
      </c>
      <c r="S68" s="267">
        <f t="shared" si="50"/>
        <v>101478951.91071573</v>
      </c>
      <c r="T68" s="267">
        <f t="shared" si="50"/>
        <v>106790170.23588048</v>
      </c>
      <c r="U68" s="267">
        <f t="shared" si="50"/>
        <v>112351015.82232796</v>
      </c>
      <c r="V68" s="267">
        <f t="shared" si="50"/>
        <v>117248699.47231996</v>
      </c>
      <c r="W68" s="267">
        <f t="shared" si="50"/>
        <v>124269070.1308125</v>
      </c>
      <c r="X68" s="267">
        <f t="shared" si="50"/>
        <v>130651424.01232177</v>
      </c>
      <c r="Y68" s="267">
        <f t="shared" si="50"/>
        <v>137333748.52626202</v>
      </c>
      <c r="Z68" s="267">
        <f t="shared" si="50"/>
        <v>144330142.29235741</v>
      </c>
      <c r="AA68" s="267">
        <f t="shared" si="50"/>
        <v>151655366.56545931</v>
      </c>
      <c r="AB68" s="267">
        <f t="shared" si="50"/>
        <v>159324876.379397</v>
      </c>
      <c r="AC68" s="267">
        <f t="shared" si="50"/>
        <v>166079754.25457507</v>
      </c>
      <c r="AD68" s="267">
        <f t="shared" si="50"/>
        <v>175762238.83821657</v>
      </c>
      <c r="AE68" s="267">
        <f t="shared" si="50"/>
        <v>184564771.64897382</v>
      </c>
      <c r="AF68" s="267">
        <f t="shared" si="50"/>
        <v>192800571.17706406</v>
      </c>
      <c r="AG68" s="267">
        <f t="shared" si="50"/>
        <v>201382274.28533411</v>
      </c>
      <c r="AH68" s="267">
        <f t="shared" si="50"/>
        <v>210324408.92415145</v>
      </c>
      <c r="AI68" s="267">
        <f t="shared" si="50"/>
        <v>219642113.21779916</v>
      </c>
      <c r="AJ68" s="267">
        <f t="shared" si="50"/>
        <v>227634139.2123245</v>
      </c>
      <c r="AK68" s="267">
        <f t="shared" si="50"/>
        <v>239467988.97646818</v>
      </c>
      <c r="AL68" s="267">
        <f t="shared" si="50"/>
        <v>250009723.63231319</v>
      </c>
      <c r="AM68" s="267">
        <f t="shared" si="50"/>
        <v>260994211.14370373</v>
      </c>
      <c r="AN68" s="267">
        <f t="shared" si="50"/>
        <v>272440047.13057256</v>
      </c>
      <c r="AO68" s="267">
        <f t="shared" si="50"/>
        <v>284366608.22888994</v>
      </c>
      <c r="AP68" s="267">
        <f>AP66+AP67</f>
        <v>296794084.89333671</v>
      </c>
      <c r="AQ68" s="283">
        <v>25</v>
      </c>
      <c r="AR68" s="283">
        <v>30</v>
      </c>
      <c r="AS68" s="283">
        <v>40</v>
      </c>
    </row>
    <row r="69" spans="1:45" x14ac:dyDescent="0.2">
      <c r="A69" s="324" t="s">
        <v>254</v>
      </c>
      <c r="B69" s="264">
        <f t="shared" ref="B69:AO69" si="51">-B56</f>
        <v>0</v>
      </c>
      <c r="C69" s="264">
        <f t="shared" si="51"/>
        <v>0</v>
      </c>
      <c r="D69" s="264">
        <f t="shared" si="51"/>
        <v>0</v>
      </c>
      <c r="E69" s="264">
        <f t="shared" si="51"/>
        <v>0</v>
      </c>
      <c r="F69" s="264">
        <f t="shared" si="51"/>
        <v>0</v>
      </c>
      <c r="G69" s="264">
        <f t="shared" si="51"/>
        <v>0</v>
      </c>
      <c r="H69" s="264">
        <f t="shared" si="51"/>
        <v>0</v>
      </c>
      <c r="I69" s="264">
        <f t="shared" si="51"/>
        <v>0</v>
      </c>
      <c r="J69" s="264">
        <f t="shared" si="51"/>
        <v>0</v>
      </c>
      <c r="K69" s="264">
        <f t="shared" si="51"/>
        <v>0</v>
      </c>
      <c r="L69" s="264">
        <f t="shared" si="51"/>
        <v>0</v>
      </c>
      <c r="M69" s="264">
        <f t="shared" si="51"/>
        <v>0</v>
      </c>
      <c r="N69" s="264">
        <f t="shared" si="51"/>
        <v>0</v>
      </c>
      <c r="O69" s="264">
        <f t="shared" si="51"/>
        <v>0</v>
      </c>
      <c r="P69" s="264">
        <f t="shared" si="51"/>
        <v>0</v>
      </c>
      <c r="Q69" s="264">
        <f t="shared" si="51"/>
        <v>0</v>
      </c>
      <c r="R69" s="264">
        <f t="shared" si="51"/>
        <v>0</v>
      </c>
      <c r="S69" s="264">
        <f t="shared" si="51"/>
        <v>0</v>
      </c>
      <c r="T69" s="264">
        <f t="shared" si="51"/>
        <v>0</v>
      </c>
      <c r="U69" s="264">
        <f t="shared" si="51"/>
        <v>0</v>
      </c>
      <c r="V69" s="264">
        <f t="shared" si="51"/>
        <v>0</v>
      </c>
      <c r="W69" s="264">
        <f t="shared" si="51"/>
        <v>0</v>
      </c>
      <c r="X69" s="264">
        <f t="shared" si="51"/>
        <v>0</v>
      </c>
      <c r="Y69" s="264">
        <f t="shared" si="51"/>
        <v>0</v>
      </c>
      <c r="Z69" s="264">
        <f t="shared" si="51"/>
        <v>0</v>
      </c>
      <c r="AA69" s="264">
        <f t="shared" si="51"/>
        <v>0</v>
      </c>
      <c r="AB69" s="264">
        <f t="shared" si="51"/>
        <v>0</v>
      </c>
      <c r="AC69" s="264">
        <f t="shared" si="51"/>
        <v>0</v>
      </c>
      <c r="AD69" s="264">
        <f t="shared" si="51"/>
        <v>0</v>
      </c>
      <c r="AE69" s="264">
        <f t="shared" si="51"/>
        <v>0</v>
      </c>
      <c r="AF69" s="264">
        <f t="shared" si="51"/>
        <v>0</v>
      </c>
      <c r="AG69" s="264">
        <f t="shared" si="51"/>
        <v>0</v>
      </c>
      <c r="AH69" s="264">
        <f t="shared" si="51"/>
        <v>0</v>
      </c>
      <c r="AI69" s="264">
        <f t="shared" si="51"/>
        <v>0</v>
      </c>
      <c r="AJ69" s="264">
        <f t="shared" si="51"/>
        <v>0</v>
      </c>
      <c r="AK69" s="264">
        <f t="shared" si="51"/>
        <v>0</v>
      </c>
      <c r="AL69" s="264">
        <f t="shared" si="51"/>
        <v>0</v>
      </c>
      <c r="AM69" s="264">
        <f t="shared" si="51"/>
        <v>0</v>
      </c>
      <c r="AN69" s="264">
        <f t="shared" si="51"/>
        <v>0</v>
      </c>
      <c r="AO69" s="264">
        <f t="shared" si="51"/>
        <v>0</v>
      </c>
      <c r="AP69" s="264">
        <f>-AP56</f>
        <v>0</v>
      </c>
    </row>
    <row r="70" spans="1:45" ht="14.25" x14ac:dyDescent="0.2">
      <c r="A70" s="268" t="s">
        <v>258</v>
      </c>
      <c r="B70" s="267">
        <f t="shared" ref="B70:AO70" si="52">B68+B69</f>
        <v>0</v>
      </c>
      <c r="C70" s="267">
        <f t="shared" si="52"/>
        <v>40281693.799612887</v>
      </c>
      <c r="D70" s="267">
        <f t="shared" si="52"/>
        <v>46430749.697160304</v>
      </c>
      <c r="E70" s="267">
        <f t="shared" si="52"/>
        <v>41941238.40225254</v>
      </c>
      <c r="F70" s="267">
        <f t="shared" si="52"/>
        <v>59089870.692412578</v>
      </c>
      <c r="G70" s="267">
        <f t="shared" si="52"/>
        <v>52295099.034083232</v>
      </c>
      <c r="H70" s="267">
        <f t="shared" si="52"/>
        <v>56172326.74969776</v>
      </c>
      <c r="I70" s="267">
        <f t="shared" si="52"/>
        <v>59863007.66367209</v>
      </c>
      <c r="J70" s="267">
        <f t="shared" si="52"/>
        <v>63218276.609225795</v>
      </c>
      <c r="K70" s="267">
        <f t="shared" si="52"/>
        <v>66731243.1952205</v>
      </c>
      <c r="L70" s="267">
        <f t="shared" si="52"/>
        <v>70409319.210756972</v>
      </c>
      <c r="M70" s="267">
        <f t="shared" si="52"/>
        <v>74260264.799023643</v>
      </c>
      <c r="N70" s="267">
        <f t="shared" si="52"/>
        <v>78292204.829938859</v>
      </c>
      <c r="O70" s="267">
        <f t="shared" si="52"/>
        <v>81843313.462641805</v>
      </c>
      <c r="P70" s="267">
        <f t="shared" si="52"/>
        <v>86933494.991656631</v>
      </c>
      <c r="Q70" s="267">
        <f t="shared" si="52"/>
        <v>91561076.841625601</v>
      </c>
      <c r="R70" s="267">
        <f t="shared" si="52"/>
        <v>96406155.038543105</v>
      </c>
      <c r="S70" s="267">
        <f t="shared" si="52"/>
        <v>101478951.91071573</v>
      </c>
      <c r="T70" s="267">
        <f t="shared" si="52"/>
        <v>106790170.23588048</v>
      </c>
      <c r="U70" s="267">
        <f t="shared" si="52"/>
        <v>112351015.82232796</v>
      </c>
      <c r="V70" s="267">
        <f t="shared" si="52"/>
        <v>117248699.47231996</v>
      </c>
      <c r="W70" s="267">
        <f t="shared" si="52"/>
        <v>124269070.1308125</v>
      </c>
      <c r="X70" s="267">
        <f t="shared" si="52"/>
        <v>130651424.01232177</v>
      </c>
      <c r="Y70" s="267">
        <f t="shared" si="52"/>
        <v>137333748.52626202</v>
      </c>
      <c r="Z70" s="267">
        <f t="shared" si="52"/>
        <v>144330142.29235741</v>
      </c>
      <c r="AA70" s="267">
        <f t="shared" si="52"/>
        <v>151655366.56545931</v>
      </c>
      <c r="AB70" s="267">
        <f t="shared" si="52"/>
        <v>159324876.379397</v>
      </c>
      <c r="AC70" s="267">
        <f t="shared" si="52"/>
        <v>166079754.25457507</v>
      </c>
      <c r="AD70" s="267">
        <f t="shared" si="52"/>
        <v>175762238.83821657</v>
      </c>
      <c r="AE70" s="267">
        <f t="shared" si="52"/>
        <v>184564771.64897382</v>
      </c>
      <c r="AF70" s="267">
        <f t="shared" si="52"/>
        <v>192800571.17706406</v>
      </c>
      <c r="AG70" s="267">
        <f t="shared" si="52"/>
        <v>201382274.28533411</v>
      </c>
      <c r="AH70" s="267">
        <f t="shared" si="52"/>
        <v>210324408.92415145</v>
      </c>
      <c r="AI70" s="267">
        <f t="shared" si="52"/>
        <v>219642113.21779916</v>
      </c>
      <c r="AJ70" s="267">
        <f t="shared" si="52"/>
        <v>227634139.2123245</v>
      </c>
      <c r="AK70" s="267">
        <f t="shared" si="52"/>
        <v>239467988.97646818</v>
      </c>
      <c r="AL70" s="267">
        <f t="shared" si="52"/>
        <v>250009723.63231319</v>
      </c>
      <c r="AM70" s="267">
        <f t="shared" si="52"/>
        <v>260994211.14370373</v>
      </c>
      <c r="AN70" s="267">
        <f t="shared" si="52"/>
        <v>272440047.13057256</v>
      </c>
      <c r="AO70" s="267">
        <f t="shared" si="52"/>
        <v>284366608.22888994</v>
      </c>
      <c r="AP70" s="267">
        <f>AP68+AP69</f>
        <v>296794084.89333671</v>
      </c>
    </row>
    <row r="71" spans="1:45" x14ac:dyDescent="0.2">
      <c r="A71" s="324" t="s">
        <v>253</v>
      </c>
      <c r="B71" s="264">
        <f>-B70*$B$36*0</f>
        <v>0</v>
      </c>
      <c r="C71" s="264">
        <f>-C70*$B$36*0</f>
        <v>0</v>
      </c>
      <c r="D71" s="264">
        <f t="shared" ref="D71:AP71" si="53">-D70*$B$36</f>
        <v>-9286149.9394320603</v>
      </c>
      <c r="E71" s="264">
        <f t="shared" si="53"/>
        <v>-8388247.6804505084</v>
      </c>
      <c r="F71" s="264">
        <f t="shared" si="53"/>
        <v>-11817974.138482517</v>
      </c>
      <c r="G71" s="264">
        <f t="shared" si="53"/>
        <v>-10459019.806816647</v>
      </c>
      <c r="H71" s="264">
        <f t="shared" si="53"/>
        <v>-11234465.349939553</v>
      </c>
      <c r="I71" s="264">
        <f t="shared" si="53"/>
        <v>-11972601.532734418</v>
      </c>
      <c r="J71" s="264">
        <f t="shared" si="53"/>
        <v>-12643655.321845159</v>
      </c>
      <c r="K71" s="264">
        <f t="shared" si="53"/>
        <v>-13346248.6390441</v>
      </c>
      <c r="L71" s="264">
        <f t="shared" si="53"/>
        <v>-14081863.842151396</v>
      </c>
      <c r="M71" s="264">
        <f t="shared" si="53"/>
        <v>-14852052.959804729</v>
      </c>
      <c r="N71" s="264">
        <f t="shared" si="53"/>
        <v>-15658440.965987772</v>
      </c>
      <c r="O71" s="264">
        <f t="shared" si="53"/>
        <v>-16368662.692528361</v>
      </c>
      <c r="P71" s="264">
        <f t="shared" si="53"/>
        <v>-17386698.998331327</v>
      </c>
      <c r="Q71" s="264">
        <f t="shared" si="53"/>
        <v>-18312215.368325122</v>
      </c>
      <c r="R71" s="264">
        <f t="shared" si="53"/>
        <v>-19281231.00770862</v>
      </c>
      <c r="S71" s="264">
        <f t="shared" si="53"/>
        <v>-20295790.382143147</v>
      </c>
      <c r="T71" s="264">
        <f t="shared" si="53"/>
        <v>-21358034.047176097</v>
      </c>
      <c r="U71" s="264">
        <f t="shared" si="53"/>
        <v>-22470203.164465591</v>
      </c>
      <c r="V71" s="264">
        <f t="shared" si="53"/>
        <v>-23449739.894463994</v>
      </c>
      <c r="W71" s="264">
        <f t="shared" si="53"/>
        <v>-24853814.026162501</v>
      </c>
      <c r="X71" s="264">
        <f t="shared" si="53"/>
        <v>-26130284.802464355</v>
      </c>
      <c r="Y71" s="264">
        <f t="shared" si="53"/>
        <v>-27466749.705252405</v>
      </c>
      <c r="Z71" s="264">
        <f t="shared" si="53"/>
        <v>-28866028.458471484</v>
      </c>
      <c r="AA71" s="264">
        <f t="shared" si="53"/>
        <v>-30331073.313091863</v>
      </c>
      <c r="AB71" s="264">
        <f t="shared" si="53"/>
        <v>-31864975.275879402</v>
      </c>
      <c r="AC71" s="264">
        <f t="shared" si="53"/>
        <v>-33215950.850915015</v>
      </c>
      <c r="AD71" s="264">
        <f t="shared" si="53"/>
        <v>-35152447.767643318</v>
      </c>
      <c r="AE71" s="264">
        <f t="shared" si="53"/>
        <v>-36912954.329794765</v>
      </c>
      <c r="AF71" s="264">
        <f t="shared" si="53"/>
        <v>-38560114.235412814</v>
      </c>
      <c r="AG71" s="264">
        <f t="shared" si="53"/>
        <v>-40276454.857066825</v>
      </c>
      <c r="AH71" s="264">
        <f t="shared" si="53"/>
        <v>-42064881.784830295</v>
      </c>
      <c r="AI71" s="264">
        <f t="shared" si="53"/>
        <v>-43928422.643559836</v>
      </c>
      <c r="AJ71" s="264">
        <f t="shared" si="53"/>
        <v>-45526827.842464902</v>
      </c>
      <c r="AK71" s="264">
        <f t="shared" si="53"/>
        <v>-47893597.795293637</v>
      </c>
      <c r="AL71" s="264">
        <f t="shared" si="53"/>
        <v>-50001944.72646264</v>
      </c>
      <c r="AM71" s="264">
        <f t="shared" si="53"/>
        <v>-52198842.228740752</v>
      </c>
      <c r="AN71" s="264">
        <f t="shared" si="53"/>
        <v>-54488009.426114514</v>
      </c>
      <c r="AO71" s="264">
        <f t="shared" si="53"/>
        <v>-56873321.645777993</v>
      </c>
      <c r="AP71" s="264">
        <f t="shared" si="53"/>
        <v>-59358816.978667349</v>
      </c>
    </row>
    <row r="72" spans="1:45" ht="15" thickBot="1" x14ac:dyDescent="0.25">
      <c r="A72" s="269" t="s">
        <v>257</v>
      </c>
      <c r="B72" s="270">
        <f t="shared" ref="B72:AO72" si="54">B70+B71</f>
        <v>0</v>
      </c>
      <c r="C72" s="270">
        <f t="shared" si="54"/>
        <v>40281693.799612887</v>
      </c>
      <c r="D72" s="270">
        <f t="shared" si="54"/>
        <v>37144599.757728241</v>
      </c>
      <c r="E72" s="270">
        <f t="shared" si="54"/>
        <v>33552990.721802033</v>
      </c>
      <c r="F72" s="270">
        <f t="shared" si="54"/>
        <v>47271896.553930059</v>
      </c>
      <c r="G72" s="270">
        <f t="shared" si="54"/>
        <v>41836079.227266587</v>
      </c>
      <c r="H72" s="270">
        <f t="shared" si="54"/>
        <v>44937861.399758205</v>
      </c>
      <c r="I72" s="270">
        <f t="shared" si="54"/>
        <v>47890406.130937673</v>
      </c>
      <c r="J72" s="270">
        <f t="shared" si="54"/>
        <v>50574621.287380636</v>
      </c>
      <c r="K72" s="270">
        <f t="shared" si="54"/>
        <v>53384994.556176402</v>
      </c>
      <c r="L72" s="270">
        <f t="shared" si="54"/>
        <v>56327455.368605576</v>
      </c>
      <c r="M72" s="270">
        <f t="shared" si="54"/>
        <v>59408211.839218915</v>
      </c>
      <c r="N72" s="270">
        <f t="shared" si="54"/>
        <v>62633763.863951087</v>
      </c>
      <c r="O72" s="270">
        <f t="shared" si="54"/>
        <v>65474650.770113446</v>
      </c>
      <c r="P72" s="270">
        <f t="shared" si="54"/>
        <v>69546795.993325308</v>
      </c>
      <c r="Q72" s="270">
        <f t="shared" si="54"/>
        <v>73248861.473300487</v>
      </c>
      <c r="R72" s="270">
        <f t="shared" si="54"/>
        <v>77124924.030834481</v>
      </c>
      <c r="S72" s="270">
        <f t="shared" si="54"/>
        <v>81183161.528572589</v>
      </c>
      <c r="T72" s="270">
        <f t="shared" si="54"/>
        <v>85432136.188704386</v>
      </c>
      <c r="U72" s="270">
        <f t="shared" si="54"/>
        <v>89880812.657862365</v>
      </c>
      <c r="V72" s="270">
        <f t="shared" si="54"/>
        <v>93798959.577855974</v>
      </c>
      <c r="W72" s="270">
        <f t="shared" si="54"/>
        <v>99415256.104649991</v>
      </c>
      <c r="X72" s="270">
        <f t="shared" si="54"/>
        <v>104521139.20985742</v>
      </c>
      <c r="Y72" s="270">
        <f t="shared" si="54"/>
        <v>109866998.82100961</v>
      </c>
      <c r="Z72" s="270">
        <f t="shared" si="54"/>
        <v>115464113.83388594</v>
      </c>
      <c r="AA72" s="270">
        <f t="shared" si="54"/>
        <v>121324293.25236745</v>
      </c>
      <c r="AB72" s="270">
        <f t="shared" si="54"/>
        <v>127459901.10351761</v>
      </c>
      <c r="AC72" s="270">
        <f t="shared" si="54"/>
        <v>132863803.40366006</v>
      </c>
      <c r="AD72" s="270">
        <f t="shared" si="54"/>
        <v>140609791.07057327</v>
      </c>
      <c r="AE72" s="270">
        <f t="shared" si="54"/>
        <v>147651817.31917906</v>
      </c>
      <c r="AF72" s="270">
        <f t="shared" si="54"/>
        <v>154240456.94165125</v>
      </c>
      <c r="AG72" s="270">
        <f t="shared" si="54"/>
        <v>161105819.4282673</v>
      </c>
      <c r="AH72" s="270">
        <f t="shared" si="54"/>
        <v>168259527.13932115</v>
      </c>
      <c r="AI72" s="270">
        <f t="shared" si="54"/>
        <v>175713690.57423931</v>
      </c>
      <c r="AJ72" s="270">
        <f t="shared" si="54"/>
        <v>182107311.36985961</v>
      </c>
      <c r="AK72" s="270">
        <f t="shared" si="54"/>
        <v>191574391.18117455</v>
      </c>
      <c r="AL72" s="270">
        <f t="shared" si="54"/>
        <v>200007778.90585056</v>
      </c>
      <c r="AM72" s="270">
        <f t="shared" si="54"/>
        <v>208795368.91496298</v>
      </c>
      <c r="AN72" s="270">
        <f t="shared" si="54"/>
        <v>217952037.70445806</v>
      </c>
      <c r="AO72" s="270">
        <f t="shared" si="54"/>
        <v>227493286.58311194</v>
      </c>
      <c r="AP72" s="270">
        <f>AP70+AP71</f>
        <v>237435267.91466936</v>
      </c>
    </row>
    <row r="73" spans="1:45" ht="16.5" thickBot="1" x14ac:dyDescent="0.25">
      <c r="B73" s="327">
        <f>F141</f>
        <v>0.5</v>
      </c>
      <c r="C73" s="327">
        <f>E141</f>
        <v>0</v>
      </c>
      <c r="D73" s="327">
        <f>H141</f>
        <v>2.5</v>
      </c>
      <c r="E73" s="327">
        <f>I141</f>
        <v>3.5</v>
      </c>
      <c r="F73" s="327">
        <f>J141</f>
        <v>4.5</v>
      </c>
      <c r="G73" s="327">
        <f t="shared" ref="G73:AP73" si="55">K141</f>
        <v>5.5</v>
      </c>
      <c r="H73" s="327">
        <f t="shared" si="55"/>
        <v>6.5</v>
      </c>
      <c r="I73" s="327">
        <f t="shared" si="55"/>
        <v>7.5</v>
      </c>
      <c r="J73" s="327">
        <f t="shared" si="55"/>
        <v>8.5</v>
      </c>
      <c r="K73" s="327">
        <f t="shared" si="55"/>
        <v>9.5</v>
      </c>
      <c r="L73" s="327">
        <f t="shared" si="55"/>
        <v>10.5</v>
      </c>
      <c r="M73" s="327">
        <f t="shared" si="55"/>
        <v>11.5</v>
      </c>
      <c r="N73" s="327">
        <f t="shared" si="55"/>
        <v>12.5</v>
      </c>
      <c r="O73" s="327">
        <f t="shared" si="55"/>
        <v>13.5</v>
      </c>
      <c r="P73" s="327">
        <f t="shared" si="55"/>
        <v>14.5</v>
      </c>
      <c r="Q73" s="327">
        <f t="shared" si="55"/>
        <v>15.5</v>
      </c>
      <c r="R73" s="327">
        <f t="shared" si="55"/>
        <v>16.5</v>
      </c>
      <c r="S73" s="327">
        <f t="shared" si="55"/>
        <v>17.5</v>
      </c>
      <c r="T73" s="327">
        <f t="shared" si="55"/>
        <v>18.5</v>
      </c>
      <c r="U73" s="327">
        <f t="shared" si="55"/>
        <v>19.5</v>
      </c>
      <c r="V73" s="327">
        <f t="shared" si="55"/>
        <v>20.5</v>
      </c>
      <c r="W73" s="327">
        <f t="shared" si="55"/>
        <v>21.5</v>
      </c>
      <c r="X73" s="327">
        <f t="shared" si="55"/>
        <v>22.5</v>
      </c>
      <c r="Y73" s="327">
        <f t="shared" si="55"/>
        <v>23.5</v>
      </c>
      <c r="Z73" s="327">
        <f t="shared" si="55"/>
        <v>24.5</v>
      </c>
      <c r="AA73" s="327">
        <f t="shared" si="55"/>
        <v>25.5</v>
      </c>
      <c r="AB73" s="327">
        <f t="shared" si="55"/>
        <v>26.5</v>
      </c>
      <c r="AC73" s="327">
        <f t="shared" si="55"/>
        <v>27.5</v>
      </c>
      <c r="AD73" s="327">
        <f t="shared" si="55"/>
        <v>28.5</v>
      </c>
      <c r="AE73" s="327">
        <f t="shared" si="55"/>
        <v>29.5</v>
      </c>
      <c r="AF73" s="327">
        <f t="shared" si="55"/>
        <v>30.5</v>
      </c>
      <c r="AG73" s="327">
        <f t="shared" si="55"/>
        <v>31.5</v>
      </c>
      <c r="AH73" s="327">
        <f t="shared" si="55"/>
        <v>32.5</v>
      </c>
      <c r="AI73" s="327">
        <f t="shared" si="55"/>
        <v>33.5</v>
      </c>
      <c r="AJ73" s="327">
        <f t="shared" si="55"/>
        <v>34.5</v>
      </c>
      <c r="AK73" s="327">
        <f t="shared" si="55"/>
        <v>35.5</v>
      </c>
      <c r="AL73" s="327">
        <f t="shared" si="55"/>
        <v>36.5</v>
      </c>
      <c r="AM73" s="327">
        <f t="shared" si="55"/>
        <v>37.5</v>
      </c>
      <c r="AN73" s="327">
        <f t="shared" si="55"/>
        <v>38.5</v>
      </c>
      <c r="AO73" s="327">
        <f t="shared" si="55"/>
        <v>39.5</v>
      </c>
      <c r="AP73" s="327">
        <f t="shared" si="55"/>
        <v>40.5</v>
      </c>
    </row>
    <row r="74" spans="1:45" x14ac:dyDescent="0.2">
      <c r="A74" s="263" t="s">
        <v>256</v>
      </c>
      <c r="B74" s="317">
        <f t="shared" ref="B74:AO74" si="56">B58</f>
        <v>1</v>
      </c>
      <c r="C74" s="317">
        <f t="shared" si="56"/>
        <v>2</v>
      </c>
      <c r="D74" s="317">
        <f t="shared" si="56"/>
        <v>3</v>
      </c>
      <c r="E74" s="317">
        <f t="shared" si="56"/>
        <v>4</v>
      </c>
      <c r="F74" s="317">
        <f t="shared" si="56"/>
        <v>5</v>
      </c>
      <c r="G74" s="317">
        <f t="shared" si="56"/>
        <v>6</v>
      </c>
      <c r="H74" s="317">
        <f t="shared" si="56"/>
        <v>7</v>
      </c>
      <c r="I74" s="317">
        <f t="shared" si="56"/>
        <v>8</v>
      </c>
      <c r="J74" s="317">
        <f t="shared" si="56"/>
        <v>9</v>
      </c>
      <c r="K74" s="317">
        <f t="shared" si="56"/>
        <v>10</v>
      </c>
      <c r="L74" s="317">
        <f t="shared" si="56"/>
        <v>11</v>
      </c>
      <c r="M74" s="317">
        <f t="shared" si="56"/>
        <v>12</v>
      </c>
      <c r="N74" s="317">
        <f t="shared" si="56"/>
        <v>13</v>
      </c>
      <c r="O74" s="317">
        <f t="shared" si="56"/>
        <v>14</v>
      </c>
      <c r="P74" s="317">
        <f t="shared" si="56"/>
        <v>15</v>
      </c>
      <c r="Q74" s="317">
        <f t="shared" si="56"/>
        <v>16</v>
      </c>
      <c r="R74" s="317">
        <f t="shared" si="56"/>
        <v>17</v>
      </c>
      <c r="S74" s="317">
        <f t="shared" si="56"/>
        <v>18</v>
      </c>
      <c r="T74" s="317">
        <f t="shared" si="56"/>
        <v>19</v>
      </c>
      <c r="U74" s="317">
        <f t="shared" si="56"/>
        <v>20</v>
      </c>
      <c r="V74" s="317">
        <f t="shared" si="56"/>
        <v>21</v>
      </c>
      <c r="W74" s="317">
        <f t="shared" si="56"/>
        <v>22</v>
      </c>
      <c r="X74" s="317">
        <f t="shared" si="56"/>
        <v>23</v>
      </c>
      <c r="Y74" s="317">
        <f t="shared" si="56"/>
        <v>24</v>
      </c>
      <c r="Z74" s="317">
        <f t="shared" si="56"/>
        <v>25</v>
      </c>
      <c r="AA74" s="317">
        <f t="shared" si="56"/>
        <v>26</v>
      </c>
      <c r="AB74" s="317">
        <f t="shared" si="56"/>
        <v>27</v>
      </c>
      <c r="AC74" s="317">
        <f t="shared" si="56"/>
        <v>28</v>
      </c>
      <c r="AD74" s="317">
        <f t="shared" si="56"/>
        <v>29</v>
      </c>
      <c r="AE74" s="317">
        <f t="shared" si="56"/>
        <v>30</v>
      </c>
      <c r="AF74" s="317">
        <f t="shared" si="56"/>
        <v>31</v>
      </c>
      <c r="AG74" s="317">
        <f t="shared" si="56"/>
        <v>32</v>
      </c>
      <c r="AH74" s="317">
        <f t="shared" si="56"/>
        <v>33</v>
      </c>
      <c r="AI74" s="317">
        <f t="shared" si="56"/>
        <v>34</v>
      </c>
      <c r="AJ74" s="317">
        <f t="shared" si="56"/>
        <v>35</v>
      </c>
      <c r="AK74" s="317">
        <f t="shared" si="56"/>
        <v>36</v>
      </c>
      <c r="AL74" s="317">
        <f t="shared" si="56"/>
        <v>37</v>
      </c>
      <c r="AM74" s="317">
        <f t="shared" si="56"/>
        <v>38</v>
      </c>
      <c r="AN74" s="317">
        <f t="shared" si="56"/>
        <v>39</v>
      </c>
      <c r="AO74" s="317">
        <f t="shared" si="56"/>
        <v>40</v>
      </c>
      <c r="AP74" s="317">
        <f>AP58</f>
        <v>41</v>
      </c>
    </row>
    <row r="75" spans="1:45" ht="28.5" x14ac:dyDescent="0.2">
      <c r="A75" s="266" t="s">
        <v>640</v>
      </c>
      <c r="B75" s="267">
        <f>B68</f>
        <v>0</v>
      </c>
      <c r="C75" s="267">
        <f>C68</f>
        <v>40281693.799612887</v>
      </c>
      <c r="D75" s="267">
        <f>D68</f>
        <v>46430749.697160304</v>
      </c>
      <c r="E75" s="267">
        <f t="shared" ref="E75:AO75" si="57">E68</f>
        <v>41941238.40225254</v>
      </c>
      <c r="F75" s="267">
        <f t="shared" si="57"/>
        <v>59089870.692412578</v>
      </c>
      <c r="G75" s="267">
        <f t="shared" si="57"/>
        <v>52295099.034083232</v>
      </c>
      <c r="H75" s="267">
        <f t="shared" si="57"/>
        <v>56172326.74969776</v>
      </c>
      <c r="I75" s="267">
        <f t="shared" si="57"/>
        <v>59863007.66367209</v>
      </c>
      <c r="J75" s="267">
        <f t="shared" si="57"/>
        <v>63218276.609225795</v>
      </c>
      <c r="K75" s="267">
        <f t="shared" si="57"/>
        <v>66731243.1952205</v>
      </c>
      <c r="L75" s="267">
        <f t="shared" si="57"/>
        <v>70409319.210756972</v>
      </c>
      <c r="M75" s="267">
        <f t="shared" si="57"/>
        <v>74260264.799023643</v>
      </c>
      <c r="N75" s="267">
        <f t="shared" si="57"/>
        <v>78292204.829938859</v>
      </c>
      <c r="O75" s="267">
        <f t="shared" si="57"/>
        <v>81843313.462641805</v>
      </c>
      <c r="P75" s="267">
        <f t="shared" si="57"/>
        <v>86933494.991656631</v>
      </c>
      <c r="Q75" s="267">
        <f t="shared" si="57"/>
        <v>91561076.841625601</v>
      </c>
      <c r="R75" s="267">
        <f t="shared" si="57"/>
        <v>96406155.038543105</v>
      </c>
      <c r="S75" s="267">
        <f t="shared" si="57"/>
        <v>101478951.91071573</v>
      </c>
      <c r="T75" s="267">
        <f t="shared" si="57"/>
        <v>106790170.23588048</v>
      </c>
      <c r="U75" s="267">
        <f t="shared" si="57"/>
        <v>112351015.82232796</v>
      </c>
      <c r="V75" s="267">
        <f t="shared" si="57"/>
        <v>117248699.47231996</v>
      </c>
      <c r="W75" s="267">
        <f t="shared" si="57"/>
        <v>124269070.1308125</v>
      </c>
      <c r="X75" s="267">
        <f t="shared" si="57"/>
        <v>130651424.01232177</v>
      </c>
      <c r="Y75" s="267">
        <f t="shared" si="57"/>
        <v>137333748.52626202</v>
      </c>
      <c r="Z75" s="267">
        <f t="shared" si="57"/>
        <v>144330142.29235741</v>
      </c>
      <c r="AA75" s="267">
        <f t="shared" si="57"/>
        <v>151655366.56545931</v>
      </c>
      <c r="AB75" s="267">
        <f t="shared" si="57"/>
        <v>159324876.379397</v>
      </c>
      <c r="AC75" s="267">
        <f t="shared" si="57"/>
        <v>166079754.25457507</v>
      </c>
      <c r="AD75" s="267">
        <f t="shared" si="57"/>
        <v>175762238.83821657</v>
      </c>
      <c r="AE75" s="267">
        <f t="shared" si="57"/>
        <v>184564771.64897382</v>
      </c>
      <c r="AF75" s="267">
        <f t="shared" si="57"/>
        <v>192800571.17706406</v>
      </c>
      <c r="AG75" s="267">
        <f t="shared" si="57"/>
        <v>201382274.28533411</v>
      </c>
      <c r="AH75" s="267">
        <f t="shared" si="57"/>
        <v>210324408.92415145</v>
      </c>
      <c r="AI75" s="267">
        <f t="shared" si="57"/>
        <v>219642113.21779916</v>
      </c>
      <c r="AJ75" s="267">
        <f t="shared" si="57"/>
        <v>227634139.2123245</v>
      </c>
      <c r="AK75" s="267">
        <f t="shared" si="57"/>
        <v>239467988.97646818</v>
      </c>
      <c r="AL75" s="267">
        <f t="shared" si="57"/>
        <v>250009723.63231319</v>
      </c>
      <c r="AM75" s="267">
        <f t="shared" si="57"/>
        <v>260994211.14370373</v>
      </c>
      <c r="AN75" s="267">
        <f t="shared" si="57"/>
        <v>272440047.13057256</v>
      </c>
      <c r="AO75" s="267">
        <f t="shared" si="57"/>
        <v>284366608.22888994</v>
      </c>
      <c r="AP75" s="267">
        <f>AP68</f>
        <v>296794084.89333671</v>
      </c>
    </row>
    <row r="76" spans="1:45" x14ac:dyDescent="0.2">
      <c r="A76" s="324" t="s">
        <v>255</v>
      </c>
      <c r="B76" s="264">
        <f t="shared" ref="B76:AO76" si="58">-B67</f>
        <v>0</v>
      </c>
      <c r="C76" s="264">
        <f>-C67</f>
        <v>0</v>
      </c>
      <c r="D76" s="264">
        <f t="shared" si="58"/>
        <v>11525693.305555556</v>
      </c>
      <c r="E76" s="264">
        <f t="shared" si="58"/>
        <v>11525693.305555556</v>
      </c>
      <c r="F76" s="264">
        <f t="shared" si="58"/>
        <v>11525693.305555556</v>
      </c>
      <c r="G76" s="264">
        <f t="shared" si="58"/>
        <v>11525693.305555556</v>
      </c>
      <c r="H76" s="264">
        <f t="shared" si="58"/>
        <v>11525693.305555556</v>
      </c>
      <c r="I76" s="264">
        <f t="shared" si="58"/>
        <v>11525693.305555556</v>
      </c>
      <c r="J76" s="264">
        <f t="shared" si="58"/>
        <v>11525693.305555556</v>
      </c>
      <c r="K76" s="264">
        <f t="shared" si="58"/>
        <v>11525693.305555556</v>
      </c>
      <c r="L76" s="264">
        <f>-L67</f>
        <v>11525693.305555556</v>
      </c>
      <c r="M76" s="264">
        <f>-M67</f>
        <v>11525693.305555556</v>
      </c>
      <c r="N76" s="264">
        <f t="shared" si="58"/>
        <v>11525693.305555556</v>
      </c>
      <c r="O76" s="264">
        <f t="shared" si="58"/>
        <v>11525693.305555556</v>
      </c>
      <c r="P76" s="264">
        <f t="shared" si="58"/>
        <v>11525693.305555556</v>
      </c>
      <c r="Q76" s="264">
        <f t="shared" si="58"/>
        <v>11525693.305555556</v>
      </c>
      <c r="R76" s="264">
        <f t="shared" si="58"/>
        <v>11525693.305555556</v>
      </c>
      <c r="S76" s="264">
        <f t="shared" si="58"/>
        <v>11525693.305555556</v>
      </c>
      <c r="T76" s="264">
        <f t="shared" si="58"/>
        <v>11525693.305555556</v>
      </c>
      <c r="U76" s="264">
        <f t="shared" si="58"/>
        <v>11525693.305555556</v>
      </c>
      <c r="V76" s="264">
        <f t="shared" si="58"/>
        <v>11525693.305555556</v>
      </c>
      <c r="W76" s="264">
        <f t="shared" si="58"/>
        <v>11525693.305555556</v>
      </c>
      <c r="X76" s="264">
        <f t="shared" si="58"/>
        <v>11525693.305555556</v>
      </c>
      <c r="Y76" s="264">
        <f t="shared" si="58"/>
        <v>11525693.305555556</v>
      </c>
      <c r="Z76" s="264">
        <f t="shared" si="58"/>
        <v>11525693.305555556</v>
      </c>
      <c r="AA76" s="264">
        <f t="shared" si="58"/>
        <v>11525693.305555556</v>
      </c>
      <c r="AB76" s="264">
        <f t="shared" si="58"/>
        <v>11525693.305555556</v>
      </c>
      <c r="AC76" s="264">
        <f t="shared" si="58"/>
        <v>11525693.305555556</v>
      </c>
      <c r="AD76" s="264">
        <f t="shared" si="58"/>
        <v>11525693.305555556</v>
      </c>
      <c r="AE76" s="264">
        <f t="shared" si="58"/>
        <v>11525693.305555556</v>
      </c>
      <c r="AF76" s="264">
        <f t="shared" si="58"/>
        <v>11525693.305555556</v>
      </c>
      <c r="AG76" s="264">
        <f t="shared" si="58"/>
        <v>11525693.305555556</v>
      </c>
      <c r="AH76" s="264">
        <f t="shared" si="58"/>
        <v>11525693.305555556</v>
      </c>
      <c r="AI76" s="264">
        <f t="shared" si="58"/>
        <v>11525693.305555556</v>
      </c>
      <c r="AJ76" s="264">
        <f t="shared" si="58"/>
        <v>11525693.305555556</v>
      </c>
      <c r="AK76" s="264">
        <f t="shared" si="58"/>
        <v>11525693.305555556</v>
      </c>
      <c r="AL76" s="264">
        <f t="shared" si="58"/>
        <v>11525693.305555556</v>
      </c>
      <c r="AM76" s="264">
        <f t="shared" si="58"/>
        <v>11525693.305555556</v>
      </c>
      <c r="AN76" s="264">
        <f t="shared" si="58"/>
        <v>11525693.305555556</v>
      </c>
      <c r="AO76" s="264">
        <f t="shared" si="58"/>
        <v>11525693.305555556</v>
      </c>
      <c r="AP76" s="264">
        <f>-AP67</f>
        <v>11525693.305555556</v>
      </c>
    </row>
    <row r="77" spans="1:45" x14ac:dyDescent="0.2">
      <c r="A77" s="324" t="s">
        <v>254</v>
      </c>
      <c r="B77" s="264">
        <f t="shared" ref="B77:AO77" si="59">B69</f>
        <v>0</v>
      </c>
      <c r="C77" s="264">
        <f t="shared" si="59"/>
        <v>0</v>
      </c>
      <c r="D77" s="264">
        <f t="shared" si="59"/>
        <v>0</v>
      </c>
      <c r="E77" s="264">
        <f t="shared" si="59"/>
        <v>0</v>
      </c>
      <c r="F77" s="264">
        <f t="shared" si="59"/>
        <v>0</v>
      </c>
      <c r="G77" s="264">
        <f t="shared" si="59"/>
        <v>0</v>
      </c>
      <c r="H77" s="264">
        <f t="shared" si="59"/>
        <v>0</v>
      </c>
      <c r="I77" s="264">
        <f t="shared" si="59"/>
        <v>0</v>
      </c>
      <c r="J77" s="264">
        <f t="shared" si="59"/>
        <v>0</v>
      </c>
      <c r="K77" s="264">
        <f t="shared" si="59"/>
        <v>0</v>
      </c>
      <c r="L77" s="264">
        <f t="shared" si="59"/>
        <v>0</v>
      </c>
      <c r="M77" s="264">
        <f t="shared" si="59"/>
        <v>0</v>
      </c>
      <c r="N77" s="264">
        <f t="shared" si="59"/>
        <v>0</v>
      </c>
      <c r="O77" s="264">
        <f t="shared" si="59"/>
        <v>0</v>
      </c>
      <c r="P77" s="264">
        <f t="shared" si="59"/>
        <v>0</v>
      </c>
      <c r="Q77" s="264">
        <f t="shared" si="59"/>
        <v>0</v>
      </c>
      <c r="R77" s="264">
        <f t="shared" si="59"/>
        <v>0</v>
      </c>
      <c r="S77" s="264">
        <f t="shared" si="59"/>
        <v>0</v>
      </c>
      <c r="T77" s="264">
        <f t="shared" si="59"/>
        <v>0</v>
      </c>
      <c r="U77" s="264">
        <f t="shared" si="59"/>
        <v>0</v>
      </c>
      <c r="V77" s="264">
        <f t="shared" si="59"/>
        <v>0</v>
      </c>
      <c r="W77" s="264">
        <f t="shared" si="59"/>
        <v>0</v>
      </c>
      <c r="X77" s="264">
        <f t="shared" si="59"/>
        <v>0</v>
      </c>
      <c r="Y77" s="264">
        <f t="shared" si="59"/>
        <v>0</v>
      </c>
      <c r="Z77" s="264">
        <f t="shared" si="59"/>
        <v>0</v>
      </c>
      <c r="AA77" s="264">
        <f t="shared" si="59"/>
        <v>0</v>
      </c>
      <c r="AB77" s="264">
        <f t="shared" si="59"/>
        <v>0</v>
      </c>
      <c r="AC77" s="264">
        <f t="shared" si="59"/>
        <v>0</v>
      </c>
      <c r="AD77" s="264">
        <f t="shared" si="59"/>
        <v>0</v>
      </c>
      <c r="AE77" s="264">
        <f t="shared" si="59"/>
        <v>0</v>
      </c>
      <c r="AF77" s="264">
        <f t="shared" si="59"/>
        <v>0</v>
      </c>
      <c r="AG77" s="264">
        <f t="shared" si="59"/>
        <v>0</v>
      </c>
      <c r="AH77" s="264">
        <f t="shared" si="59"/>
        <v>0</v>
      </c>
      <c r="AI77" s="264">
        <f t="shared" si="59"/>
        <v>0</v>
      </c>
      <c r="AJ77" s="264">
        <f t="shared" si="59"/>
        <v>0</v>
      </c>
      <c r="AK77" s="264">
        <f t="shared" si="59"/>
        <v>0</v>
      </c>
      <c r="AL77" s="264">
        <f t="shared" si="59"/>
        <v>0</v>
      </c>
      <c r="AM77" s="264">
        <f t="shared" si="59"/>
        <v>0</v>
      </c>
      <c r="AN77" s="264">
        <f t="shared" si="59"/>
        <v>0</v>
      </c>
      <c r="AO77" s="264">
        <f t="shared" si="59"/>
        <v>0</v>
      </c>
      <c r="AP77" s="264">
        <f>AP69</f>
        <v>0</v>
      </c>
    </row>
    <row r="78" spans="1:45" x14ac:dyDescent="0.2">
      <c r="A78" s="324" t="s">
        <v>253</v>
      </c>
      <c r="B78" s="264">
        <f>IF(SUM($B$71:B71)+SUM($A$78:A78)&gt;0,0,SUM($B$71:B71)-SUM($A$78:A78))</f>
        <v>0</v>
      </c>
      <c r="C78" s="264">
        <f>IF(SUM($B$71:C71)+SUM($A$78:B78)&gt;0,0,SUM($B$71:C71)-SUM($A$78:B78))</f>
        <v>0</v>
      </c>
      <c r="D78" s="264">
        <f>IF(SUM($B$71:D71)+SUM($A$78:C78)&gt;0,0,SUM($B$71:D71)-SUM($A$78:C78))</f>
        <v>-9286149.9394320603</v>
      </c>
      <c r="E78" s="264">
        <f>IF(SUM($B$71:E71)+SUM($A$78:D78)&gt;0,0,SUM($B$71:E71)-SUM($A$78:D78))</f>
        <v>-8388247.6804505084</v>
      </c>
      <c r="F78" s="264">
        <f>IF(SUM($B$71:F71)+SUM($A$78:E78)&gt;0,0,SUM($B$71:F71)-SUM($A$78:E78))</f>
        <v>-11817974.138482518</v>
      </c>
      <c r="G78" s="264">
        <f>IF(SUM($B$71:G71)+SUM($A$78:F78)&gt;0,0,SUM($B$71:G71)-SUM($A$78:F78))</f>
        <v>-10459019.806816645</v>
      </c>
      <c r="H78" s="264">
        <f>IF(SUM($B$71:H71)+SUM($A$78:G78)&gt;0,0,SUM($B$71:H71)-SUM($A$78:G78))</f>
        <v>-11234465.349939555</v>
      </c>
      <c r="I78" s="264">
        <f>IF(SUM($B$71:I71)+SUM($A$78:H78)&gt;0,0,SUM($B$71:I71)-SUM($A$78:H78))</f>
        <v>-11972601.532734416</v>
      </c>
      <c r="J78" s="264">
        <f>IF(SUM($B$71:J71)+SUM($A$78:I78)&gt;0,0,SUM($B$71:J71)-SUM($A$78:I78))</f>
        <v>-12643655.321845151</v>
      </c>
      <c r="K78" s="264">
        <f>IF(SUM($B$71:K71)+SUM($A$78:J78)&gt;0,0,SUM($B$71:K71)-SUM($A$78:J78))</f>
        <v>-13346248.639044106</v>
      </c>
      <c r="L78" s="264">
        <f>IF(SUM($B$71:L71)+SUM($A$78:K78)&gt;0,0,SUM($B$71:L71)-SUM($A$78:K78))</f>
        <v>-14081863.842151403</v>
      </c>
      <c r="M78" s="264">
        <f>IF(SUM($B$71:M71)+SUM($A$78:L78)&gt;0,0,SUM($B$71:M71)-SUM($A$78:L78))</f>
        <v>-14852052.959804729</v>
      </c>
      <c r="N78" s="264">
        <f>IF(SUM($B$71:N71)+SUM($A$78:M78)&gt;0,0,SUM($B$71:N71)-SUM($A$78:M78))</f>
        <v>-15658440.965987772</v>
      </c>
      <c r="O78" s="264">
        <f>IF(SUM($B$71:O71)+SUM($A$78:N78)&gt;0,0,SUM($B$71:O71)-SUM($A$78:N78))</f>
        <v>-16368662.692528352</v>
      </c>
      <c r="P78" s="264">
        <f>IF(SUM($B$71:P71)+SUM($A$78:O78)&gt;0,0,SUM($B$71:P71)-SUM($A$78:O78))</f>
        <v>-17386698.998331338</v>
      </c>
      <c r="Q78" s="264">
        <f>IF(SUM($B$71:Q71)+SUM($A$78:P78)&gt;0,0,SUM($B$71:Q71)-SUM($A$78:P78))</f>
        <v>-18312215.368325114</v>
      </c>
      <c r="R78" s="264">
        <f>IF(SUM($B$71:R71)+SUM($A$78:Q78)&gt;0,0,SUM($B$71:R71)-SUM($A$78:Q78))</f>
        <v>-19281231.007708609</v>
      </c>
      <c r="S78" s="264">
        <f>IF(SUM($B$71:S71)+SUM($A$78:R78)&gt;0,0,SUM($B$71:S71)-SUM($A$78:R78))</f>
        <v>-20295790.38214314</v>
      </c>
      <c r="T78" s="264">
        <f>IF(SUM($B$71:T71)+SUM($A$78:S78)&gt;0,0,SUM($B$71:T71)-SUM($A$78:S78))</f>
        <v>-21358034.047176093</v>
      </c>
      <c r="U78" s="264">
        <f>IF(SUM($B$71:U71)+SUM($A$78:T78)&gt;0,0,SUM($B$71:U71)-SUM($A$78:T78))</f>
        <v>-22470203.164465606</v>
      </c>
      <c r="V78" s="264">
        <f>IF(SUM($B$71:V71)+SUM($A$78:U78)&gt;0,0,SUM($B$71:V71)-SUM($A$78:U78))</f>
        <v>-23449739.894464016</v>
      </c>
      <c r="W78" s="264">
        <f>IF(SUM($B$71:W71)+SUM($A$78:V78)&gt;0,0,SUM($B$71:W71)-SUM($A$78:V78))</f>
        <v>-24853814.026162505</v>
      </c>
      <c r="X78" s="264">
        <f>IF(SUM($B$71:X71)+SUM($A$78:W78)&gt;0,0,SUM($B$71:X71)-SUM($A$78:W78))</f>
        <v>-26130284.802464366</v>
      </c>
      <c r="Y78" s="264">
        <f>IF(SUM($B$71:Y71)+SUM($A$78:X78)&gt;0,0,SUM($B$71:Y71)-SUM($A$78:X78))</f>
        <v>-27466749.705252409</v>
      </c>
      <c r="Z78" s="264">
        <f>IF(SUM($B$71:Z71)+SUM($A$78:Y78)&gt;0,0,SUM($B$71:Z71)-SUM($A$78:Y78))</f>
        <v>-28866028.458471477</v>
      </c>
      <c r="AA78" s="264">
        <f>IF(SUM($B$71:AA71)+SUM($A$78:Z78)&gt;0,0,SUM($B$71:AA71)-SUM($A$78:Z78))</f>
        <v>-30331073.313091874</v>
      </c>
      <c r="AB78" s="264">
        <f>IF(SUM($B$71:AB71)+SUM($A$78:AA78)&gt;0,0,SUM($B$71:AB71)-SUM($A$78:AA78))</f>
        <v>-31864975.275879383</v>
      </c>
      <c r="AC78" s="264">
        <f>IF(SUM($B$71:AC71)+SUM($A$78:AB78)&gt;0,0,SUM($B$71:AC71)-SUM($A$78:AB78))</f>
        <v>-33215950.850915015</v>
      </c>
      <c r="AD78" s="264">
        <f>IF(SUM($B$71:AD71)+SUM($A$78:AC78)&gt;0,0,SUM($B$71:AD71)-SUM($A$78:AC78))</f>
        <v>-35152447.767643332</v>
      </c>
      <c r="AE78" s="264">
        <f>IF(SUM($B$71:AE71)+SUM($A$78:AD78)&gt;0,0,SUM($B$71:AE71)-SUM($A$78:AD78))</f>
        <v>-36912954.329794824</v>
      </c>
      <c r="AF78" s="264">
        <f>IF(SUM($B$71:AF71)+SUM($A$78:AE78)&gt;0,0,SUM($B$71:AF71)-SUM($A$78:AE78))</f>
        <v>-38560114.235412836</v>
      </c>
      <c r="AG78" s="264">
        <f>IF(SUM($B$71:AG71)+SUM($A$78:AF78)&gt;0,0,SUM($B$71:AG71)-SUM($A$78:AF78))</f>
        <v>-40276454.85706687</v>
      </c>
      <c r="AH78" s="264">
        <f>IF(SUM($B$71:AH71)+SUM($A$78:AG78)&gt;0,0,SUM($B$71:AH71)-SUM($A$78:AG78))</f>
        <v>-42064881.784830332</v>
      </c>
      <c r="AI78" s="264">
        <f>IF(SUM($B$71:AI71)+SUM($A$78:AH78)&gt;0,0,SUM($B$71:AI71)-SUM($A$78:AH78))</f>
        <v>-43928422.643559813</v>
      </c>
      <c r="AJ78" s="264">
        <f>IF(SUM($B$71:AJ71)+SUM($A$78:AI78)&gt;0,0,SUM($B$71:AJ71)-SUM($A$78:AI78))</f>
        <v>-45526827.842464924</v>
      </c>
      <c r="AK78" s="264">
        <f>IF(SUM($B$71:AK71)+SUM($A$78:AJ78)&gt;0,0,SUM($B$71:AK71)-SUM($A$78:AJ78))</f>
        <v>-47893597.795293689</v>
      </c>
      <c r="AL78" s="264">
        <f>IF(SUM($B$71:AL71)+SUM($A$78:AK78)&gt;0,0,SUM($B$71:AL71)-SUM($A$78:AK78))</f>
        <v>-50001944.726462603</v>
      </c>
      <c r="AM78" s="264">
        <f>IF(SUM($B$71:AM71)+SUM($A$78:AL78)&gt;0,0,SUM($B$71:AM71)-SUM($A$78:AL78))</f>
        <v>-52198842.228740692</v>
      </c>
      <c r="AN78" s="264">
        <f>IF(SUM($B$71:AN71)+SUM($A$78:AM78)&gt;0,0,SUM($B$71:AN71)-SUM($A$78:AM78))</f>
        <v>-54488009.426114559</v>
      </c>
      <c r="AO78" s="264">
        <f>IF(SUM($B$71:AO71)+SUM($A$78:AN78)&gt;0,0,SUM($B$71:AO71)-SUM($A$78:AN78))</f>
        <v>-56873321.645777941</v>
      </c>
      <c r="AP78" s="264">
        <f>IF(SUM($B$71:AP71)+SUM($A$78:AO78)&gt;0,0,SUM($B$71:AP71)-SUM($A$78:AO78))</f>
        <v>-59358816.978667259</v>
      </c>
    </row>
    <row r="79" spans="1:45" x14ac:dyDescent="0.2">
      <c r="A79" s="324" t="s">
        <v>252</v>
      </c>
      <c r="B79" s="264">
        <f>IF(((SUM($B$59:B59)+SUM($B$61:B64))+SUM($B$81:B81))&lt;0,((SUM($B$59:B59)+SUM($B$61:B64))+SUM($B$81:B81))*0.18-SUM($A$79:A79),IF(SUM(A$79:$B79)&lt;0,0-SUM(A$79:$B79),0))</f>
        <v>-39039582.240000002</v>
      </c>
      <c r="C79" s="264">
        <f>IF(((SUM($B$59:C59)+SUM($B$61:C64))+SUM($B$81:C81))&lt;0,((SUM($B$59:C59)+SUM($B$61:C64))+SUM($B$81:C81))*0.18-SUM($A$79:B79),IF(SUM($B$79:B79)&lt;0,0-SUM($B$79:B79),0))</f>
        <v>-28396205.496069677</v>
      </c>
      <c r="D79" s="264">
        <f>IF(((SUM($B$59:D59)+SUM($B$61:D64))+SUM($B$81:D81))&lt;0,((SUM($B$59:D59)+SUM($B$61:D64))+SUM($B$81:D81))*0.18-SUM($A$79:C79),IF(SUM($B$79:C79)&lt;0,0-SUM($B$79:C79),0))</f>
        <v>10432159.74048885</v>
      </c>
      <c r="E79" s="264">
        <f>IF(((SUM($B$59:E59)+SUM($B$61:E64))+SUM($B$81:E81))&lt;0,((SUM($B$59:E59)+SUM($B$61:E64))+SUM($B$81:E81))*0.18-SUM($A$79:D79),IF(SUM($B$79:D79)&lt;0,0-SUM($B$79:D79),0))</f>
        <v>9624047.7074054629</v>
      </c>
      <c r="F79" s="264">
        <f>IF(((SUM($B$59:F59)+SUM($B$61:F64))+SUM($B$81:F81))&lt;0,((SUM($B$59:F59)+SUM($B$61:F64))+SUM($B$81:F81))*0.18-SUM($A$79:E79),IF(SUM($B$79:E79)&lt;0,0-SUM($B$79:E79),0))</f>
        <v>10636176.724634267</v>
      </c>
      <c r="G79" s="264">
        <f>IF(((SUM($B$59:G59)+SUM($B$61:G64))+SUM($B$81:G81))&lt;0,((SUM($B$59:G59)+SUM($B$61:G64))+SUM($B$81:G81))*0.18-SUM($A$79:F79),IF(SUM($B$79:F79)&lt;0,0-SUM($B$79:F79),0))</f>
        <v>11487742.621134982</v>
      </c>
      <c r="H79" s="264">
        <f>IF(((SUM($B$59:H59)+SUM($B$61:H64))+SUM($B$81:H81))&lt;0,((SUM($B$59:H59)+SUM($B$61:H64))+SUM($B$81:H81))*0.18-SUM($A$79:G79),IF(SUM($B$79:G79)&lt;0,0-SUM($B$79:G79),0))</f>
        <v>12185643.609945599</v>
      </c>
      <c r="I79" s="264">
        <f>IF(((SUM($B$59:I59)+SUM($B$61:I64))+SUM($B$81:I81))&lt;0,((SUM($B$59:I59)+SUM($B$61:I64))+SUM($B$81:I81))*0.18-SUM($A$79:H79),IF(SUM($B$79:H79)&lt;0,0-SUM($B$79:H79),0))</f>
        <v>12849966.174460968</v>
      </c>
      <c r="J79" s="264">
        <f>IF(((SUM($B$59:J59)+SUM($B$61:J64))+SUM($B$81:J81))&lt;0,((SUM($B$59:J59)+SUM($B$61:J64))+SUM($B$81:J81))*0.18-SUM($A$79:I79),IF(SUM($B$79:I79)&lt;0,0-SUM($B$79:I79),0))</f>
        <v>220051.15799955092</v>
      </c>
      <c r="K79" s="264">
        <f>IF(((SUM($B$59:K59)+SUM($B$61:K64))+SUM($B$81:K81))&lt;0,((SUM($B$59:K59)+SUM($B$61:K64))+SUM($B$81:K81))*0.18-SUM($A$79:J79),IF(SUM($B$79:J79)&lt;0,0-SUM($B$79:J79),0))</f>
        <v>0</v>
      </c>
      <c r="L79" s="264">
        <f>IF(((SUM($B$59:L59)+SUM($B$61:L64))+SUM($B$81:L81))&lt;0,((SUM($B$59:L59)+SUM($B$61:L64))+SUM($B$81:L81))*0.18-SUM($A$79:K79),IF(SUM($B$79:K79)&lt;0,0-SUM($B$79:K79),0))</f>
        <v>0</v>
      </c>
      <c r="M79" s="264">
        <f>IF(((SUM($B$59:M59)+SUM($B$61:M64))+SUM($B$81:M81))&lt;0,((SUM($B$59:M59)+SUM($B$61:M64))+SUM($B$81:M81))*0.18-SUM($A$79:L79),IF(SUM($B$79:L79)&lt;0,0-SUM($B$79:L79),0))</f>
        <v>0</v>
      </c>
      <c r="N79" s="264">
        <f>IF(((SUM($B$59:N59)+SUM($B$61:N64))+SUM($B$81:N81))&lt;0,((SUM($B$59:N59)+SUM($B$61:N64))+SUM($B$81:N81))*0.18-SUM($A$79:M79),IF(SUM($B$79:M79)&lt;0,0-SUM($B$79:M79),0))</f>
        <v>0</v>
      </c>
      <c r="O79" s="264">
        <f>IF(((SUM($B$59:O59)+SUM($B$61:O64))+SUM($B$81:O81))&lt;0,((SUM($B$59:O59)+SUM($B$61:O64))+SUM($B$81:O81))*0.18-SUM($A$79:N79),IF(SUM($B$79:N79)&lt;0,0-SUM($B$79:N79),0))</f>
        <v>0</v>
      </c>
      <c r="P79" s="264">
        <f>IF(((SUM($B$59:P59)+SUM($B$61:P64))+SUM($B$81:P81))&lt;0,((SUM($B$59:P59)+SUM($B$61:P64))+SUM($B$81:P81))*0.18-SUM($A$79:O79),IF(SUM($B$79:O79)&lt;0,0-SUM($B$79:O79),0))</f>
        <v>0</v>
      </c>
      <c r="Q79" s="264">
        <f>IF(((SUM($B$59:Q59)+SUM($B$61:Q64))+SUM($B$81:Q81))&lt;0,((SUM($B$59:Q59)+SUM($B$61:Q64))+SUM($B$81:Q81))*0.18-SUM($A$79:P79),IF(SUM($B$79:P79)&lt;0,0-SUM($B$79:P79),0))</f>
        <v>0</v>
      </c>
      <c r="R79" s="264">
        <f>IF(((SUM($B$59:R59)+SUM($B$61:R64))+SUM($B$81:R81))&lt;0,((SUM($B$59:R59)+SUM($B$61:R64))+SUM($B$81:R81))*0.18-SUM($A$79:Q79),IF(SUM($B$79:Q79)&lt;0,0-SUM($B$79:Q79),0))</f>
        <v>0</v>
      </c>
      <c r="S79" s="264">
        <f>IF(((SUM($B$59:S59)+SUM($B$61:S64))+SUM($B$81:S81))&lt;0,((SUM($B$59:S59)+SUM($B$61:S64))+SUM($B$81:S81))*0.18-SUM($A$79:R79),IF(SUM($B$79:R79)&lt;0,0-SUM($B$79:R79),0))</f>
        <v>0</v>
      </c>
      <c r="T79" s="264">
        <f>IF(((SUM($B$59:T59)+SUM($B$61:T64))+SUM($B$81:T81))&lt;0,((SUM($B$59:T59)+SUM($B$61:T64))+SUM($B$81:T81))*0.18-SUM($A$79:S79),IF(SUM($B$79:S79)&lt;0,0-SUM($B$79:S79),0))</f>
        <v>0</v>
      </c>
      <c r="U79" s="264">
        <f>IF(((SUM($B$59:U59)+SUM($B$61:U64))+SUM($B$81:U81))&lt;0,((SUM($B$59:U59)+SUM($B$61:U64))+SUM($B$81:U81))*0.18-SUM($A$79:T79),IF(SUM($B$79:T79)&lt;0,0-SUM($B$79:T79),0))</f>
        <v>0</v>
      </c>
      <c r="V79" s="264">
        <f>IF(((SUM($B$59:V59)+SUM($B$61:V64))+SUM($B$81:V81))&lt;0,((SUM($B$59:V59)+SUM($B$61:V64))+SUM($B$81:V81))*0.18-SUM($A$79:U79),IF(SUM($B$79:U79)&lt;0,0-SUM($B$79:U79),0))</f>
        <v>0</v>
      </c>
      <c r="W79" s="264">
        <f>IF(((SUM($B$59:W59)+SUM($B$61:W64))+SUM($B$81:W81))&lt;0,((SUM($B$59:W59)+SUM($B$61:W64))+SUM($B$81:W81))*0.18-SUM($A$79:V79),IF(SUM($B$79:V79)&lt;0,0-SUM($B$79:V79),0))</f>
        <v>0</v>
      </c>
      <c r="X79" s="264">
        <f>IF(((SUM($B$59:X59)+SUM($B$61:X64))+SUM($B$81:X81))&lt;0,((SUM($B$59:X59)+SUM($B$61:X64))+SUM($B$81:X81))*0.18-SUM($A$79:W79),IF(SUM($B$79:W79)&lt;0,0-SUM($B$79:W79),0))</f>
        <v>0</v>
      </c>
      <c r="Y79" s="264">
        <f>IF(((SUM($B$59:Y59)+SUM($B$61:Y64))+SUM($B$81:Y81))&lt;0,((SUM($B$59:Y59)+SUM($B$61:Y64))+SUM($B$81:Y81))*0.18-SUM($A$79:X79),IF(SUM($B$79:X79)&lt;0,0-SUM($B$79:X79),0))</f>
        <v>0</v>
      </c>
      <c r="Z79" s="264">
        <f>IF(((SUM($B$59:Z59)+SUM($B$61:Z64))+SUM($B$81:Z81))&lt;0,((SUM($B$59:Z59)+SUM($B$61:Z64))+SUM($B$81:Z81))*0.18-SUM($A$79:Y79),IF(SUM($B$79:Y79)&lt;0,0-SUM($B$79:Y79),0))</f>
        <v>0</v>
      </c>
      <c r="AA79" s="264">
        <f>IF(((SUM($B$59:AA59)+SUM($B$61:AA64))+SUM($B$81:AA81))&lt;0,((SUM($B$59:AA59)+SUM($B$61:AA64))+SUM($B$81:AA81))*0.18-SUM($A$79:Z79),IF(SUM($B$79:Z79)&lt;0,0-SUM($B$79:Z79),0))</f>
        <v>0</v>
      </c>
      <c r="AB79" s="264">
        <f>IF(((SUM($B$59:AB59)+SUM($B$61:AB64))+SUM($B$81:AB81))&lt;0,((SUM($B$59:AB59)+SUM($B$61:AB64))+SUM($B$81:AB81))*0.18-SUM($A$79:AA79),IF(SUM($B$79:AA79)&lt;0,0-SUM($B$79:AA79),0))</f>
        <v>0</v>
      </c>
      <c r="AC79" s="264">
        <f>IF(((SUM($B$59:AC59)+SUM($B$61:AC64))+SUM($B$81:AC81))&lt;0,((SUM($B$59:AC59)+SUM($B$61:AC64))+SUM($B$81:AC81))*0.18-SUM($A$79:AB79),IF(SUM($B$79:AB79)&lt;0,0-SUM($B$79:AB79),0))</f>
        <v>0</v>
      </c>
      <c r="AD79" s="264">
        <f>IF(((SUM($B$59:AD59)+SUM($B$61:AD64))+SUM($B$81:AD81))&lt;0,((SUM($B$59:AD59)+SUM($B$61:AD64))+SUM($B$81:AD81))*0.18-SUM($A$79:AC79),IF(SUM($B$79:AC79)&lt;0,0-SUM($B$79:AC79),0))</f>
        <v>0</v>
      </c>
      <c r="AE79" s="264">
        <f>IF(((SUM($B$59:AE59)+SUM($B$61:AE64))+SUM($B$81:AE81))&lt;0,((SUM($B$59:AE59)+SUM($B$61:AE64))+SUM($B$81:AE81))*0.18-SUM($A$79:AD79),IF(SUM($B$79:AD79)&lt;0,0-SUM($B$79:AD79),0))</f>
        <v>0</v>
      </c>
      <c r="AF79" s="264">
        <f>IF(((SUM($B$59:AF59)+SUM($B$61:AF64))+SUM($B$81:AF81))&lt;0,((SUM($B$59:AF59)+SUM($B$61:AF64))+SUM($B$81:AF81))*0.18-SUM($A$79:AE79),IF(SUM($B$79:AE79)&lt;0,0-SUM($B$79:AE79),0))</f>
        <v>0</v>
      </c>
      <c r="AG79" s="264">
        <f>IF(((SUM($B$59:AG59)+SUM($B$61:AG64))+SUM($B$81:AG81))&lt;0,((SUM($B$59:AG59)+SUM($B$61:AG64))+SUM($B$81:AG81))*0.18-SUM($A$79:AF79),IF(SUM($B$79:AF79)&lt;0,0-SUM($B$79:AF79),0))</f>
        <v>0</v>
      </c>
      <c r="AH79" s="264">
        <f>IF(((SUM($B$59:AH59)+SUM($B$61:AH64))+SUM($B$81:AH81))&lt;0,((SUM($B$59:AH59)+SUM($B$61:AH64))+SUM($B$81:AH81))*0.18-SUM($A$79:AG79),IF(SUM($B$79:AG79)&lt;0,0-SUM($B$79:AG79),0))</f>
        <v>0</v>
      </c>
      <c r="AI79" s="264">
        <f>IF(((SUM($B$59:AI59)+SUM($B$61:AI64))+SUM($B$81:AI81))&lt;0,((SUM($B$59:AI59)+SUM($B$61:AI64))+SUM($B$81:AI81))*0.18-SUM($A$79:AH79),IF(SUM($B$79:AH79)&lt;0,0-SUM($B$79:AH79),0))</f>
        <v>0</v>
      </c>
      <c r="AJ79" s="264">
        <f>IF(((SUM($B$59:AJ59)+SUM($B$61:AJ64))+SUM($B$81:AJ81))&lt;0,((SUM($B$59:AJ59)+SUM($B$61:AJ64))+SUM($B$81:AJ81))*0.18-SUM($A$79:AI79),IF(SUM($B$79:AI79)&lt;0,0-SUM($B$79:AI79),0))</f>
        <v>0</v>
      </c>
      <c r="AK79" s="264">
        <f>IF(((SUM($B$59:AK59)+SUM($B$61:AK64))+SUM($B$81:AK81))&lt;0,((SUM($B$59:AK59)+SUM($B$61:AK64))+SUM($B$81:AK81))*0.18-SUM($A$79:AJ79),IF(SUM($B$79:AJ79)&lt;0,0-SUM($B$79:AJ79),0))</f>
        <v>0</v>
      </c>
      <c r="AL79" s="264">
        <f>IF(((SUM($B$59:AL59)+SUM($B$61:AL64))+SUM($B$81:AL81))&lt;0,((SUM($B$59:AL59)+SUM($B$61:AL64))+SUM($B$81:AL81))*0.18-SUM($A$79:AK79),IF(SUM($B$79:AK79)&lt;0,0-SUM($B$79:AK79),0))</f>
        <v>0</v>
      </c>
      <c r="AM79" s="264">
        <f>IF(((SUM($B$59:AM59)+SUM($B$61:AM64))+SUM($B$81:AM81))&lt;0,((SUM($B$59:AM59)+SUM($B$61:AM64))+SUM($B$81:AM81))*0.18-SUM($A$79:AL79),IF(SUM($B$79:AL79)&lt;0,0-SUM($B$79:AL79),0))</f>
        <v>0</v>
      </c>
      <c r="AN79" s="264">
        <f>IF(((SUM($B$59:AN59)+SUM($B$61:AN64))+SUM($B$81:AN81))&lt;0,((SUM($B$59:AN59)+SUM($B$61:AN64))+SUM($B$81:AN81))*0.18-SUM($A$79:AM79),IF(SUM($B$79:AM79)&lt;0,0-SUM($B$79:AM79),0))</f>
        <v>0</v>
      </c>
      <c r="AO79" s="264">
        <f>IF(((SUM($B$59:AO59)+SUM($B$61:AO64))+SUM($B$81:AO81))&lt;0,((SUM($B$59:AO59)+SUM($B$61:AO64))+SUM($B$81:AO81))*0.18-SUM($A$79:AN79),IF(SUM($B$79:AN79)&lt;0,0-SUM($B$79:AN79),0))</f>
        <v>0</v>
      </c>
      <c r="AP79" s="264">
        <f>IF(((SUM($B$59:AP59)+SUM($B$61:AP64))+SUM($B$81:AP81))&lt;0,((SUM($B$59:AP59)+SUM($B$61:AP64))+SUM($B$81:AP81))*0.18-SUM($A$79:AO79),IF(SUM($B$79:AO79)&lt;0,0-SUM($B$79:AO79),0))</f>
        <v>0</v>
      </c>
    </row>
    <row r="80" spans="1:45" x14ac:dyDescent="0.2">
      <c r="A80" s="324" t="s">
        <v>251</v>
      </c>
      <c r="B80" s="264">
        <f>-B59*(B39)</f>
        <v>0</v>
      </c>
      <c r="C80" s="264">
        <f t="shared" ref="C80:AP80" si="60">-(C59-B59)*$B$39</f>
        <v>0</v>
      </c>
      <c r="D80" s="264">
        <f t="shared" si="60"/>
        <v>0</v>
      </c>
      <c r="E80" s="264">
        <f t="shared" si="60"/>
        <v>0</v>
      </c>
      <c r="F80" s="264">
        <f t="shared" si="60"/>
        <v>0</v>
      </c>
      <c r="G80" s="264">
        <f t="shared" si="60"/>
        <v>0</v>
      </c>
      <c r="H80" s="264">
        <f t="shared" si="60"/>
        <v>0</v>
      </c>
      <c r="I80" s="264">
        <f t="shared" si="60"/>
        <v>0</v>
      </c>
      <c r="J80" s="264">
        <f t="shared" si="60"/>
        <v>0</v>
      </c>
      <c r="K80" s="264">
        <f t="shared" si="60"/>
        <v>0</v>
      </c>
      <c r="L80" s="264">
        <f t="shared" si="60"/>
        <v>0</v>
      </c>
      <c r="M80" s="264">
        <f t="shared" si="60"/>
        <v>0</v>
      </c>
      <c r="N80" s="264">
        <f t="shared" si="60"/>
        <v>0</v>
      </c>
      <c r="O80" s="264">
        <f t="shared" si="60"/>
        <v>0</v>
      </c>
      <c r="P80" s="264">
        <f t="shared" si="60"/>
        <v>0</v>
      </c>
      <c r="Q80" s="264">
        <f t="shared" si="60"/>
        <v>0</v>
      </c>
      <c r="R80" s="264">
        <f t="shared" si="60"/>
        <v>0</v>
      </c>
      <c r="S80" s="264">
        <f t="shared" si="60"/>
        <v>0</v>
      </c>
      <c r="T80" s="264">
        <f t="shared" si="60"/>
        <v>0</v>
      </c>
      <c r="U80" s="264">
        <f t="shared" si="60"/>
        <v>0</v>
      </c>
      <c r="V80" s="264">
        <f t="shared" si="60"/>
        <v>0</v>
      </c>
      <c r="W80" s="264">
        <f t="shared" si="60"/>
        <v>0</v>
      </c>
      <c r="X80" s="264">
        <f t="shared" si="60"/>
        <v>0</v>
      </c>
      <c r="Y80" s="264">
        <f t="shared" si="60"/>
        <v>0</v>
      </c>
      <c r="Z80" s="264">
        <f t="shared" si="60"/>
        <v>0</v>
      </c>
      <c r="AA80" s="264">
        <f t="shared" si="60"/>
        <v>0</v>
      </c>
      <c r="AB80" s="264">
        <f t="shared" si="60"/>
        <v>0</v>
      </c>
      <c r="AC80" s="264">
        <f t="shared" si="60"/>
        <v>0</v>
      </c>
      <c r="AD80" s="264">
        <f t="shared" si="60"/>
        <v>0</v>
      </c>
      <c r="AE80" s="264">
        <f t="shared" si="60"/>
        <v>0</v>
      </c>
      <c r="AF80" s="264">
        <f t="shared" si="60"/>
        <v>0</v>
      </c>
      <c r="AG80" s="264">
        <f t="shared" si="60"/>
        <v>0</v>
      </c>
      <c r="AH80" s="264">
        <f t="shared" si="60"/>
        <v>0</v>
      </c>
      <c r="AI80" s="264">
        <f t="shared" si="60"/>
        <v>0</v>
      </c>
      <c r="AJ80" s="264">
        <f t="shared" si="60"/>
        <v>0</v>
      </c>
      <c r="AK80" s="264">
        <f t="shared" si="60"/>
        <v>0</v>
      </c>
      <c r="AL80" s="264">
        <f t="shared" si="60"/>
        <v>0</v>
      </c>
      <c r="AM80" s="264">
        <f t="shared" si="60"/>
        <v>0</v>
      </c>
      <c r="AN80" s="264">
        <f t="shared" si="60"/>
        <v>0</v>
      </c>
      <c r="AO80" s="264">
        <f t="shared" si="60"/>
        <v>0</v>
      </c>
      <c r="AP80" s="264">
        <f t="shared" si="60"/>
        <v>0</v>
      </c>
    </row>
    <row r="81" spans="1:44" x14ac:dyDescent="0.2">
      <c r="A81" s="324" t="s">
        <v>434</v>
      </c>
      <c r="B81" s="264">
        <f>'6.2. Паспорт фин осв ввод'!L24*1000000*-1</f>
        <v>-216886568.00000003</v>
      </c>
      <c r="C81" s="264">
        <f>'6.2. Паспорт фин осв ввод'!P24*1000000*-1</f>
        <v>-198038390.99999997</v>
      </c>
      <c r="D81" s="264">
        <v>0</v>
      </c>
      <c r="E81" s="264">
        <v>0</v>
      </c>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325">
        <f>SUM(B81:AP81)</f>
        <v>-414924959</v>
      </c>
      <c r="AR81" s="326"/>
    </row>
    <row r="82" spans="1:44" x14ac:dyDescent="0.2">
      <c r="A82" s="324" t="s">
        <v>250</v>
      </c>
      <c r="B82" s="264">
        <f t="shared" ref="B82:AO82" si="61">B54-B55</f>
        <v>0</v>
      </c>
      <c r="C82" s="264">
        <f t="shared" si="61"/>
        <v>0</v>
      </c>
      <c r="D82" s="264">
        <f t="shared" si="61"/>
        <v>0</v>
      </c>
      <c r="E82" s="264">
        <f t="shared" si="61"/>
        <v>0</v>
      </c>
      <c r="F82" s="264">
        <f t="shared" si="61"/>
        <v>0</v>
      </c>
      <c r="G82" s="264">
        <f t="shared" si="61"/>
        <v>0</v>
      </c>
      <c r="H82" s="264">
        <f t="shared" si="61"/>
        <v>0</v>
      </c>
      <c r="I82" s="264">
        <f t="shared" si="61"/>
        <v>0</v>
      </c>
      <c r="J82" s="264">
        <f t="shared" si="61"/>
        <v>0</v>
      </c>
      <c r="K82" s="264">
        <f t="shared" si="61"/>
        <v>0</v>
      </c>
      <c r="L82" s="264">
        <f t="shared" si="61"/>
        <v>0</v>
      </c>
      <c r="M82" s="264">
        <f t="shared" si="61"/>
        <v>0</v>
      </c>
      <c r="N82" s="264">
        <f t="shared" si="61"/>
        <v>0</v>
      </c>
      <c r="O82" s="264">
        <f t="shared" si="61"/>
        <v>0</v>
      </c>
      <c r="P82" s="264">
        <f t="shared" si="61"/>
        <v>0</v>
      </c>
      <c r="Q82" s="264">
        <f t="shared" si="61"/>
        <v>0</v>
      </c>
      <c r="R82" s="264">
        <f t="shared" si="61"/>
        <v>0</v>
      </c>
      <c r="S82" s="264">
        <f t="shared" si="61"/>
        <v>0</v>
      </c>
      <c r="T82" s="264">
        <f t="shared" si="61"/>
        <v>0</v>
      </c>
      <c r="U82" s="264">
        <f t="shared" si="61"/>
        <v>0</v>
      </c>
      <c r="V82" s="264">
        <f t="shared" si="61"/>
        <v>0</v>
      </c>
      <c r="W82" s="264">
        <f t="shared" si="61"/>
        <v>0</v>
      </c>
      <c r="X82" s="264">
        <f t="shared" si="61"/>
        <v>0</v>
      </c>
      <c r="Y82" s="264">
        <f t="shared" si="61"/>
        <v>0</v>
      </c>
      <c r="Z82" s="264">
        <f t="shared" si="61"/>
        <v>0</v>
      </c>
      <c r="AA82" s="264">
        <f t="shared" si="61"/>
        <v>0</v>
      </c>
      <c r="AB82" s="264">
        <f t="shared" si="61"/>
        <v>0</v>
      </c>
      <c r="AC82" s="264">
        <f t="shared" si="61"/>
        <v>0</v>
      </c>
      <c r="AD82" s="264">
        <f t="shared" si="61"/>
        <v>0</v>
      </c>
      <c r="AE82" s="264">
        <f t="shared" si="61"/>
        <v>0</v>
      </c>
      <c r="AF82" s="264">
        <f t="shared" si="61"/>
        <v>0</v>
      </c>
      <c r="AG82" s="264">
        <f t="shared" si="61"/>
        <v>0</v>
      </c>
      <c r="AH82" s="264">
        <f t="shared" si="61"/>
        <v>0</v>
      </c>
      <c r="AI82" s="264">
        <f t="shared" si="61"/>
        <v>0</v>
      </c>
      <c r="AJ82" s="264">
        <f t="shared" si="61"/>
        <v>0</v>
      </c>
      <c r="AK82" s="264">
        <f t="shared" si="61"/>
        <v>0</v>
      </c>
      <c r="AL82" s="264">
        <f t="shared" si="61"/>
        <v>0</v>
      </c>
      <c r="AM82" s="264">
        <f t="shared" si="61"/>
        <v>0</v>
      </c>
      <c r="AN82" s="264">
        <f t="shared" si="61"/>
        <v>0</v>
      </c>
      <c r="AO82" s="264">
        <f t="shared" si="61"/>
        <v>0</v>
      </c>
      <c r="AP82" s="264">
        <f>AP54-AP55</f>
        <v>0</v>
      </c>
    </row>
    <row r="83" spans="1:44" ht="14.25" x14ac:dyDescent="0.2">
      <c r="A83" s="268" t="s">
        <v>249</v>
      </c>
      <c r="B83" s="267">
        <f>SUM(B75:B82)</f>
        <v>-255926150.24000004</v>
      </c>
      <c r="C83" s="267">
        <f t="shared" ref="C83:V83" si="62">SUM(C75:C82)</f>
        <v>-186152902.69645676</v>
      </c>
      <c r="D83" s="267">
        <f t="shared" si="62"/>
        <v>59102452.803772643</v>
      </c>
      <c r="E83" s="267">
        <f t="shared" si="62"/>
        <v>54702731.734763049</v>
      </c>
      <c r="F83" s="267">
        <f t="shared" si="62"/>
        <v>69433766.584119886</v>
      </c>
      <c r="G83" s="267">
        <f t="shared" si="62"/>
        <v>64849515.153957121</v>
      </c>
      <c r="H83" s="267">
        <f t="shared" si="62"/>
        <v>68649198.315259352</v>
      </c>
      <c r="I83" s="267">
        <f t="shared" si="62"/>
        <v>72266065.610954195</v>
      </c>
      <c r="J83" s="267">
        <f t="shared" si="62"/>
        <v>62320365.750935748</v>
      </c>
      <c r="K83" s="267">
        <f t="shared" si="62"/>
        <v>64910687.861731946</v>
      </c>
      <c r="L83" s="267">
        <f t="shared" si="62"/>
        <v>67853148.674161121</v>
      </c>
      <c r="M83" s="267">
        <f t="shared" si="62"/>
        <v>70933905.144774467</v>
      </c>
      <c r="N83" s="267">
        <f t="shared" si="62"/>
        <v>74159457.169506639</v>
      </c>
      <c r="O83" s="267">
        <f t="shared" si="62"/>
        <v>77000344.075669006</v>
      </c>
      <c r="P83" s="267">
        <f t="shared" si="62"/>
        <v>81072489.298880845</v>
      </c>
      <c r="Q83" s="267">
        <f t="shared" si="62"/>
        <v>84774554.778856039</v>
      </c>
      <c r="R83" s="267">
        <f t="shared" si="62"/>
        <v>88650617.336390048</v>
      </c>
      <c r="S83" s="267">
        <f t="shared" si="62"/>
        <v>92708854.834128141</v>
      </c>
      <c r="T83" s="267">
        <f t="shared" si="62"/>
        <v>96957829.494259939</v>
      </c>
      <c r="U83" s="267">
        <f t="shared" si="62"/>
        <v>101406505.9634179</v>
      </c>
      <c r="V83" s="267">
        <f t="shared" si="62"/>
        <v>105324652.8834115</v>
      </c>
      <c r="W83" s="267">
        <f>SUM(W75:W82)</f>
        <v>110940949.41020554</v>
      </c>
      <c r="X83" s="267">
        <f>SUM(X75:X82)</f>
        <v>116046832.51541296</v>
      </c>
      <c r="Y83" s="267">
        <f>SUM(Y75:Y82)</f>
        <v>121392692.12656516</v>
      </c>
      <c r="Z83" s="267">
        <f>SUM(Z75:Z82)</f>
        <v>126989807.13944149</v>
      </c>
      <c r="AA83" s="267">
        <f t="shared" ref="AA83:AP83" si="63">SUM(AA75:AA82)</f>
        <v>132849986.55792299</v>
      </c>
      <c r="AB83" s="267">
        <f t="shared" si="63"/>
        <v>138985594.40907317</v>
      </c>
      <c r="AC83" s="267">
        <f t="shared" si="63"/>
        <v>144389496.70921561</v>
      </c>
      <c r="AD83" s="267">
        <f t="shared" si="63"/>
        <v>152135484.37612879</v>
      </c>
      <c r="AE83" s="267">
        <f t="shared" si="63"/>
        <v>159177510.62473455</v>
      </c>
      <c r="AF83" s="267">
        <f t="shared" si="63"/>
        <v>165766150.24720678</v>
      </c>
      <c r="AG83" s="267">
        <f t="shared" si="63"/>
        <v>172631512.73382279</v>
      </c>
      <c r="AH83" s="267">
        <f t="shared" si="63"/>
        <v>179785220.44487667</v>
      </c>
      <c r="AI83" s="267">
        <f t="shared" si="63"/>
        <v>187239383.8797949</v>
      </c>
      <c r="AJ83" s="267">
        <f t="shared" si="63"/>
        <v>193633004.67541513</v>
      </c>
      <c r="AK83" s="267">
        <f t="shared" si="63"/>
        <v>203100084.48673004</v>
      </c>
      <c r="AL83" s="267">
        <f t="shared" si="63"/>
        <v>211533472.21140614</v>
      </c>
      <c r="AM83" s="267">
        <f t="shared" si="63"/>
        <v>220321062.22051859</v>
      </c>
      <c r="AN83" s="267">
        <f t="shared" si="63"/>
        <v>229477731.01001358</v>
      </c>
      <c r="AO83" s="267">
        <f t="shared" si="63"/>
        <v>239018979.88866758</v>
      </c>
      <c r="AP83" s="267">
        <f t="shared" si="63"/>
        <v>248960961.22022504</v>
      </c>
    </row>
    <row r="84" spans="1:44" ht="14.25" x14ac:dyDescent="0.2">
      <c r="A84" s="268" t="s">
        <v>641</v>
      </c>
      <c r="B84" s="267">
        <f>SUM($B$83:B83)</f>
        <v>-255926150.24000004</v>
      </c>
      <c r="C84" s="267">
        <f>SUM($B$83:C83)</f>
        <v>-442079052.9364568</v>
      </c>
      <c r="D84" s="267">
        <f>SUM($B$83:D83)</f>
        <v>-382976600.13268417</v>
      </c>
      <c r="E84" s="267">
        <f>SUM($B$83:E83)</f>
        <v>-328273868.39792114</v>
      </c>
      <c r="F84" s="267">
        <f>SUM($B$83:F83)</f>
        <v>-258840101.81380126</v>
      </c>
      <c r="G84" s="267">
        <f>SUM($B$83:G83)</f>
        <v>-193990586.65984413</v>
      </c>
      <c r="H84" s="267">
        <f>SUM($B$83:H83)</f>
        <v>-125341388.34458478</v>
      </c>
      <c r="I84" s="267">
        <f>SUM($B$83:I83)</f>
        <v>-53075322.733630583</v>
      </c>
      <c r="J84" s="267">
        <f>SUM($B$83:J83)</f>
        <v>9245043.0173051655</v>
      </c>
      <c r="K84" s="267">
        <f>SUM($B$83:K83)</f>
        <v>74155730.879037112</v>
      </c>
      <c r="L84" s="267">
        <f>SUM($B$83:L83)</f>
        <v>142008879.55319822</v>
      </c>
      <c r="M84" s="267">
        <f>SUM($B$83:M83)</f>
        <v>212942784.69797269</v>
      </c>
      <c r="N84" s="267">
        <f>SUM($B$83:N83)</f>
        <v>287102241.86747932</v>
      </c>
      <c r="O84" s="267">
        <f>SUM($B$83:O83)</f>
        <v>364102585.94314831</v>
      </c>
      <c r="P84" s="267">
        <f>SUM($B$83:P83)</f>
        <v>445175075.24202919</v>
      </c>
      <c r="Q84" s="267">
        <f>SUM($B$83:Q83)</f>
        <v>529949630.02088523</v>
      </c>
      <c r="R84" s="267">
        <f>SUM($B$83:R83)</f>
        <v>618600247.35727525</v>
      </c>
      <c r="S84" s="267">
        <f>SUM($B$83:S83)</f>
        <v>711309102.19140339</v>
      </c>
      <c r="T84" s="267">
        <f>SUM($B$83:T83)</f>
        <v>808266931.68566334</v>
      </c>
      <c r="U84" s="267">
        <f>SUM($B$83:U83)</f>
        <v>909673437.64908123</v>
      </c>
      <c r="V84" s="267">
        <f>SUM($B$83:V83)</f>
        <v>1014998090.5324928</v>
      </c>
      <c r="W84" s="267">
        <f>SUM($B$83:W83)</f>
        <v>1125939039.9426982</v>
      </c>
      <c r="X84" s="267">
        <f>SUM($B$83:X83)</f>
        <v>1241985872.4581113</v>
      </c>
      <c r="Y84" s="267">
        <f>SUM($B$83:Y83)</f>
        <v>1363378564.5846765</v>
      </c>
      <c r="Z84" s="267">
        <f>SUM($B$83:Z83)</f>
        <v>1490368371.724118</v>
      </c>
      <c r="AA84" s="267">
        <f>SUM($B$83:AA83)</f>
        <v>1623218358.2820411</v>
      </c>
      <c r="AB84" s="267">
        <f>SUM($B$83:AB83)</f>
        <v>1762203952.6911142</v>
      </c>
      <c r="AC84" s="267">
        <f>SUM($B$83:AC83)</f>
        <v>1906593449.4003298</v>
      </c>
      <c r="AD84" s="267">
        <f>SUM($B$83:AD83)</f>
        <v>2058728933.7764587</v>
      </c>
      <c r="AE84" s="267">
        <f>SUM($B$83:AE83)</f>
        <v>2217906444.4011931</v>
      </c>
      <c r="AF84" s="267">
        <f>SUM($B$83:AF83)</f>
        <v>2383672594.6483998</v>
      </c>
      <c r="AG84" s="267">
        <f>SUM($B$83:AG83)</f>
        <v>2556304107.3822227</v>
      </c>
      <c r="AH84" s="267">
        <f>SUM($B$83:AH83)</f>
        <v>2736089327.8270993</v>
      </c>
      <c r="AI84" s="267">
        <f>SUM($B$83:AI83)</f>
        <v>2923328711.7068944</v>
      </c>
      <c r="AJ84" s="267">
        <f>SUM($B$83:AJ83)</f>
        <v>3116961716.3823094</v>
      </c>
      <c r="AK84" s="267">
        <f>SUM($B$83:AK83)</f>
        <v>3320061800.8690395</v>
      </c>
      <c r="AL84" s="267">
        <f>SUM($B$83:AL83)</f>
        <v>3531595273.0804458</v>
      </c>
      <c r="AM84" s="267">
        <f>SUM($B$83:AM83)</f>
        <v>3751916335.3009644</v>
      </c>
      <c r="AN84" s="267">
        <f>SUM($B$83:AN83)</f>
        <v>3981394066.3109779</v>
      </c>
      <c r="AO84" s="267">
        <f>SUM($B$83:AO83)</f>
        <v>4220413046.1996455</v>
      </c>
      <c r="AP84" s="267">
        <f>SUM($B$83:AP83)</f>
        <v>4469374007.4198704</v>
      </c>
    </row>
    <row r="85" spans="1:44" x14ac:dyDescent="0.2">
      <c r="A85" s="324" t="s">
        <v>435</v>
      </c>
      <c r="B85" s="271">
        <f>1/POWER((1+$B$44),B73)</f>
        <v>0.95402649883562884</v>
      </c>
      <c r="C85" s="271">
        <f t="shared" ref="C85:AP85" si="64">1/POWER((1+$B$44),C73)</f>
        <v>1</v>
      </c>
      <c r="D85" s="271">
        <f t="shared" si="64"/>
        <v>0.79031857381682236</v>
      </c>
      <c r="E85" s="271">
        <f t="shared" si="64"/>
        <v>0.71932153801476506</v>
      </c>
      <c r="F85" s="271">
        <f t="shared" si="64"/>
        <v>0.65470241013449082</v>
      </c>
      <c r="G85" s="271">
        <f t="shared" si="64"/>
        <v>0.59588824077044755</v>
      </c>
      <c r="H85" s="271">
        <f t="shared" si="64"/>
        <v>0.54235755053285484</v>
      </c>
      <c r="I85" s="271">
        <f t="shared" si="64"/>
        <v>0.49363570631915432</v>
      </c>
      <c r="J85" s="271">
        <f t="shared" si="64"/>
        <v>0.44929071295090039</v>
      </c>
      <c r="K85" s="271">
        <f t="shared" si="64"/>
        <v>0.40892938286238317</v>
      </c>
      <c r="L85" s="271">
        <f t="shared" si="64"/>
        <v>0.37219384987929666</v>
      </c>
      <c r="M85" s="271">
        <f t="shared" si="64"/>
        <v>0.3387583961766602</v>
      </c>
      <c r="N85" s="271">
        <f t="shared" si="64"/>
        <v>0.30832656428202437</v>
      </c>
      <c r="O85" s="271">
        <f t="shared" si="64"/>
        <v>0.28062852851736092</v>
      </c>
      <c r="P85" s="271">
        <f t="shared" si="64"/>
        <v>0.25541870257336935</v>
      </c>
      <c r="Q85" s="271">
        <f t="shared" si="64"/>
        <v>0.23247356200361272</v>
      </c>
      <c r="R85" s="271">
        <f t="shared" si="64"/>
        <v>0.21158966233149432</v>
      </c>
      <c r="S85" s="271">
        <f t="shared" si="64"/>
        <v>0.19258183519750091</v>
      </c>
      <c r="T85" s="271">
        <f t="shared" si="64"/>
        <v>0.17528154655274497</v>
      </c>
      <c r="U85" s="271">
        <f t="shared" si="64"/>
        <v>0.15953540234162647</v>
      </c>
      <c r="V85" s="271">
        <f t="shared" si="64"/>
        <v>0.14520378842416171</v>
      </c>
      <c r="W85" s="271">
        <f t="shared" si="64"/>
        <v>0.13215963267876735</v>
      </c>
      <c r="X85" s="271">
        <f t="shared" si="64"/>
        <v>0.12028727830960895</v>
      </c>
      <c r="Y85" s="271">
        <f t="shared" si="64"/>
        <v>0.10948145836862559</v>
      </c>
      <c r="Z85" s="271">
        <f t="shared" si="64"/>
        <v>9.9646362399768443E-2</v>
      </c>
      <c r="AA85" s="271">
        <f t="shared" si="64"/>
        <v>9.0694786929797461E-2</v>
      </c>
      <c r="AB85" s="271">
        <f t="shared" si="64"/>
        <v>8.2547362273411681E-2</v>
      </c>
      <c r="AC85" s="271">
        <f t="shared" si="64"/>
        <v>7.5131848797134526E-2</v>
      </c>
      <c r="AD85" s="271">
        <f t="shared" si="64"/>
        <v>6.8382496402234039E-2</v>
      </c>
      <c r="AE85" s="271">
        <f t="shared" si="64"/>
        <v>6.2239461547496142E-2</v>
      </c>
      <c r="AF85" s="271">
        <f t="shared" si="64"/>
        <v>5.6648276642847148E-2</v>
      </c>
      <c r="AG85" s="271">
        <f t="shared" si="64"/>
        <v>5.1559367109171889E-2</v>
      </c>
      <c r="AH85" s="271">
        <f t="shared" si="64"/>
        <v>4.6927611822309881E-2</v>
      </c>
      <c r="AI85" s="271">
        <f t="shared" si="64"/>
        <v>4.2711943043879028E-2</v>
      </c>
      <c r="AJ85" s="271">
        <f t="shared" si="64"/>
        <v>3.88749822916893E-2</v>
      </c>
      <c r="AK85" s="271">
        <f t="shared" si="64"/>
        <v>3.5382708921169827E-2</v>
      </c>
      <c r="AL85" s="271">
        <f t="shared" si="64"/>
        <v>3.2204158479266255E-2</v>
      </c>
      <c r="AM85" s="271">
        <f t="shared" si="64"/>
        <v>2.9311148156244884E-2</v>
      </c>
      <c r="AN85" s="271">
        <f t="shared" si="64"/>
        <v>2.6678026901105743E-2</v>
      </c>
      <c r="AO85" s="271">
        <f t="shared" si="64"/>
        <v>2.4281447984987482E-2</v>
      </c>
      <c r="AP85" s="271">
        <f t="shared" si="64"/>
        <v>2.2100161995983875E-2</v>
      </c>
    </row>
    <row r="86" spans="1:44" ht="28.5" x14ac:dyDescent="0.2">
      <c r="A86" s="266" t="s">
        <v>642</v>
      </c>
      <c r="B86" s="267">
        <f>B83*B85</f>
        <v>-244160329.07394838</v>
      </c>
      <c r="C86" s="267">
        <f>C83*C85</f>
        <v>-186152902.69645676</v>
      </c>
      <c r="D86" s="267">
        <f t="shared" ref="D86:AO86" si="65">D83*D85</f>
        <v>46709766.208953649</v>
      </c>
      <c r="E86" s="267">
        <f t="shared" si="65"/>
        <v>39348853.125058852</v>
      </c>
      <c r="F86" s="267">
        <f t="shared" si="65"/>
        <v>45458454.327338964</v>
      </c>
      <c r="G86" s="267">
        <f t="shared" si="65"/>
        <v>38643063.499907985</v>
      </c>
      <c r="H86" s="267">
        <f t="shared" si="65"/>
        <v>37232411.044308245</v>
      </c>
      <c r="I86" s="267">
        <f t="shared" si="65"/>
        <v>35673110.340769723</v>
      </c>
      <c r="J86" s="267">
        <f t="shared" si="65"/>
        <v>27999961.559598796</v>
      </c>
      <c r="K86" s="267">
        <f t="shared" si="65"/>
        <v>26543887.528470833</v>
      </c>
      <c r="L86" s="267">
        <f t="shared" si="65"/>
        <v>25254524.631468322</v>
      </c>
      <c r="M86" s="267">
        <f t="shared" si="65"/>
        <v>24029455.941391144</v>
      </c>
      <c r="N86" s="267">
        <f t="shared" si="65"/>
        <v>22865330.638093922</v>
      </c>
      <c r="O86" s="267">
        <f t="shared" si="65"/>
        <v>21608493.253285483</v>
      </c>
      <c r="P86" s="267">
        <f t="shared" si="65"/>
        <v>20707430.031113517</v>
      </c>
      <c r="Q86" s="267">
        <f t="shared" si="65"/>
        <v>19707842.716711052</v>
      </c>
      <c r="R86" s="267">
        <f t="shared" si="65"/>
        <v>18757554.187685285</v>
      </c>
      <c r="S86" s="267">
        <f t="shared" si="65"/>
        <v>17854041.403015103</v>
      </c>
      <c r="T86" s="267">
        <f t="shared" si="65"/>
        <v>16994918.304151233</v>
      </c>
      <c r="U86" s="267">
        <f t="shared" si="65"/>
        <v>16177927.72893242</v>
      </c>
      <c r="V86" s="267">
        <f t="shared" si="65"/>
        <v>15293538.613131156</v>
      </c>
      <c r="W86" s="267">
        <f t="shared" si="65"/>
        <v>14661915.123086475</v>
      </c>
      <c r="X86" s="267">
        <f t="shared" si="65"/>
        <v>13958957.639730055</v>
      </c>
      <c r="Y86" s="267">
        <f t="shared" si="65"/>
        <v>13290248.969309928</v>
      </c>
      <c r="Z86" s="267">
        <f t="shared" si="65"/>
        <v>12654072.343293488</v>
      </c>
      <c r="AA86" s="267">
        <f t="shared" si="65"/>
        <v>12048801.224497283</v>
      </c>
      <c r="AB86" s="267">
        <f t="shared" si="65"/>
        <v>11472894.212471224</v>
      </c>
      <c r="AC86" s="267">
        <f t="shared" si="65"/>
        <v>10848249.83465114</v>
      </c>
      <c r="AD86" s="267">
        <f t="shared" si="65"/>
        <v>10403404.21300276</v>
      </c>
      <c r="AE86" s="267">
        <f t="shared" si="65"/>
        <v>9907122.5517543238</v>
      </c>
      <c r="AF86" s="267">
        <f t="shared" si="65"/>
        <v>9390366.7372235339</v>
      </c>
      <c r="AG86" s="267">
        <f t="shared" si="65"/>
        <v>8900771.539654851</v>
      </c>
      <c r="AH86" s="267">
        <f t="shared" si="65"/>
        <v>8436891.0364255831</v>
      </c>
      <c r="AI86" s="267">
        <f t="shared" si="65"/>
        <v>7997357.8998448001</v>
      </c>
      <c r="AJ86" s="267">
        <f t="shared" si="65"/>
        <v>7527479.6278433548</v>
      </c>
      <c r="AK86" s="267">
        <f t="shared" si="65"/>
        <v>7186231.1712589683</v>
      </c>
      <c r="AL86" s="267">
        <f t="shared" si="65"/>
        <v>6812257.4627655875</v>
      </c>
      <c r="AM86" s="267">
        <f t="shared" si="65"/>
        <v>6457863.2966868682</v>
      </c>
      <c r="AN86" s="267">
        <f t="shared" si="65"/>
        <v>6122013.0810898496</v>
      </c>
      <c r="AO86" s="267">
        <f t="shared" si="65"/>
        <v>5803726.9275914505</v>
      </c>
      <c r="AP86" s="267">
        <f>AP83*AP85</f>
        <v>5502077.5736428332</v>
      </c>
    </row>
    <row r="87" spans="1:44" ht="14.25" x14ac:dyDescent="0.2">
      <c r="A87" s="266" t="s">
        <v>643</v>
      </c>
      <c r="B87" s="267">
        <f>SUM($B$86:B86)</f>
        <v>-244160329.07394838</v>
      </c>
      <c r="C87" s="267">
        <f>SUM($B$86:C86)</f>
        <v>-430313231.77040517</v>
      </c>
      <c r="D87" s="267">
        <f>SUM($B$86:D86)</f>
        <v>-383603465.56145155</v>
      </c>
      <c r="E87" s="267">
        <f>SUM($B$86:E86)</f>
        <v>-344254612.43639272</v>
      </c>
      <c r="F87" s="267">
        <f>SUM($B$86:F86)</f>
        <v>-298796158.10905373</v>
      </c>
      <c r="G87" s="267">
        <f>SUM($B$86:G86)</f>
        <v>-260153094.60914576</v>
      </c>
      <c r="H87" s="267">
        <f>SUM($B$86:H86)</f>
        <v>-222920683.56483752</v>
      </c>
      <c r="I87" s="267">
        <f>SUM($B$86:I86)</f>
        <v>-187247573.22406781</v>
      </c>
      <c r="J87" s="267">
        <f>SUM($B$86:J86)</f>
        <v>-159247611.664469</v>
      </c>
      <c r="K87" s="267">
        <f>SUM($B$86:K86)</f>
        <v>-132703724.13599817</v>
      </c>
      <c r="L87" s="267">
        <f>SUM($B$86:L86)</f>
        <v>-107449199.50452985</v>
      </c>
      <c r="M87" s="267">
        <f>SUM($B$86:M86)</f>
        <v>-83419743.563138708</v>
      </c>
      <c r="N87" s="267">
        <f>SUM($B$86:N86)</f>
        <v>-60554412.92504479</v>
      </c>
      <c r="O87" s="267">
        <f>SUM($B$86:O86)</f>
        <v>-38945919.671759307</v>
      </c>
      <c r="P87" s="267">
        <f>SUM($B$86:P86)</f>
        <v>-18238489.640645791</v>
      </c>
      <c r="Q87" s="267">
        <f>SUM($B$86:Q86)</f>
        <v>1469353.0760652609</v>
      </c>
      <c r="R87" s="267">
        <f>SUM($B$86:R86)</f>
        <v>20226907.263750546</v>
      </c>
      <c r="S87" s="267">
        <f>SUM($B$86:S86)</f>
        <v>38080948.666765645</v>
      </c>
      <c r="T87" s="267">
        <f>SUM($B$86:T86)</f>
        <v>55075866.970916882</v>
      </c>
      <c r="U87" s="267">
        <f>SUM($B$86:U86)</f>
        <v>71253794.699849308</v>
      </c>
      <c r="V87" s="267">
        <f>SUM($B$86:V86)</f>
        <v>86547333.312980458</v>
      </c>
      <c r="W87" s="267">
        <f>SUM($B$86:W86)</f>
        <v>101209248.43606693</v>
      </c>
      <c r="X87" s="267">
        <f>SUM($B$86:X86)</f>
        <v>115168206.07579698</v>
      </c>
      <c r="Y87" s="267">
        <f>SUM($B$86:Y86)</f>
        <v>128458455.0451069</v>
      </c>
      <c r="Z87" s="267">
        <f>SUM($B$86:Z86)</f>
        <v>141112527.38840038</v>
      </c>
      <c r="AA87" s="267">
        <f>SUM($B$86:AA86)</f>
        <v>153161328.61289766</v>
      </c>
      <c r="AB87" s="267">
        <f>SUM($B$86:AB86)</f>
        <v>164634222.82536888</v>
      </c>
      <c r="AC87" s="267">
        <f>SUM($B$86:AC86)</f>
        <v>175482472.66002002</v>
      </c>
      <c r="AD87" s="267">
        <f>SUM($B$86:AD86)</f>
        <v>185885876.87302279</v>
      </c>
      <c r="AE87" s="267">
        <f>SUM($B$86:AE86)</f>
        <v>195792999.42477712</v>
      </c>
      <c r="AF87" s="267">
        <f>SUM($B$86:AF86)</f>
        <v>205183366.16200066</v>
      </c>
      <c r="AG87" s="267">
        <f>SUM($B$86:AG86)</f>
        <v>214084137.70165551</v>
      </c>
      <c r="AH87" s="267">
        <f>SUM($B$86:AH86)</f>
        <v>222521028.7380811</v>
      </c>
      <c r="AI87" s="267">
        <f>SUM($B$86:AI86)</f>
        <v>230518386.63792589</v>
      </c>
      <c r="AJ87" s="267">
        <f>SUM($B$86:AJ86)</f>
        <v>238045866.26576924</v>
      </c>
      <c r="AK87" s="267">
        <f>SUM($B$86:AK86)</f>
        <v>245232097.4370282</v>
      </c>
      <c r="AL87" s="267">
        <f>SUM($B$86:AL86)</f>
        <v>252044354.89979377</v>
      </c>
      <c r="AM87" s="267">
        <f>SUM($B$86:AM86)</f>
        <v>258502218.19648063</v>
      </c>
      <c r="AN87" s="267">
        <f>SUM($B$86:AN86)</f>
        <v>264624231.27757049</v>
      </c>
      <c r="AO87" s="267">
        <f>SUM($B$86:AO86)</f>
        <v>270427958.20516193</v>
      </c>
      <c r="AP87" s="267">
        <f>SUM($B$86:AP86)</f>
        <v>275930035.77880478</v>
      </c>
    </row>
    <row r="88" spans="1:44" ht="14.25" x14ac:dyDescent="0.2">
      <c r="A88" s="266" t="s">
        <v>644</v>
      </c>
      <c r="B88" s="272">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4.4432471782565042E-3</v>
      </c>
      <c r="K88" s="273">
        <f>IF((ISERR(IRR($B$83:K83))),0,IF(IRR($B$83:K83)&lt;0,0,IRR($B$83:K83)))</f>
        <v>3.0909646145915959E-2</v>
      </c>
      <c r="L88" s="273">
        <f>IF((ISERR(IRR($B$83:L83))),0,IF(IRR($B$83:L83)&lt;0,0,IRR($B$83:L83)))</f>
        <v>5.1728998619082756E-2</v>
      </c>
      <c r="M88" s="273">
        <f>IF((ISERR(IRR($B$83:M83))),0,IF(IRR($B$83:M83)&lt;0,0,IRR($B$83:M83)))</f>
        <v>6.8288108723381979E-2</v>
      </c>
      <c r="N88" s="273">
        <f>IF((ISERR(IRR($B$83:N83))),0,IF(IRR($B$83:N83)&lt;0,0,IRR($B$83:N83)))</f>
        <v>8.1607346853513896E-2</v>
      </c>
      <c r="O88" s="273">
        <f>IF((ISERR(IRR($B$83:O83))),0,IF(IRR($B$83:O83)&lt;0,0,IRR($B$83:O83)))</f>
        <v>9.236556410753205E-2</v>
      </c>
      <c r="P88" s="273">
        <f>IF((ISERR(IRR($B$83:P83))),0,IF(IRR($B$83:P83)&lt;0,0,IRR($B$83:P83)))</f>
        <v>0.1012620784934537</v>
      </c>
      <c r="Q88" s="273">
        <f>IF((ISERR(IRR($B$83:Q83))),0,IF(IRR($B$83:Q83)&lt;0,0,IRR($B$83:Q83)))</f>
        <v>0.10862858948164344</v>
      </c>
      <c r="R88" s="273">
        <f>IF((ISERR(IRR($B$83:R83))),0,IF(IRR($B$83:R83)&lt;0,0,IRR($B$83:R83)))</f>
        <v>0.11477691113205224</v>
      </c>
      <c r="S88" s="273">
        <f>IF((ISERR(IRR($B$83:S83))),0,IF(IRR($B$83:S83)&lt;0,0,IRR($B$83:S83)))</f>
        <v>0.11994530078802068</v>
      </c>
      <c r="T88" s="273">
        <f>IF((ISERR(IRR($B$83:T83))),0,IF(IRR($B$83:T83)&lt;0,0,IRR($B$83:T83)))</f>
        <v>0.12431796900063752</v>
      </c>
      <c r="U88" s="273">
        <f>IF((ISERR(IRR($B$83:U83))),0,IF(IRR($B$83:U83)&lt;0,0,IRR($B$83:U83)))</f>
        <v>0.12803892536352945</v>
      </c>
      <c r="V88" s="273">
        <f>IF((ISERR(IRR($B$83:V83))),0,IF(IRR($B$83:V83)&lt;0,0,IRR($B$83:V83)))</f>
        <v>0.13120054362728895</v>
      </c>
      <c r="W88" s="273">
        <f>IF((ISERR(IRR($B$83:W83))),0,IF(IRR($B$83:W83)&lt;0,0,IRR($B$83:W83)))</f>
        <v>0.13393766852874278</v>
      </c>
      <c r="X88" s="273">
        <f>IF((ISERR(IRR($B$83:X83))),0,IF(IRR($B$83:X83)&lt;0,0,IRR($B$83:X83)))</f>
        <v>0.13630026965652497</v>
      </c>
      <c r="Y88" s="273">
        <f>IF((ISERR(IRR($B$83:Y83))),0,IF(IRR($B$83:Y83)&lt;0,0,IRR($B$83:Y83)))</f>
        <v>0.13834758867088559</v>
      </c>
      <c r="Z88" s="273">
        <f>IF((ISERR(IRR($B$83:Z83))),0,IF(IRR($B$83:Z83)&lt;0,0,IRR($B$83:Z83)))</f>
        <v>0.14012803488280334</v>
      </c>
      <c r="AA88" s="273">
        <f>IF((ISERR(IRR($B$83:AA83))),0,IF(IRR($B$83:AA83)&lt;0,0,IRR($B$83:AA83)))</f>
        <v>0.14168144318111264</v>
      </c>
      <c r="AB88" s="273">
        <f>IF((ISERR(IRR($B$83:AB83))),0,IF(IRR($B$83:AB83)&lt;0,0,IRR($B$83:AB83)))</f>
        <v>0.14304080533113517</v>
      </c>
      <c r="AC88" s="273">
        <f>IF((ISERR(IRR($B$83:AC83))),0,IF(IRR($B$83:AC83)&lt;0,0,IRR($B$83:AC83)))</f>
        <v>0.14422540722771471</v>
      </c>
      <c r="AD88" s="273">
        <f>IF((ISERR(IRR($B$83:AD83))),0,IF(IRR($B$83:AD83)&lt;0,0,IRR($B$83:AD83)))</f>
        <v>0.14527497557548918</v>
      </c>
      <c r="AE88" s="273">
        <f>IF((ISERR(IRR($B$83:AE83))),0,IF(IRR($B$83:AE83)&lt;0,0,IRR($B$83:AE83)))</f>
        <v>0.14620037391487473</v>
      </c>
      <c r="AF88" s="273">
        <f>IF((ISERR(IRR($B$83:AF83))),0,IF(IRR($B$83:AF83)&lt;0,0,IRR($B$83:AF83)))</f>
        <v>0.1470142306592388</v>
      </c>
      <c r="AG88" s="273">
        <f>IF((ISERR(IRR($B$83:AG83))),0,IF(IRR($B$83:AG83)&lt;0,0,IRR($B$83:AG83)))</f>
        <v>0.14773147997355118</v>
      </c>
      <c r="AH88" s="273">
        <f>IF((ISERR(IRR($B$83:AH83))),0,IF(IRR($B$83:AH83)&lt;0,0,IRR($B$83:AH83)))</f>
        <v>0.14836479455622587</v>
      </c>
      <c r="AI88" s="273">
        <f>IF((ISERR(IRR($B$83:AI83))),0,IF(IRR($B$83:AI83)&lt;0,0,IRR($B$83:AI83)))</f>
        <v>0.14892497476951205</v>
      </c>
      <c r="AJ88" s="273">
        <f>IF((ISERR(IRR($B$83:AJ83))),0,IF(IRR($B$83:AJ83)&lt;0,0,IRR($B$83:AJ83)))</f>
        <v>0.14941780415747163</v>
      </c>
      <c r="AK88" s="273">
        <f>IF((ISERR(IRR($B$83:AK83))),0,IF(IRR($B$83:AK83)&lt;0,0,IRR($B$83:AK83)))</f>
        <v>0.1498582036676146</v>
      </c>
      <c r="AL88" s="273">
        <f>IF((ISERR(IRR($B$83:AL83))),0,IF(IRR($B$83:AL83)&lt;0,0,IRR($B$83:AL83)))</f>
        <v>0.15024948024169671</v>
      </c>
      <c r="AM88" s="273">
        <f>IF((ISERR(IRR($B$83:AM83))),0,IF(IRR($B$83:AM83)&lt;0,0,IRR($B$83:AM83)))</f>
        <v>0.15059754905309863</v>
      </c>
      <c r="AN88" s="273">
        <f>IF((ISERR(IRR($B$83:AN83))),0,IF(IRR($B$83:AN83)&lt;0,0,IRR($B$83:AN83)))</f>
        <v>0.15090753947731494</v>
      </c>
      <c r="AO88" s="273">
        <f>IF((ISERR(IRR($B$83:AO83))),0,IF(IRR($B$83:AO83)&lt;0,0,IRR($B$83:AO83)))</f>
        <v>0.15118391184111268</v>
      </c>
      <c r="AP88" s="273">
        <f>IF((ISERR(IRR($B$83:AP83))),0,IF(IRR($B$83:AP83)&lt;0,0,IRR($B$83:AP83)))</f>
        <v>0.15143055473513778</v>
      </c>
    </row>
    <row r="89" spans="1:44" ht="14.25" x14ac:dyDescent="0.2">
      <c r="A89" s="266" t="s">
        <v>645</v>
      </c>
      <c r="B89" s="274">
        <f>IF(AND(B84&gt;0,A84&lt;0),(B74-(B84/(B84-A84))),0)</f>
        <v>0</v>
      </c>
      <c r="C89" s="274">
        <f t="shared" ref="C89:AP89" si="66">IF(AND(C84&gt;0,B84&lt;0),(C74-(C84/(C84-B84))),0)</f>
        <v>0</v>
      </c>
      <c r="D89" s="274">
        <f t="shared" si="66"/>
        <v>0</v>
      </c>
      <c r="E89" s="274">
        <f t="shared" si="66"/>
        <v>0</v>
      </c>
      <c r="F89" s="274">
        <f t="shared" si="66"/>
        <v>0</v>
      </c>
      <c r="G89" s="274">
        <f t="shared" si="66"/>
        <v>0</v>
      </c>
      <c r="H89" s="274">
        <f>IF(AND(H84&gt;0,G84&lt;0),(H74-(H84/(H84-G84))),0)</f>
        <v>0</v>
      </c>
      <c r="I89" s="274">
        <f t="shared" si="66"/>
        <v>0</v>
      </c>
      <c r="J89" s="274">
        <f t="shared" si="66"/>
        <v>8.851652940320454</v>
      </c>
      <c r="K89" s="274">
        <f t="shared" si="66"/>
        <v>0</v>
      </c>
      <c r="L89" s="274">
        <f>IF(AND(L84&gt;0,K84&lt;0),(L74-(L84/(L84-K84))),0)</f>
        <v>0</v>
      </c>
      <c r="M89" s="274">
        <f t="shared" si="66"/>
        <v>0</v>
      </c>
      <c r="N89" s="274">
        <f t="shared" si="66"/>
        <v>0</v>
      </c>
      <c r="O89" s="274">
        <f t="shared" si="66"/>
        <v>0</v>
      </c>
      <c r="P89" s="274">
        <f t="shared" si="66"/>
        <v>0</v>
      </c>
      <c r="Q89" s="274">
        <f t="shared" si="66"/>
        <v>0</v>
      </c>
      <c r="R89" s="274">
        <f t="shared" si="66"/>
        <v>0</v>
      </c>
      <c r="S89" s="274">
        <f t="shared" si="66"/>
        <v>0</v>
      </c>
      <c r="T89" s="274">
        <f t="shared" si="66"/>
        <v>0</v>
      </c>
      <c r="U89" s="274">
        <f t="shared" si="66"/>
        <v>0</v>
      </c>
      <c r="V89" s="274">
        <f t="shared" si="66"/>
        <v>0</v>
      </c>
      <c r="W89" s="274">
        <f t="shared" si="66"/>
        <v>0</v>
      </c>
      <c r="X89" s="274">
        <f t="shared" si="66"/>
        <v>0</v>
      </c>
      <c r="Y89" s="274">
        <f t="shared" si="66"/>
        <v>0</v>
      </c>
      <c r="Z89" s="274">
        <f t="shared" si="66"/>
        <v>0</v>
      </c>
      <c r="AA89" s="274">
        <f t="shared" si="66"/>
        <v>0</v>
      </c>
      <c r="AB89" s="274">
        <f t="shared" si="66"/>
        <v>0</v>
      </c>
      <c r="AC89" s="274">
        <f t="shared" si="66"/>
        <v>0</v>
      </c>
      <c r="AD89" s="274">
        <f t="shared" si="66"/>
        <v>0</v>
      </c>
      <c r="AE89" s="274">
        <f t="shared" si="66"/>
        <v>0</v>
      </c>
      <c r="AF89" s="274">
        <f t="shared" si="66"/>
        <v>0</v>
      </c>
      <c r="AG89" s="274">
        <f t="shared" si="66"/>
        <v>0</v>
      </c>
      <c r="AH89" s="274">
        <f t="shared" si="66"/>
        <v>0</v>
      </c>
      <c r="AI89" s="274">
        <f t="shared" si="66"/>
        <v>0</v>
      </c>
      <c r="AJ89" s="274">
        <f t="shared" si="66"/>
        <v>0</v>
      </c>
      <c r="AK89" s="274">
        <f t="shared" si="66"/>
        <v>0</v>
      </c>
      <c r="AL89" s="274">
        <f t="shared" si="66"/>
        <v>0</v>
      </c>
      <c r="AM89" s="274">
        <f t="shared" si="66"/>
        <v>0</v>
      </c>
      <c r="AN89" s="274">
        <f t="shared" si="66"/>
        <v>0</v>
      </c>
      <c r="AO89" s="274">
        <f t="shared" si="66"/>
        <v>0</v>
      </c>
      <c r="AP89" s="274">
        <f t="shared" si="66"/>
        <v>0</v>
      </c>
    </row>
    <row r="90" spans="1:44" ht="15" thickBot="1" x14ac:dyDescent="0.25">
      <c r="A90" s="275" t="s">
        <v>646</v>
      </c>
      <c r="B90" s="276">
        <f t="shared" ref="B90:AP90" si="67">IF(AND(B87&gt;0,A87&lt;0),(B74-(B87/(B87-A87))),0)</f>
        <v>0</v>
      </c>
      <c r="C90" s="276">
        <f t="shared" si="67"/>
        <v>0</v>
      </c>
      <c r="D90" s="276">
        <f t="shared" si="67"/>
        <v>0</v>
      </c>
      <c r="E90" s="276">
        <f t="shared" si="67"/>
        <v>0</v>
      </c>
      <c r="F90" s="276">
        <f t="shared" si="67"/>
        <v>0</v>
      </c>
      <c r="G90" s="276">
        <f t="shared" si="67"/>
        <v>0</v>
      </c>
      <c r="H90" s="276">
        <f t="shared" si="67"/>
        <v>0</v>
      </c>
      <c r="I90" s="276">
        <f t="shared" si="67"/>
        <v>0</v>
      </c>
      <c r="J90" s="276">
        <f t="shared" si="67"/>
        <v>0</v>
      </c>
      <c r="K90" s="276">
        <f t="shared" si="67"/>
        <v>0</v>
      </c>
      <c r="L90" s="276">
        <f t="shared" si="67"/>
        <v>0</v>
      </c>
      <c r="M90" s="276">
        <f t="shared" si="67"/>
        <v>0</v>
      </c>
      <c r="N90" s="276">
        <f t="shared" si="67"/>
        <v>0</v>
      </c>
      <c r="O90" s="276">
        <f t="shared" si="67"/>
        <v>0</v>
      </c>
      <c r="P90" s="276">
        <f t="shared" si="67"/>
        <v>0</v>
      </c>
      <c r="Q90" s="276">
        <f t="shared" si="67"/>
        <v>15.925443231043277</v>
      </c>
      <c r="R90" s="276">
        <f t="shared" si="67"/>
        <v>0</v>
      </c>
      <c r="S90" s="276">
        <f t="shared" si="67"/>
        <v>0</v>
      </c>
      <c r="T90" s="276">
        <f t="shared" si="67"/>
        <v>0</v>
      </c>
      <c r="U90" s="276">
        <f t="shared" si="67"/>
        <v>0</v>
      </c>
      <c r="V90" s="276">
        <f t="shared" si="67"/>
        <v>0</v>
      </c>
      <c r="W90" s="276">
        <f t="shared" si="67"/>
        <v>0</v>
      </c>
      <c r="X90" s="276">
        <f t="shared" si="67"/>
        <v>0</v>
      </c>
      <c r="Y90" s="276">
        <f t="shared" si="67"/>
        <v>0</v>
      </c>
      <c r="Z90" s="276">
        <f t="shared" si="67"/>
        <v>0</v>
      </c>
      <c r="AA90" s="276">
        <f t="shared" si="67"/>
        <v>0</v>
      </c>
      <c r="AB90" s="276">
        <f t="shared" si="67"/>
        <v>0</v>
      </c>
      <c r="AC90" s="276">
        <f t="shared" si="67"/>
        <v>0</v>
      </c>
      <c r="AD90" s="276">
        <f t="shared" si="67"/>
        <v>0</v>
      </c>
      <c r="AE90" s="276">
        <f t="shared" si="67"/>
        <v>0</v>
      </c>
      <c r="AF90" s="276">
        <f t="shared" si="67"/>
        <v>0</v>
      </c>
      <c r="AG90" s="276">
        <f t="shared" si="67"/>
        <v>0</v>
      </c>
      <c r="AH90" s="276">
        <f t="shared" si="67"/>
        <v>0</v>
      </c>
      <c r="AI90" s="276">
        <f t="shared" si="67"/>
        <v>0</v>
      </c>
      <c r="AJ90" s="276">
        <f t="shared" si="67"/>
        <v>0</v>
      </c>
      <c r="AK90" s="276">
        <f t="shared" si="67"/>
        <v>0</v>
      </c>
      <c r="AL90" s="276">
        <f t="shared" si="67"/>
        <v>0</v>
      </c>
      <c r="AM90" s="276">
        <f t="shared" si="67"/>
        <v>0</v>
      </c>
      <c r="AN90" s="276">
        <f t="shared" si="67"/>
        <v>0</v>
      </c>
      <c r="AO90" s="276">
        <f t="shared" si="67"/>
        <v>0</v>
      </c>
      <c r="AP90" s="276">
        <f t="shared" si="67"/>
        <v>0</v>
      </c>
    </row>
    <row r="91" spans="1:44" x14ac:dyDescent="0.2">
      <c r="B91" s="328">
        <v>2020</v>
      </c>
      <c r="C91" s="328">
        <f>B91+1</f>
        <v>2021</v>
      </c>
      <c r="D91" s="282">
        <f t="shared" ref="D91:AP91" si="68">C91+1</f>
        <v>2022</v>
      </c>
      <c r="E91" s="282">
        <f t="shared" si="68"/>
        <v>2023</v>
      </c>
      <c r="F91" s="282">
        <f t="shared" si="68"/>
        <v>2024</v>
      </c>
      <c r="G91" s="282">
        <f t="shared" si="68"/>
        <v>2025</v>
      </c>
      <c r="H91" s="282">
        <f t="shared" si="68"/>
        <v>2026</v>
      </c>
      <c r="I91" s="282">
        <f t="shared" si="68"/>
        <v>2027</v>
      </c>
      <c r="J91" s="282">
        <f t="shared" si="68"/>
        <v>2028</v>
      </c>
      <c r="K91" s="282">
        <f t="shared" si="68"/>
        <v>2029</v>
      </c>
      <c r="L91" s="282">
        <f t="shared" si="68"/>
        <v>2030</v>
      </c>
      <c r="M91" s="282">
        <f t="shared" si="68"/>
        <v>2031</v>
      </c>
      <c r="N91" s="282">
        <f t="shared" si="68"/>
        <v>2032</v>
      </c>
      <c r="O91" s="282">
        <f t="shared" si="68"/>
        <v>2033</v>
      </c>
      <c r="P91" s="282">
        <f t="shared" si="68"/>
        <v>2034</v>
      </c>
      <c r="Q91" s="282">
        <f t="shared" si="68"/>
        <v>2035</v>
      </c>
      <c r="R91" s="282">
        <f t="shared" si="68"/>
        <v>2036</v>
      </c>
      <c r="S91" s="282">
        <f t="shared" si="68"/>
        <v>2037</v>
      </c>
      <c r="T91" s="282">
        <f t="shared" si="68"/>
        <v>2038</v>
      </c>
      <c r="U91" s="282">
        <f t="shared" si="68"/>
        <v>2039</v>
      </c>
      <c r="V91" s="282">
        <f t="shared" si="68"/>
        <v>2040</v>
      </c>
      <c r="W91" s="282">
        <f t="shared" si="68"/>
        <v>2041</v>
      </c>
      <c r="X91" s="282">
        <f t="shared" si="68"/>
        <v>2042</v>
      </c>
      <c r="Y91" s="282">
        <f t="shared" si="68"/>
        <v>2043</v>
      </c>
      <c r="Z91" s="282">
        <f t="shared" si="68"/>
        <v>2044</v>
      </c>
      <c r="AA91" s="282">
        <f t="shared" si="68"/>
        <v>2045</v>
      </c>
      <c r="AB91" s="282">
        <f t="shared" si="68"/>
        <v>2046</v>
      </c>
      <c r="AC91" s="282">
        <f t="shared" si="68"/>
        <v>2047</v>
      </c>
      <c r="AD91" s="282">
        <f t="shared" si="68"/>
        <v>2048</v>
      </c>
      <c r="AE91" s="282">
        <f t="shared" si="68"/>
        <v>2049</v>
      </c>
      <c r="AF91" s="282">
        <f t="shared" si="68"/>
        <v>2050</v>
      </c>
      <c r="AG91" s="282">
        <f t="shared" si="68"/>
        <v>2051</v>
      </c>
      <c r="AH91" s="282">
        <f t="shared" si="68"/>
        <v>2052</v>
      </c>
      <c r="AI91" s="282">
        <f t="shared" si="68"/>
        <v>2053</v>
      </c>
      <c r="AJ91" s="282">
        <f t="shared" si="68"/>
        <v>2054</v>
      </c>
      <c r="AK91" s="282">
        <f t="shared" si="68"/>
        <v>2055</v>
      </c>
      <c r="AL91" s="282">
        <f t="shared" si="68"/>
        <v>2056</v>
      </c>
      <c r="AM91" s="282">
        <f t="shared" si="68"/>
        <v>2057</v>
      </c>
      <c r="AN91" s="282">
        <f t="shared" si="68"/>
        <v>2058</v>
      </c>
      <c r="AO91" s="282">
        <f t="shared" si="68"/>
        <v>2059</v>
      </c>
      <c r="AP91" s="282">
        <f t="shared" si="68"/>
        <v>2060</v>
      </c>
    </row>
    <row r="92" spans="1:44" ht="12.75" x14ac:dyDescent="0.2">
      <c r="A92" s="277" t="s">
        <v>647</v>
      </c>
      <c r="B92" s="278"/>
      <c r="C92" s="278"/>
      <c r="D92" s="278"/>
      <c r="E92" s="278"/>
      <c r="F92" s="278"/>
      <c r="G92" s="278"/>
      <c r="H92" s="278"/>
      <c r="I92" s="278"/>
      <c r="J92" s="278"/>
      <c r="K92" s="278"/>
      <c r="L92" s="278">
        <v>10</v>
      </c>
      <c r="M92" s="278"/>
      <c r="N92" s="278"/>
      <c r="O92" s="278"/>
      <c r="P92" s="278"/>
      <c r="Q92" s="278"/>
      <c r="R92" s="278"/>
      <c r="S92" s="278"/>
      <c r="T92" s="278"/>
      <c r="U92" s="278"/>
      <c r="V92" s="278"/>
      <c r="W92" s="278"/>
      <c r="X92" s="278"/>
      <c r="Y92" s="278"/>
      <c r="Z92" s="278"/>
      <c r="AA92" s="278">
        <v>25</v>
      </c>
      <c r="AB92" s="278"/>
      <c r="AC92" s="278"/>
      <c r="AD92" s="278"/>
      <c r="AE92" s="278"/>
      <c r="AF92" s="278">
        <v>30</v>
      </c>
      <c r="AG92" s="278"/>
      <c r="AH92" s="278"/>
      <c r="AI92" s="278"/>
      <c r="AJ92" s="278"/>
      <c r="AK92" s="278"/>
      <c r="AL92" s="278"/>
      <c r="AM92" s="278"/>
      <c r="AN92" s="278"/>
      <c r="AO92" s="278"/>
      <c r="AP92" s="278">
        <v>40</v>
      </c>
    </row>
    <row r="93" spans="1:44" ht="12.75" x14ac:dyDescent="0.2">
      <c r="A93" s="279" t="s">
        <v>648</v>
      </c>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c r="AA93" s="279"/>
      <c r="AB93" s="279"/>
      <c r="AC93" s="279"/>
      <c r="AD93" s="279"/>
      <c r="AE93" s="279"/>
      <c r="AF93" s="279"/>
      <c r="AG93" s="279"/>
      <c r="AH93" s="279"/>
      <c r="AI93" s="279"/>
      <c r="AJ93" s="279"/>
      <c r="AK93" s="279"/>
      <c r="AL93" s="279"/>
      <c r="AM93" s="279"/>
      <c r="AN93" s="279"/>
      <c r="AO93" s="279"/>
      <c r="AP93" s="279"/>
    </row>
    <row r="94" spans="1:44" ht="12.75" x14ac:dyDescent="0.2">
      <c r="A94" s="279" t="s">
        <v>649</v>
      </c>
      <c r="B94" s="279"/>
      <c r="C94" s="279"/>
      <c r="D94" s="279"/>
      <c r="E94" s="279"/>
      <c r="F94" s="279"/>
      <c r="G94" s="279"/>
      <c r="H94" s="279"/>
      <c r="I94" s="279"/>
      <c r="J94" s="279"/>
      <c r="K94" s="279"/>
      <c r="L94" s="279"/>
      <c r="M94" s="279"/>
      <c r="N94" s="279"/>
      <c r="O94" s="279"/>
      <c r="P94" s="279"/>
      <c r="Q94" s="279"/>
      <c r="R94" s="279"/>
      <c r="S94" s="279"/>
      <c r="T94" s="279"/>
      <c r="U94" s="279"/>
      <c r="V94" s="279"/>
      <c r="W94" s="279"/>
      <c r="X94" s="279"/>
      <c r="Y94" s="279"/>
      <c r="Z94" s="279"/>
      <c r="AA94" s="279"/>
      <c r="AB94" s="279"/>
      <c r="AC94" s="279"/>
      <c r="AD94" s="279"/>
      <c r="AE94" s="279"/>
      <c r="AF94" s="279"/>
      <c r="AG94" s="279"/>
      <c r="AH94" s="279"/>
      <c r="AI94" s="279"/>
      <c r="AJ94" s="279"/>
      <c r="AK94" s="279"/>
      <c r="AL94" s="279"/>
      <c r="AM94" s="279"/>
      <c r="AN94" s="279"/>
      <c r="AO94" s="279"/>
      <c r="AP94" s="279"/>
    </row>
    <row r="95" spans="1:44" ht="12.75" x14ac:dyDescent="0.2">
      <c r="A95" s="279" t="s">
        <v>650</v>
      </c>
      <c r="B95" s="279"/>
      <c r="C95" s="279"/>
      <c r="D95" s="279"/>
      <c r="E95" s="279"/>
      <c r="F95" s="279"/>
      <c r="G95" s="279"/>
      <c r="H95" s="279"/>
      <c r="I95" s="279"/>
      <c r="J95" s="279"/>
      <c r="K95" s="279"/>
      <c r="L95" s="279"/>
      <c r="M95" s="279"/>
      <c r="N95" s="279"/>
      <c r="O95" s="279"/>
      <c r="P95" s="279"/>
      <c r="Q95" s="279"/>
      <c r="R95" s="279"/>
      <c r="S95" s="279"/>
      <c r="T95" s="279"/>
      <c r="U95" s="279"/>
      <c r="V95" s="279"/>
      <c r="W95" s="279"/>
      <c r="X95" s="279"/>
      <c r="Y95" s="279"/>
      <c r="Z95" s="279"/>
      <c r="AA95" s="279"/>
      <c r="AB95" s="279"/>
      <c r="AC95" s="279"/>
      <c r="AD95" s="279"/>
      <c r="AE95" s="279"/>
      <c r="AF95" s="279"/>
      <c r="AG95" s="279"/>
      <c r="AH95" s="279"/>
      <c r="AI95" s="279"/>
      <c r="AJ95" s="279"/>
      <c r="AK95" s="279"/>
      <c r="AL95" s="279"/>
      <c r="AM95" s="279"/>
      <c r="AN95" s="279"/>
      <c r="AO95" s="279"/>
      <c r="AP95" s="279"/>
    </row>
    <row r="96" spans="1:44" ht="12.75" x14ac:dyDescent="0.2">
      <c r="A96" s="278" t="s">
        <v>651</v>
      </c>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c r="AH96" s="278"/>
      <c r="AI96" s="278"/>
      <c r="AJ96" s="278"/>
      <c r="AK96" s="278"/>
      <c r="AL96" s="278"/>
      <c r="AM96" s="278"/>
      <c r="AN96" s="278"/>
      <c r="AO96" s="278"/>
      <c r="AP96" s="278"/>
    </row>
    <row r="97" spans="1:43" ht="33.75" customHeight="1" x14ac:dyDescent="0.2">
      <c r="A97" s="455" t="s">
        <v>652</v>
      </c>
      <c r="B97" s="455"/>
      <c r="C97" s="455"/>
      <c r="D97" s="455"/>
      <c r="E97" s="455"/>
      <c r="F97" s="455"/>
      <c r="G97" s="455"/>
      <c r="H97" s="455"/>
      <c r="I97" s="455"/>
      <c r="J97" s="455"/>
      <c r="K97" s="455"/>
      <c r="L97" s="455"/>
    </row>
    <row r="98" spans="1:43" ht="16.5" hidden="1" thickBot="1" x14ac:dyDescent="0.25">
      <c r="C98" s="329"/>
    </row>
    <row r="99" spans="1:43" s="333" customFormat="1" ht="16.5" hidden="1" thickTop="1" x14ac:dyDescent="0.2">
      <c r="A99" s="330" t="s">
        <v>653</v>
      </c>
      <c r="B99" s="331">
        <f>B81*B85</f>
        <v>-206915533.11351556</v>
      </c>
      <c r="C99" s="331">
        <f>C81*C85</f>
        <v>-198038390.99999997</v>
      </c>
      <c r="D99" s="331">
        <f t="shared" ref="D99:AP99" si="69">D81*D85</f>
        <v>0</v>
      </c>
      <c r="E99" s="331">
        <f t="shared" si="69"/>
        <v>0</v>
      </c>
      <c r="F99" s="331">
        <f t="shared" si="69"/>
        <v>0</v>
      </c>
      <c r="G99" s="331">
        <f t="shared" si="69"/>
        <v>0</v>
      </c>
      <c r="H99" s="331">
        <f t="shared" si="69"/>
        <v>0</v>
      </c>
      <c r="I99" s="331">
        <f t="shared" si="69"/>
        <v>0</v>
      </c>
      <c r="J99" s="331">
        <f>J81*J85</f>
        <v>0</v>
      </c>
      <c r="K99" s="331">
        <f t="shared" si="69"/>
        <v>0</v>
      </c>
      <c r="L99" s="331">
        <f>L81*L85</f>
        <v>0</v>
      </c>
      <c r="M99" s="331">
        <f t="shared" si="69"/>
        <v>0</v>
      </c>
      <c r="N99" s="331">
        <f t="shared" si="69"/>
        <v>0</v>
      </c>
      <c r="O99" s="331">
        <f t="shared" si="69"/>
        <v>0</v>
      </c>
      <c r="P99" s="331">
        <f t="shared" si="69"/>
        <v>0</v>
      </c>
      <c r="Q99" s="331">
        <f t="shared" si="69"/>
        <v>0</v>
      </c>
      <c r="R99" s="331">
        <f t="shared" si="69"/>
        <v>0</v>
      </c>
      <c r="S99" s="331">
        <f t="shared" si="69"/>
        <v>0</v>
      </c>
      <c r="T99" s="331">
        <f t="shared" si="69"/>
        <v>0</v>
      </c>
      <c r="U99" s="331">
        <f t="shared" si="69"/>
        <v>0</v>
      </c>
      <c r="V99" s="331">
        <f t="shared" si="69"/>
        <v>0</v>
      </c>
      <c r="W99" s="331">
        <f t="shared" si="69"/>
        <v>0</v>
      </c>
      <c r="X99" s="331">
        <f t="shared" si="69"/>
        <v>0</v>
      </c>
      <c r="Y99" s="331">
        <f t="shared" si="69"/>
        <v>0</v>
      </c>
      <c r="Z99" s="331">
        <f t="shared" si="69"/>
        <v>0</v>
      </c>
      <c r="AA99" s="331">
        <f t="shared" si="69"/>
        <v>0</v>
      </c>
      <c r="AB99" s="331">
        <f t="shared" si="69"/>
        <v>0</v>
      </c>
      <c r="AC99" s="331">
        <f t="shared" si="69"/>
        <v>0</v>
      </c>
      <c r="AD99" s="331">
        <f t="shared" si="69"/>
        <v>0</v>
      </c>
      <c r="AE99" s="331">
        <f t="shared" si="69"/>
        <v>0</v>
      </c>
      <c r="AF99" s="331">
        <f t="shared" si="69"/>
        <v>0</v>
      </c>
      <c r="AG99" s="331">
        <f t="shared" si="69"/>
        <v>0</v>
      </c>
      <c r="AH99" s="331">
        <f t="shared" si="69"/>
        <v>0</v>
      </c>
      <c r="AI99" s="331">
        <f t="shared" si="69"/>
        <v>0</v>
      </c>
      <c r="AJ99" s="331">
        <f t="shared" si="69"/>
        <v>0</v>
      </c>
      <c r="AK99" s="331">
        <f t="shared" si="69"/>
        <v>0</v>
      </c>
      <c r="AL99" s="331">
        <f t="shared" si="69"/>
        <v>0</v>
      </c>
      <c r="AM99" s="331">
        <f t="shared" si="69"/>
        <v>0</v>
      </c>
      <c r="AN99" s="331">
        <f t="shared" si="69"/>
        <v>0</v>
      </c>
      <c r="AO99" s="331">
        <f t="shared" si="69"/>
        <v>0</v>
      </c>
      <c r="AP99" s="331">
        <f t="shared" si="69"/>
        <v>0</v>
      </c>
      <c r="AQ99" s="332">
        <f>SUM(B99:AP99)</f>
        <v>-404953924.1135155</v>
      </c>
    </row>
    <row r="100" spans="1:43" hidden="1" x14ac:dyDescent="0.2">
      <c r="A100" s="334">
        <f>AQ99</f>
        <v>-404953924.1135155</v>
      </c>
    </row>
    <row r="101" spans="1:43" hidden="1" x14ac:dyDescent="0.2">
      <c r="A101" s="334">
        <f>AP87</f>
        <v>275930035.77880478</v>
      </c>
    </row>
    <row r="102" spans="1:43" hidden="1" x14ac:dyDescent="0.2">
      <c r="A102" s="294" t="s">
        <v>654</v>
      </c>
      <c r="B102" s="335">
        <f>(A101+-A100)/-A100</f>
        <v>1.6813862500106478</v>
      </c>
    </row>
    <row r="103" spans="1:43" hidden="1" x14ac:dyDescent="0.2"/>
    <row r="104" spans="1:43" ht="12.75" hidden="1" x14ac:dyDescent="0.2">
      <c r="A104" s="280" t="s">
        <v>655</v>
      </c>
      <c r="B104" s="280" t="s">
        <v>656</v>
      </c>
      <c r="C104" s="280" t="s">
        <v>657</v>
      </c>
      <c r="D104" s="280" t="s">
        <v>658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row>
    <row r="105" spans="1:43" ht="12.75" hidden="1" x14ac:dyDescent="0.2">
      <c r="A105" s="336">
        <f>G30/1000/1000</f>
        <v>-107.44919950452986</v>
      </c>
      <c r="B105" s="337">
        <f>L88</f>
        <v>5.1728998619082756E-2</v>
      </c>
      <c r="C105" s="338">
        <f>G28</f>
        <v>8.851652940320454</v>
      </c>
      <c r="D105" s="338" t="str">
        <f>G29</f>
        <v>не окупается</v>
      </c>
      <c r="E105" s="283" t="s">
        <v>659</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row>
    <row r="106" spans="1:43" ht="12.75" hidden="1" x14ac:dyDescent="0.2">
      <c r="A106" s="33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row>
    <row r="107" spans="1:43" ht="12.75" hidden="1" x14ac:dyDescent="0.2">
      <c r="A107" s="340"/>
      <c r="B107" s="341">
        <v>2016</v>
      </c>
      <c r="C107" s="341">
        <v>2017</v>
      </c>
      <c r="D107" s="341">
        <f t="shared" ref="D107:AP107" si="70">C107+1</f>
        <v>2018</v>
      </c>
      <c r="E107" s="341">
        <f t="shared" si="70"/>
        <v>2019</v>
      </c>
      <c r="F107" s="341">
        <f t="shared" si="70"/>
        <v>2020</v>
      </c>
      <c r="G107" s="341">
        <f t="shared" si="70"/>
        <v>2021</v>
      </c>
      <c r="H107" s="341">
        <f t="shared" si="70"/>
        <v>2022</v>
      </c>
      <c r="I107" s="341">
        <f t="shared" si="70"/>
        <v>2023</v>
      </c>
      <c r="J107" s="341">
        <f t="shared" si="70"/>
        <v>2024</v>
      </c>
      <c r="K107" s="341">
        <f t="shared" si="70"/>
        <v>2025</v>
      </c>
      <c r="L107" s="341">
        <f t="shared" si="70"/>
        <v>2026</v>
      </c>
      <c r="M107" s="341">
        <f t="shared" si="70"/>
        <v>2027</v>
      </c>
      <c r="N107" s="341">
        <f t="shared" si="70"/>
        <v>2028</v>
      </c>
      <c r="O107" s="341">
        <f t="shared" si="70"/>
        <v>2029</v>
      </c>
      <c r="P107" s="341">
        <f t="shared" si="70"/>
        <v>2030</v>
      </c>
      <c r="Q107" s="341">
        <f t="shared" si="70"/>
        <v>2031</v>
      </c>
      <c r="R107" s="341">
        <f t="shared" si="70"/>
        <v>2032</v>
      </c>
      <c r="S107" s="341">
        <f t="shared" si="70"/>
        <v>2033</v>
      </c>
      <c r="T107" s="341">
        <f t="shared" si="70"/>
        <v>2034</v>
      </c>
      <c r="U107" s="341">
        <f t="shared" si="70"/>
        <v>2035</v>
      </c>
      <c r="V107" s="341">
        <f t="shared" si="70"/>
        <v>2036</v>
      </c>
      <c r="W107" s="341">
        <f t="shared" si="70"/>
        <v>2037</v>
      </c>
      <c r="X107" s="341">
        <f t="shared" si="70"/>
        <v>2038</v>
      </c>
      <c r="Y107" s="341">
        <f t="shared" si="70"/>
        <v>2039</v>
      </c>
      <c r="Z107" s="341">
        <f t="shared" si="70"/>
        <v>2040</v>
      </c>
      <c r="AA107" s="341">
        <f t="shared" si="70"/>
        <v>2041</v>
      </c>
      <c r="AB107" s="341">
        <f t="shared" si="70"/>
        <v>2042</v>
      </c>
      <c r="AC107" s="341">
        <f t="shared" si="70"/>
        <v>2043</v>
      </c>
      <c r="AD107" s="341">
        <f t="shared" si="70"/>
        <v>2044</v>
      </c>
      <c r="AE107" s="341">
        <f t="shared" si="70"/>
        <v>2045</v>
      </c>
      <c r="AF107" s="341">
        <f t="shared" si="70"/>
        <v>2046</v>
      </c>
      <c r="AG107" s="341">
        <f t="shared" si="70"/>
        <v>2047</v>
      </c>
      <c r="AH107" s="341">
        <f t="shared" si="70"/>
        <v>2048</v>
      </c>
      <c r="AI107" s="341">
        <f t="shared" si="70"/>
        <v>2049</v>
      </c>
      <c r="AJ107" s="341">
        <f t="shared" si="70"/>
        <v>2050</v>
      </c>
      <c r="AK107" s="341">
        <f t="shared" si="70"/>
        <v>2051</v>
      </c>
      <c r="AL107" s="341">
        <f t="shared" si="70"/>
        <v>2052</v>
      </c>
      <c r="AM107" s="341">
        <f t="shared" si="70"/>
        <v>2053</v>
      </c>
      <c r="AN107" s="341">
        <f t="shared" si="70"/>
        <v>2054</v>
      </c>
      <c r="AO107" s="341">
        <f t="shared" si="70"/>
        <v>2055</v>
      </c>
      <c r="AP107" s="341">
        <f t="shared" si="70"/>
        <v>2056</v>
      </c>
    </row>
    <row r="108" spans="1:43" ht="12.75" hidden="1" x14ac:dyDescent="0.2">
      <c r="A108" s="342" t="s">
        <v>686</v>
      </c>
      <c r="B108" s="343"/>
      <c r="C108" s="343">
        <f>C109*$B$111*$B$112*1000</f>
        <v>0</v>
      </c>
      <c r="D108" s="343">
        <f>D109*$B$111*$B$112*1000</f>
        <v>0</v>
      </c>
      <c r="E108" s="343">
        <f>E109*$B$111*$B$112*1000</f>
        <v>0</v>
      </c>
      <c r="F108" s="343">
        <f t="shared" ref="F108:AP108" si="71">F109*$B$111*$B$112*1000</f>
        <v>0</v>
      </c>
      <c r="G108" s="343">
        <f>G109*$B$111*$B$112*B110*1000</f>
        <v>36089468.911872007</v>
      </c>
      <c r="H108" s="343">
        <f t="shared" si="71"/>
        <v>41231248.084800005</v>
      </c>
      <c r="I108" s="343">
        <f t="shared" si="71"/>
        <v>43656615.619200006</v>
      </c>
      <c r="J108" s="343">
        <f t="shared" si="71"/>
        <v>46081983.153600007</v>
      </c>
      <c r="K108" s="343">
        <f t="shared" si="71"/>
        <v>47537203.674240001</v>
      </c>
      <c r="L108" s="343">
        <f t="shared" si="71"/>
        <v>48507350.688000001</v>
      </c>
      <c r="M108" s="343">
        <f t="shared" si="71"/>
        <v>48507350.688000001</v>
      </c>
      <c r="N108" s="343">
        <f t="shared" si="71"/>
        <v>48507350.688000001</v>
      </c>
      <c r="O108" s="343">
        <f t="shared" si="71"/>
        <v>48507350.688000001</v>
      </c>
      <c r="P108" s="343">
        <f t="shared" si="71"/>
        <v>48507350.688000001</v>
      </c>
      <c r="Q108" s="343">
        <f t="shared" si="71"/>
        <v>48507350.688000001</v>
      </c>
      <c r="R108" s="343">
        <f t="shared" si="71"/>
        <v>48507350.688000001</v>
      </c>
      <c r="S108" s="343">
        <f t="shared" si="71"/>
        <v>48507350.688000001</v>
      </c>
      <c r="T108" s="343">
        <f t="shared" si="71"/>
        <v>48507350.688000001</v>
      </c>
      <c r="U108" s="343">
        <f t="shared" si="71"/>
        <v>48507350.688000001</v>
      </c>
      <c r="V108" s="343">
        <f t="shared" si="71"/>
        <v>48507350.688000001</v>
      </c>
      <c r="W108" s="343">
        <f t="shared" si="71"/>
        <v>48507350.688000001</v>
      </c>
      <c r="X108" s="343">
        <f t="shared" si="71"/>
        <v>48507350.688000001</v>
      </c>
      <c r="Y108" s="343">
        <f t="shared" si="71"/>
        <v>48507350.688000001</v>
      </c>
      <c r="Z108" s="343">
        <f t="shared" si="71"/>
        <v>48507350.688000001</v>
      </c>
      <c r="AA108" s="343">
        <f t="shared" si="71"/>
        <v>48507350.688000001</v>
      </c>
      <c r="AB108" s="343">
        <f t="shared" si="71"/>
        <v>48507350.688000001</v>
      </c>
      <c r="AC108" s="343">
        <f t="shared" si="71"/>
        <v>48507350.688000001</v>
      </c>
      <c r="AD108" s="343">
        <f t="shared" si="71"/>
        <v>48507350.688000001</v>
      </c>
      <c r="AE108" s="343">
        <f t="shared" si="71"/>
        <v>48507350.688000001</v>
      </c>
      <c r="AF108" s="343">
        <f t="shared" si="71"/>
        <v>48507350.688000001</v>
      </c>
      <c r="AG108" s="343">
        <f t="shared" si="71"/>
        <v>48507350.688000001</v>
      </c>
      <c r="AH108" s="343">
        <f t="shared" si="71"/>
        <v>48507350.688000001</v>
      </c>
      <c r="AI108" s="343">
        <f t="shared" si="71"/>
        <v>48507350.688000001</v>
      </c>
      <c r="AJ108" s="343">
        <f t="shared" si="71"/>
        <v>48507350.688000001</v>
      </c>
      <c r="AK108" s="343">
        <f t="shared" si="71"/>
        <v>48507350.688000001</v>
      </c>
      <c r="AL108" s="343">
        <f t="shared" si="71"/>
        <v>48507350.688000001</v>
      </c>
      <c r="AM108" s="343">
        <f t="shared" si="71"/>
        <v>48507350.688000001</v>
      </c>
      <c r="AN108" s="343">
        <f t="shared" si="71"/>
        <v>48507350.688000001</v>
      </c>
      <c r="AO108" s="343">
        <f t="shared" si="71"/>
        <v>48507350.688000001</v>
      </c>
      <c r="AP108" s="343">
        <f t="shared" si="71"/>
        <v>48507350.688000001</v>
      </c>
    </row>
    <row r="109" spans="1:43" ht="12.75" hidden="1" x14ac:dyDescent="0.2">
      <c r="A109" s="342" t="s">
        <v>660</v>
      </c>
      <c r="B109" s="341"/>
      <c r="C109" s="341">
        <f t="shared" ref="C109:H109" si="72">B109+$I$120*C113</f>
        <v>0</v>
      </c>
      <c r="D109" s="341">
        <f t="shared" si="72"/>
        <v>0</v>
      </c>
      <c r="E109" s="341">
        <f t="shared" si="72"/>
        <v>0</v>
      </c>
      <c r="F109" s="341">
        <f t="shared" si="72"/>
        <v>0</v>
      </c>
      <c r="G109" s="341">
        <f t="shared" si="72"/>
        <v>11.904000000000002</v>
      </c>
      <c r="H109" s="341">
        <f t="shared" si="72"/>
        <v>12.648000000000001</v>
      </c>
      <c r="I109" s="341">
        <f t="shared" ref="I109:AP109" si="73">H109+$I$120*I113</f>
        <v>13.392000000000001</v>
      </c>
      <c r="J109" s="341">
        <f t="shared" si="73"/>
        <v>14.136000000000001</v>
      </c>
      <c r="K109" s="341">
        <f t="shared" si="73"/>
        <v>14.582400000000002</v>
      </c>
      <c r="L109" s="341">
        <f t="shared" si="73"/>
        <v>14.88</v>
      </c>
      <c r="M109" s="341">
        <f t="shared" si="73"/>
        <v>14.88</v>
      </c>
      <c r="N109" s="341">
        <f t="shared" si="73"/>
        <v>14.88</v>
      </c>
      <c r="O109" s="341">
        <f t="shared" si="73"/>
        <v>14.88</v>
      </c>
      <c r="P109" s="341">
        <f t="shared" si="73"/>
        <v>14.88</v>
      </c>
      <c r="Q109" s="341">
        <f t="shared" si="73"/>
        <v>14.88</v>
      </c>
      <c r="R109" s="341">
        <f t="shared" si="73"/>
        <v>14.88</v>
      </c>
      <c r="S109" s="341">
        <f t="shared" si="73"/>
        <v>14.88</v>
      </c>
      <c r="T109" s="341">
        <f t="shared" si="73"/>
        <v>14.88</v>
      </c>
      <c r="U109" s="341">
        <f t="shared" si="73"/>
        <v>14.88</v>
      </c>
      <c r="V109" s="341">
        <f t="shared" si="73"/>
        <v>14.88</v>
      </c>
      <c r="W109" s="341">
        <f t="shared" si="73"/>
        <v>14.88</v>
      </c>
      <c r="X109" s="341">
        <f t="shared" si="73"/>
        <v>14.88</v>
      </c>
      <c r="Y109" s="341">
        <f t="shared" si="73"/>
        <v>14.88</v>
      </c>
      <c r="Z109" s="341">
        <f t="shared" si="73"/>
        <v>14.88</v>
      </c>
      <c r="AA109" s="341">
        <f t="shared" si="73"/>
        <v>14.88</v>
      </c>
      <c r="AB109" s="341">
        <f t="shared" si="73"/>
        <v>14.88</v>
      </c>
      <c r="AC109" s="341">
        <f t="shared" si="73"/>
        <v>14.88</v>
      </c>
      <c r="AD109" s="341">
        <f t="shared" si="73"/>
        <v>14.88</v>
      </c>
      <c r="AE109" s="341">
        <f t="shared" si="73"/>
        <v>14.88</v>
      </c>
      <c r="AF109" s="341">
        <f t="shared" si="73"/>
        <v>14.88</v>
      </c>
      <c r="AG109" s="341">
        <f t="shared" si="73"/>
        <v>14.88</v>
      </c>
      <c r="AH109" s="341">
        <f t="shared" si="73"/>
        <v>14.88</v>
      </c>
      <c r="AI109" s="341">
        <f t="shared" si="73"/>
        <v>14.88</v>
      </c>
      <c r="AJ109" s="341">
        <f t="shared" si="73"/>
        <v>14.88</v>
      </c>
      <c r="AK109" s="341">
        <f t="shared" si="73"/>
        <v>14.88</v>
      </c>
      <c r="AL109" s="341">
        <f t="shared" si="73"/>
        <v>14.88</v>
      </c>
      <c r="AM109" s="341">
        <f t="shared" si="73"/>
        <v>14.88</v>
      </c>
      <c r="AN109" s="341">
        <f t="shared" si="73"/>
        <v>14.88</v>
      </c>
      <c r="AO109" s="341">
        <f t="shared" si="73"/>
        <v>14.88</v>
      </c>
      <c r="AP109" s="341">
        <f t="shared" si="73"/>
        <v>14.88</v>
      </c>
    </row>
    <row r="110" spans="1:43" ht="12.75" hidden="1" x14ac:dyDescent="0.2">
      <c r="A110" s="342" t="s">
        <v>661</v>
      </c>
      <c r="B110" s="340">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row>
    <row r="111" spans="1:43" ht="12.75" hidden="1" x14ac:dyDescent="0.2">
      <c r="A111" s="342" t="s">
        <v>662</v>
      </c>
      <c r="B111" s="340">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row>
    <row r="112" spans="1:43" ht="12.75" hidden="1" x14ac:dyDescent="0.2">
      <c r="A112" s="342" t="s">
        <v>663</v>
      </c>
      <c r="B112" s="341">
        <f>$B$131</f>
        <v>0.74426999999999999</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row>
    <row r="113" spans="1:42" ht="15" hidden="1" x14ac:dyDescent="0.2">
      <c r="A113" s="344" t="s">
        <v>664</v>
      </c>
      <c r="B113" s="345">
        <v>0</v>
      </c>
      <c r="C113" s="281">
        <v>0</v>
      </c>
      <c r="D113" s="281">
        <v>0</v>
      </c>
      <c r="E113" s="281">
        <v>0</v>
      </c>
      <c r="F113" s="345">
        <v>0</v>
      </c>
      <c r="G113" s="345">
        <v>0.8</v>
      </c>
      <c r="H113" s="345">
        <v>0.05</v>
      </c>
      <c r="I113" s="345">
        <v>0.05</v>
      </c>
      <c r="J113" s="345">
        <v>0.05</v>
      </c>
      <c r="K113" s="345">
        <v>0.03</v>
      </c>
      <c r="L113" s="345">
        <v>0.02</v>
      </c>
      <c r="M113" s="345">
        <v>0</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row>
    <row r="114" spans="1:42" ht="12.75" hidden="1" x14ac:dyDescent="0.2">
      <c r="A114" s="33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row>
    <row r="115" spans="1:42" ht="12.75" hidden="1" x14ac:dyDescent="0.2">
      <c r="A115" s="33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row>
    <row r="116" spans="1:42" ht="12.75" hidden="1" x14ac:dyDescent="0.2">
      <c r="A116" s="340"/>
      <c r="B116" s="456" t="s">
        <v>665</v>
      </c>
      <c r="C116" s="457"/>
      <c r="D116" s="456" t="s">
        <v>666</v>
      </c>
      <c r="E116" s="457"/>
      <c r="F116" s="340"/>
      <c r="G116" s="340"/>
      <c r="H116" s="340"/>
      <c r="I116" s="340"/>
      <c r="J116" s="34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row>
    <row r="117" spans="1:42" ht="12.75" hidden="1" x14ac:dyDescent="0.2">
      <c r="A117" s="342" t="s">
        <v>667</v>
      </c>
      <c r="B117" s="340"/>
      <c r="C117" s="340" t="s">
        <v>668</v>
      </c>
      <c r="D117" s="340">
        <v>16</v>
      </c>
      <c r="E117" s="340" t="s">
        <v>668</v>
      </c>
      <c r="F117" s="340"/>
      <c r="G117" s="340"/>
      <c r="H117" s="340"/>
      <c r="I117" s="340"/>
      <c r="J117" s="34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row>
    <row r="118" spans="1:42" ht="25.5" hidden="1" x14ac:dyDescent="0.2">
      <c r="A118" s="342" t="s">
        <v>667</v>
      </c>
      <c r="B118" s="340">
        <f>$B$110*B117</f>
        <v>0</v>
      </c>
      <c r="C118" s="340" t="s">
        <v>126</v>
      </c>
      <c r="D118" s="340">
        <f>$B$110*D117</f>
        <v>14.88</v>
      </c>
      <c r="E118" s="340" t="s">
        <v>126</v>
      </c>
      <c r="F118" s="342" t="s">
        <v>669</v>
      </c>
      <c r="G118" s="340">
        <f>D117-B117</f>
        <v>16</v>
      </c>
      <c r="H118" s="340" t="s">
        <v>668</v>
      </c>
      <c r="I118" s="340">
        <f>$B$110*G118</f>
        <v>14.88</v>
      </c>
      <c r="J118" s="340"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row>
    <row r="119" spans="1:42" ht="25.5" hidden="1" x14ac:dyDescent="0.2">
      <c r="A119" s="340"/>
      <c r="B119" s="340"/>
      <c r="C119" s="340"/>
      <c r="D119" s="340"/>
      <c r="E119" s="340"/>
      <c r="F119" s="342" t="s">
        <v>670</v>
      </c>
      <c r="G119" s="346">
        <f>I119/$B$110</f>
        <v>11.29032258064516</v>
      </c>
      <c r="H119" s="340" t="s">
        <v>668</v>
      </c>
      <c r="I119" s="340">
        <f>'2. паспорт  ТП'!H22</f>
        <v>10.5</v>
      </c>
      <c r="J119" s="340"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row>
    <row r="120" spans="1:42" ht="38.25" hidden="1" x14ac:dyDescent="0.2">
      <c r="A120" s="347"/>
      <c r="B120" s="348"/>
      <c r="C120" s="348"/>
      <c r="D120" s="348"/>
      <c r="E120" s="348"/>
      <c r="F120" s="349" t="s">
        <v>671</v>
      </c>
      <c r="G120" s="340">
        <f>G118</f>
        <v>16</v>
      </c>
      <c r="H120" s="340" t="s">
        <v>668</v>
      </c>
      <c r="I120" s="340">
        <f>I118</f>
        <v>14.88</v>
      </c>
      <c r="J120" s="340"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row>
    <row r="121" spans="1:42" ht="13.5" hidden="1" thickBot="1" x14ac:dyDescent="0.25">
      <c r="A121" s="339"/>
      <c r="B121" s="283"/>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row>
    <row r="122" spans="1:42" hidden="1" x14ac:dyDescent="0.2">
      <c r="A122" s="347" t="s">
        <v>672</v>
      </c>
      <c r="B122" s="350">
        <f>B126/1000000</f>
        <v>414.924959</v>
      </c>
      <c r="C122" s="283"/>
      <c r="D122" s="445" t="s">
        <v>284</v>
      </c>
      <c r="E122" s="299" t="s">
        <v>673</v>
      </c>
      <c r="F122" s="282">
        <v>35</v>
      </c>
      <c r="G122" s="446"/>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row>
    <row r="123" spans="1:42" hidden="1" x14ac:dyDescent="0.2">
      <c r="A123" s="347" t="s">
        <v>284</v>
      </c>
      <c r="B123" s="351">
        <v>30</v>
      </c>
      <c r="C123" s="283"/>
      <c r="D123" s="445"/>
      <c r="E123" s="299" t="s">
        <v>674</v>
      </c>
      <c r="F123" s="282">
        <v>30</v>
      </c>
      <c r="G123" s="446"/>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row>
    <row r="124" spans="1:42" hidden="1" x14ac:dyDescent="0.2">
      <c r="A124" s="347" t="s">
        <v>675</v>
      </c>
      <c r="B124" s="351" t="s">
        <v>437</v>
      </c>
      <c r="C124" s="352" t="s">
        <v>676</v>
      </c>
      <c r="D124" s="445"/>
      <c r="E124" s="299" t="s">
        <v>677</v>
      </c>
      <c r="F124" s="282">
        <v>30</v>
      </c>
      <c r="G124" s="446"/>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row>
    <row r="125" spans="1:42" hidden="1" x14ac:dyDescent="0.2">
      <c r="A125" s="353"/>
      <c r="B125" s="354"/>
      <c r="C125" s="352"/>
      <c r="D125" s="445"/>
      <c r="E125" s="299" t="s">
        <v>678</v>
      </c>
      <c r="F125" s="282">
        <v>30</v>
      </c>
      <c r="G125" s="446"/>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row>
    <row r="126" spans="1:42" ht="12.75" hidden="1" x14ac:dyDescent="0.2">
      <c r="A126" s="347" t="s">
        <v>679</v>
      </c>
      <c r="B126" s="355">
        <f>B128*1000000</f>
        <v>414924959</v>
      </c>
      <c r="C126" s="355"/>
      <c r="D126" s="355"/>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row>
    <row r="127" spans="1:42" ht="12.75" hidden="1" x14ac:dyDescent="0.2">
      <c r="A127" s="347" t="s">
        <v>680</v>
      </c>
      <c r="B127" s="356">
        <v>1E-3</v>
      </c>
      <c r="C127" s="283">
        <v>2018</v>
      </c>
      <c r="D127" s="283">
        <v>2019</v>
      </c>
      <c r="E127" s="283">
        <v>2020</v>
      </c>
      <c r="F127" s="283">
        <v>2021</v>
      </c>
      <c r="G127" s="283">
        <v>2022</v>
      </c>
      <c r="H127" s="283">
        <v>2023</v>
      </c>
      <c r="I127" s="283">
        <v>2024</v>
      </c>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row>
    <row r="128" spans="1:42" ht="12.75" hidden="1" x14ac:dyDescent="0.2">
      <c r="A128" s="339"/>
      <c r="B128" s="357">
        <f>SUM(C128:F128)</f>
        <v>414.924959</v>
      </c>
      <c r="C128" s="357">
        <v>0</v>
      </c>
      <c r="D128" s="357">
        <v>0</v>
      </c>
      <c r="E128" s="357">
        <f>'6.2. Паспорт фин осв ввод'!L24</f>
        <v>216.88656800000004</v>
      </c>
      <c r="F128" s="357">
        <f>'6.2. Паспорт фин осв ввод'!P24</f>
        <v>198.03839099999996</v>
      </c>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row>
    <row r="129" spans="1:51" ht="12.75" hidden="1" x14ac:dyDescent="0.2">
      <c r="A129" s="347" t="s">
        <v>681</v>
      </c>
      <c r="B129" s="358">
        <v>9.8699999999999996E-2</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row>
    <row r="130" spans="1:51" hidden="1" x14ac:dyDescent="0.2">
      <c r="A130" s="359"/>
      <c r="B130" s="360"/>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row>
    <row r="131" spans="1:51" ht="12.75" hidden="1" x14ac:dyDescent="0.2">
      <c r="A131" s="342" t="s">
        <v>685</v>
      </c>
      <c r="B131" s="361">
        <v>0.74426999999999999</v>
      </c>
      <c r="C131" s="283"/>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row>
    <row r="132" spans="1:51" ht="12.75" hidden="1" x14ac:dyDescent="0.2">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row>
    <row r="133" spans="1:51" ht="12.75" hidden="1" x14ac:dyDescent="0.2">
      <c r="A133" s="339"/>
      <c r="B133" s="283"/>
      <c r="C133" s="283" t="s">
        <v>687</v>
      </c>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row>
    <row r="134" spans="1:51" hidden="1" x14ac:dyDescent="0.2">
      <c r="A134" s="347" t="s">
        <v>682</v>
      </c>
      <c r="C134" s="283"/>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row>
    <row r="135" spans="1:51" ht="12.75" hidden="1" x14ac:dyDescent="0.2">
      <c r="A135" s="347"/>
      <c r="B135" s="348">
        <v>2016</v>
      </c>
      <c r="C135" s="348">
        <f>B135+1</f>
        <v>2017</v>
      </c>
      <c r="D135" s="348">
        <f t="shared" ref="D135:AY135" si="74">C135+1</f>
        <v>2018</v>
      </c>
      <c r="E135" s="348">
        <f t="shared" si="74"/>
        <v>2019</v>
      </c>
      <c r="F135" s="348">
        <f t="shared" si="74"/>
        <v>2020</v>
      </c>
      <c r="G135" s="348">
        <f t="shared" si="74"/>
        <v>2021</v>
      </c>
      <c r="H135" s="348">
        <f t="shared" si="74"/>
        <v>2022</v>
      </c>
      <c r="I135" s="348">
        <f t="shared" si="74"/>
        <v>2023</v>
      </c>
      <c r="J135" s="348">
        <f t="shared" si="74"/>
        <v>2024</v>
      </c>
      <c r="K135" s="348">
        <f t="shared" si="74"/>
        <v>2025</v>
      </c>
      <c r="L135" s="348">
        <f t="shared" si="74"/>
        <v>2026</v>
      </c>
      <c r="M135" s="348">
        <f t="shared" si="74"/>
        <v>2027</v>
      </c>
      <c r="N135" s="348">
        <f t="shared" si="74"/>
        <v>2028</v>
      </c>
      <c r="O135" s="348">
        <f t="shared" si="74"/>
        <v>2029</v>
      </c>
      <c r="P135" s="348">
        <f t="shared" si="74"/>
        <v>2030</v>
      </c>
      <c r="Q135" s="348">
        <f t="shared" si="74"/>
        <v>2031</v>
      </c>
      <c r="R135" s="348">
        <f t="shared" si="74"/>
        <v>2032</v>
      </c>
      <c r="S135" s="348">
        <f t="shared" si="74"/>
        <v>2033</v>
      </c>
      <c r="T135" s="348">
        <f t="shared" si="74"/>
        <v>2034</v>
      </c>
      <c r="U135" s="348">
        <f t="shared" si="74"/>
        <v>2035</v>
      </c>
      <c r="V135" s="348">
        <f t="shared" si="74"/>
        <v>2036</v>
      </c>
      <c r="W135" s="348">
        <f t="shared" si="74"/>
        <v>2037</v>
      </c>
      <c r="X135" s="348">
        <f t="shared" si="74"/>
        <v>2038</v>
      </c>
      <c r="Y135" s="348">
        <f t="shared" si="74"/>
        <v>2039</v>
      </c>
      <c r="Z135" s="348">
        <f t="shared" si="74"/>
        <v>2040</v>
      </c>
      <c r="AA135" s="348">
        <f t="shared" si="74"/>
        <v>2041</v>
      </c>
      <c r="AB135" s="348">
        <f t="shared" si="74"/>
        <v>2042</v>
      </c>
      <c r="AC135" s="348">
        <f t="shared" si="74"/>
        <v>2043</v>
      </c>
      <c r="AD135" s="348">
        <f t="shared" si="74"/>
        <v>2044</v>
      </c>
      <c r="AE135" s="348">
        <f t="shared" si="74"/>
        <v>2045</v>
      </c>
      <c r="AF135" s="348">
        <f t="shared" si="74"/>
        <v>2046</v>
      </c>
      <c r="AG135" s="348">
        <f t="shared" si="74"/>
        <v>2047</v>
      </c>
      <c r="AH135" s="348">
        <f t="shared" si="74"/>
        <v>2048</v>
      </c>
      <c r="AI135" s="348">
        <f t="shared" si="74"/>
        <v>2049</v>
      </c>
      <c r="AJ135" s="348">
        <f t="shared" si="74"/>
        <v>2050</v>
      </c>
      <c r="AK135" s="348">
        <f t="shared" si="74"/>
        <v>2051</v>
      </c>
      <c r="AL135" s="348">
        <f t="shared" si="74"/>
        <v>2052</v>
      </c>
      <c r="AM135" s="348">
        <f t="shared" si="74"/>
        <v>2053</v>
      </c>
      <c r="AN135" s="348">
        <f t="shared" si="74"/>
        <v>2054</v>
      </c>
      <c r="AO135" s="348">
        <f t="shared" si="74"/>
        <v>2055</v>
      </c>
      <c r="AP135" s="348">
        <f t="shared" si="74"/>
        <v>2056</v>
      </c>
      <c r="AQ135" s="348">
        <f t="shared" si="74"/>
        <v>2057</v>
      </c>
      <c r="AR135" s="348">
        <f t="shared" si="74"/>
        <v>2058</v>
      </c>
      <c r="AS135" s="348">
        <f t="shared" si="74"/>
        <v>2059</v>
      </c>
      <c r="AT135" s="348">
        <f t="shared" si="74"/>
        <v>2060</v>
      </c>
      <c r="AU135" s="348">
        <f t="shared" si="74"/>
        <v>2061</v>
      </c>
      <c r="AV135" s="348">
        <f t="shared" si="74"/>
        <v>2062</v>
      </c>
      <c r="AW135" s="348">
        <f t="shared" si="74"/>
        <v>2063</v>
      </c>
      <c r="AX135" s="348">
        <f t="shared" si="74"/>
        <v>2064</v>
      </c>
      <c r="AY135" s="348">
        <f t="shared" si="74"/>
        <v>2065</v>
      </c>
    </row>
    <row r="136" spans="1:51" ht="12.75" hidden="1" x14ac:dyDescent="0.2">
      <c r="A136" s="347" t="s">
        <v>683</v>
      </c>
      <c r="B136" s="348"/>
      <c r="C136" s="362"/>
      <c r="D136" s="362"/>
      <c r="E136" s="362"/>
      <c r="F136" s="362">
        <v>6.2E-2</v>
      </c>
      <c r="G136" s="362">
        <v>5.0999999999999997E-2</v>
      </c>
      <c r="H136" s="362">
        <v>4.8000000000000001E-2</v>
      </c>
      <c r="I136" s="362">
        <v>4.7E-2</v>
      </c>
      <c r="J136" s="362">
        <v>4.7E-2</v>
      </c>
      <c r="K136" s="362">
        <v>4.7E-2</v>
      </c>
      <c r="L136" s="362">
        <v>4.7E-2</v>
      </c>
      <c r="M136" s="362">
        <v>4.7E-2</v>
      </c>
      <c r="N136" s="362">
        <v>4.7E-2</v>
      </c>
      <c r="O136" s="362">
        <v>4.7E-2</v>
      </c>
      <c r="P136" s="362">
        <v>4.7E-2</v>
      </c>
      <c r="Q136" s="362">
        <v>4.7E-2</v>
      </c>
      <c r="R136" s="362">
        <v>4.7E-2</v>
      </c>
      <c r="S136" s="362">
        <v>4.7E-2</v>
      </c>
      <c r="T136" s="362">
        <v>4.7E-2</v>
      </c>
      <c r="U136" s="362">
        <v>4.7E-2</v>
      </c>
      <c r="V136" s="362">
        <v>4.7E-2</v>
      </c>
      <c r="W136" s="362">
        <v>4.7E-2</v>
      </c>
      <c r="X136" s="362">
        <v>4.7E-2</v>
      </c>
      <c r="Y136" s="362">
        <v>4.7E-2</v>
      </c>
      <c r="Z136" s="362">
        <v>4.7E-2</v>
      </c>
      <c r="AA136" s="362">
        <v>4.7E-2</v>
      </c>
      <c r="AB136" s="362">
        <v>4.7E-2</v>
      </c>
      <c r="AC136" s="362">
        <v>4.7E-2</v>
      </c>
      <c r="AD136" s="362">
        <v>4.7E-2</v>
      </c>
      <c r="AE136" s="362">
        <v>4.7E-2</v>
      </c>
      <c r="AF136" s="362">
        <v>4.7E-2</v>
      </c>
      <c r="AG136" s="362">
        <v>4.7E-2</v>
      </c>
      <c r="AH136" s="362">
        <v>4.7E-2</v>
      </c>
      <c r="AI136" s="362">
        <v>4.7E-2</v>
      </c>
      <c r="AJ136" s="362">
        <v>4.2000000000000003E-2</v>
      </c>
      <c r="AK136" s="362">
        <v>4.2000000000000003E-2</v>
      </c>
      <c r="AL136" s="362">
        <v>4.2000000000000003E-2</v>
      </c>
      <c r="AM136" s="362">
        <v>4.2000000000000003E-2</v>
      </c>
      <c r="AN136" s="362">
        <v>4.2000000000000003E-2</v>
      </c>
      <c r="AO136" s="362">
        <v>4.2000000000000003E-2</v>
      </c>
      <c r="AP136" s="362">
        <v>4.2000000000000003E-2</v>
      </c>
      <c r="AQ136" s="362">
        <v>4.2000000000000003E-2</v>
      </c>
      <c r="AR136" s="362">
        <v>4.2000000000000003E-2</v>
      </c>
      <c r="AS136" s="362">
        <v>4.2000000000000003E-2</v>
      </c>
      <c r="AT136" s="362">
        <v>4.2000000000000003E-2</v>
      </c>
      <c r="AU136" s="362">
        <f t="shared" ref="AU136:AY136" si="75">AT136</f>
        <v>4.2000000000000003E-2</v>
      </c>
      <c r="AV136" s="362">
        <f t="shared" si="75"/>
        <v>4.2000000000000003E-2</v>
      </c>
      <c r="AW136" s="362">
        <f t="shared" si="75"/>
        <v>4.2000000000000003E-2</v>
      </c>
      <c r="AX136" s="362">
        <f t="shared" si="75"/>
        <v>4.2000000000000003E-2</v>
      </c>
      <c r="AY136" s="362">
        <f t="shared" si="75"/>
        <v>4.2000000000000003E-2</v>
      </c>
    </row>
    <row r="137" spans="1:51" ht="15" hidden="1" x14ac:dyDescent="0.2">
      <c r="A137" s="347" t="s">
        <v>684</v>
      </c>
      <c r="B137" s="363"/>
      <c r="C137" s="321">
        <f>(1+B137)*(1+C136)-1</f>
        <v>0</v>
      </c>
      <c r="D137" s="321">
        <f>(1+C137)*(1+D136)-1</f>
        <v>0</v>
      </c>
      <c r="E137" s="321">
        <f>(1+D137)*(1+E136)-1</f>
        <v>0</v>
      </c>
      <c r="F137" s="321">
        <f t="shared" ref="F137:AY137" si="76">(1+E137)*(1+F136)-1</f>
        <v>6.2000000000000055E-2</v>
      </c>
      <c r="G137" s="321">
        <f>(1+F137)*(1+G136)-1</f>
        <v>0.1161620000000001</v>
      </c>
      <c r="H137" s="321">
        <f t="shared" si="76"/>
        <v>0.16973777600000006</v>
      </c>
      <c r="I137" s="321">
        <f t="shared" si="76"/>
        <v>0.22471545147200001</v>
      </c>
      <c r="J137" s="321">
        <f t="shared" si="76"/>
        <v>0.28227707769118382</v>
      </c>
      <c r="K137" s="321">
        <f t="shared" si="76"/>
        <v>0.34254410034266947</v>
      </c>
      <c r="L137" s="321">
        <f t="shared" si="76"/>
        <v>0.40564367305877491</v>
      </c>
      <c r="M137" s="321">
        <f t="shared" si="76"/>
        <v>0.47170892569253731</v>
      </c>
      <c r="N137" s="321">
        <f t="shared" si="76"/>
        <v>0.54087924520008657</v>
      </c>
      <c r="O137" s="321">
        <f t="shared" si="76"/>
        <v>0.61330056972449043</v>
      </c>
      <c r="P137" s="321">
        <f t="shared" si="76"/>
        <v>0.68912569650154132</v>
      </c>
      <c r="Q137" s="321">
        <f t="shared" si="76"/>
        <v>0.7685146042371136</v>
      </c>
      <c r="R137" s="321">
        <f t="shared" si="76"/>
        <v>0.8516347906362578</v>
      </c>
      <c r="S137" s="321">
        <f t="shared" si="76"/>
        <v>0.93866162579616175</v>
      </c>
      <c r="T137" s="321">
        <f t="shared" si="76"/>
        <v>1.0297787222085812</v>
      </c>
      <c r="U137" s="321">
        <f t="shared" si="76"/>
        <v>1.1251783221523843</v>
      </c>
      <c r="V137" s="321">
        <f t="shared" si="76"/>
        <v>1.2250617032935462</v>
      </c>
      <c r="W137" s="321">
        <f t="shared" si="76"/>
        <v>1.3296396033483426</v>
      </c>
      <c r="X137" s="321">
        <f t="shared" si="76"/>
        <v>1.4391326647057148</v>
      </c>
      <c r="Y137" s="321">
        <f t="shared" si="76"/>
        <v>1.553771899946883</v>
      </c>
      <c r="Z137" s="321">
        <f t="shared" si="76"/>
        <v>1.6737991792443863</v>
      </c>
      <c r="AA137" s="321">
        <f t="shared" si="76"/>
        <v>1.7994677406688724</v>
      </c>
      <c r="AB137" s="321">
        <f t="shared" si="76"/>
        <v>1.9310427244803092</v>
      </c>
      <c r="AC137" s="321">
        <f t="shared" si="76"/>
        <v>2.0688017325308836</v>
      </c>
      <c r="AD137" s="321">
        <f t="shared" si="76"/>
        <v>2.2130354139598349</v>
      </c>
      <c r="AE137" s="321">
        <f t="shared" si="76"/>
        <v>2.364048078415947</v>
      </c>
      <c r="AF137" s="321">
        <f t="shared" si="76"/>
        <v>2.5221583381014963</v>
      </c>
      <c r="AG137" s="321">
        <f t="shared" si="76"/>
        <v>2.6876997799922662</v>
      </c>
      <c r="AH137" s="321">
        <f t="shared" si="76"/>
        <v>2.8610216696519024</v>
      </c>
      <c r="AI137" s="321">
        <f t="shared" si="76"/>
        <v>3.0424896881255412</v>
      </c>
      <c r="AJ137" s="321">
        <f t="shared" si="76"/>
        <v>3.2122742550268137</v>
      </c>
      <c r="AK137" s="321">
        <f t="shared" si="76"/>
        <v>3.3891897737379404</v>
      </c>
      <c r="AL137" s="321">
        <f t="shared" si="76"/>
        <v>3.5735357442349338</v>
      </c>
      <c r="AM137" s="321">
        <f t="shared" si="76"/>
        <v>3.7656242454928011</v>
      </c>
      <c r="AN137" s="321">
        <f t="shared" si="76"/>
        <v>3.9657804638034992</v>
      </c>
      <c r="AO137" s="321">
        <f t="shared" si="76"/>
        <v>4.1743432432832464</v>
      </c>
      <c r="AP137" s="321">
        <f t="shared" si="76"/>
        <v>4.3916656595011432</v>
      </c>
      <c r="AQ137" s="321">
        <f t="shared" si="76"/>
        <v>4.6181156172001918</v>
      </c>
      <c r="AR137" s="321">
        <f t="shared" si="76"/>
        <v>4.8540764731225998</v>
      </c>
      <c r="AS137" s="321">
        <f t="shared" si="76"/>
        <v>5.0999476849937491</v>
      </c>
      <c r="AT137" s="321">
        <f t="shared" si="76"/>
        <v>5.3561454877634871</v>
      </c>
      <c r="AU137" s="321">
        <f t="shared" si="76"/>
        <v>5.6231035982495534</v>
      </c>
      <c r="AV137" s="321">
        <f t="shared" si="76"/>
        <v>5.9012739493760353</v>
      </c>
      <c r="AW137" s="321">
        <f>(1+AV137)*(1+AW136)-1</f>
        <v>6.1911274552498288</v>
      </c>
      <c r="AX137" s="321">
        <f t="shared" si="76"/>
        <v>6.4931548083703214</v>
      </c>
      <c r="AY137" s="321">
        <f t="shared" si="76"/>
        <v>6.8078673103218756</v>
      </c>
    </row>
    <row r="138" spans="1:51" hidden="1" x14ac:dyDescent="0.2">
      <c r="B138" s="363"/>
      <c r="C138" s="364"/>
      <c r="D138" s="364"/>
      <c r="E138" s="364"/>
      <c r="F138" s="364"/>
      <c r="G138" s="364"/>
      <c r="H138" s="364"/>
      <c r="I138" s="364"/>
      <c r="J138" s="364"/>
      <c r="K138" s="364"/>
      <c r="L138" s="364"/>
      <c r="M138" s="364"/>
      <c r="N138" s="364"/>
      <c r="O138" s="364"/>
      <c r="P138" s="364"/>
      <c r="Q138" s="364"/>
      <c r="R138" s="364"/>
      <c r="S138" s="364"/>
      <c r="T138" s="364"/>
      <c r="U138" s="364"/>
      <c r="V138" s="364"/>
      <c r="W138" s="364"/>
      <c r="X138" s="364"/>
      <c r="Y138" s="364"/>
      <c r="Z138" s="364"/>
      <c r="AA138" s="364"/>
      <c r="AB138" s="364"/>
      <c r="AC138" s="364"/>
      <c r="AD138" s="364"/>
      <c r="AE138" s="364"/>
      <c r="AF138" s="364"/>
      <c r="AG138" s="364"/>
      <c r="AH138" s="364"/>
      <c r="AI138" s="364"/>
      <c r="AJ138" s="364"/>
      <c r="AK138" s="364"/>
      <c r="AL138" s="364"/>
      <c r="AM138" s="364"/>
      <c r="AN138" s="364"/>
      <c r="AO138" s="364"/>
      <c r="AP138" s="364"/>
    </row>
    <row r="139" spans="1:51" ht="12.75" hidden="1" x14ac:dyDescent="0.2">
      <c r="A139" s="339"/>
      <c r="B139" s="348">
        <v>2016</v>
      </c>
      <c r="C139" s="348">
        <f>B139+1</f>
        <v>2017</v>
      </c>
      <c r="D139" s="348">
        <f t="shared" ref="D139:S140" si="77">C139+1</f>
        <v>2018</v>
      </c>
      <c r="E139" s="348">
        <f t="shared" si="77"/>
        <v>2019</v>
      </c>
      <c r="F139" s="348">
        <f t="shared" si="77"/>
        <v>2020</v>
      </c>
      <c r="G139" s="348">
        <f t="shared" si="77"/>
        <v>2021</v>
      </c>
      <c r="H139" s="348">
        <f t="shared" si="77"/>
        <v>2022</v>
      </c>
      <c r="I139" s="348">
        <f t="shared" si="77"/>
        <v>2023</v>
      </c>
      <c r="J139" s="348">
        <f t="shared" si="77"/>
        <v>2024</v>
      </c>
      <c r="K139" s="348">
        <f t="shared" si="77"/>
        <v>2025</v>
      </c>
      <c r="L139" s="348">
        <f t="shared" si="77"/>
        <v>2026</v>
      </c>
      <c r="M139" s="348">
        <f t="shared" si="77"/>
        <v>2027</v>
      </c>
      <c r="N139" s="348">
        <f t="shared" si="77"/>
        <v>2028</v>
      </c>
      <c r="O139" s="348">
        <f t="shared" si="77"/>
        <v>2029</v>
      </c>
      <c r="P139" s="348">
        <f t="shared" si="77"/>
        <v>2030</v>
      </c>
      <c r="Q139" s="348">
        <f t="shared" si="77"/>
        <v>2031</v>
      </c>
      <c r="R139" s="348">
        <f t="shared" si="77"/>
        <v>2032</v>
      </c>
      <c r="S139" s="348">
        <f t="shared" si="77"/>
        <v>2033</v>
      </c>
      <c r="T139" s="348">
        <f t="shared" ref="T139:AI140" si="78">S139+1</f>
        <v>2034</v>
      </c>
      <c r="U139" s="348">
        <f t="shared" si="78"/>
        <v>2035</v>
      </c>
      <c r="V139" s="348">
        <f t="shared" si="78"/>
        <v>2036</v>
      </c>
      <c r="W139" s="348">
        <f t="shared" si="78"/>
        <v>2037</v>
      </c>
      <c r="X139" s="348">
        <f t="shared" si="78"/>
        <v>2038</v>
      </c>
      <c r="Y139" s="348">
        <f t="shared" si="78"/>
        <v>2039</v>
      </c>
      <c r="Z139" s="348">
        <f t="shared" si="78"/>
        <v>2040</v>
      </c>
      <c r="AA139" s="348">
        <f t="shared" si="78"/>
        <v>2041</v>
      </c>
      <c r="AB139" s="348">
        <f t="shared" si="78"/>
        <v>2042</v>
      </c>
      <c r="AC139" s="348">
        <f t="shared" si="78"/>
        <v>2043</v>
      </c>
      <c r="AD139" s="348">
        <f t="shared" si="78"/>
        <v>2044</v>
      </c>
      <c r="AE139" s="348">
        <f t="shared" si="78"/>
        <v>2045</v>
      </c>
      <c r="AF139" s="348">
        <f t="shared" si="78"/>
        <v>2046</v>
      </c>
      <c r="AG139" s="348">
        <f t="shared" si="78"/>
        <v>2047</v>
      </c>
      <c r="AH139" s="348">
        <f t="shared" si="78"/>
        <v>2048</v>
      </c>
      <c r="AI139" s="348">
        <f t="shared" si="78"/>
        <v>2049</v>
      </c>
      <c r="AJ139" s="348">
        <f t="shared" ref="AJ139:AY140" si="79">AI139+1</f>
        <v>2050</v>
      </c>
      <c r="AK139" s="348">
        <f t="shared" si="79"/>
        <v>2051</v>
      </c>
      <c r="AL139" s="348">
        <f t="shared" si="79"/>
        <v>2052</v>
      </c>
      <c r="AM139" s="348">
        <f t="shared" si="79"/>
        <v>2053</v>
      </c>
      <c r="AN139" s="348">
        <f t="shared" si="79"/>
        <v>2054</v>
      </c>
      <c r="AO139" s="348">
        <f t="shared" si="79"/>
        <v>2055</v>
      </c>
      <c r="AP139" s="348">
        <f t="shared" si="79"/>
        <v>2056</v>
      </c>
      <c r="AQ139" s="348">
        <f t="shared" si="79"/>
        <v>2057</v>
      </c>
      <c r="AR139" s="348">
        <f t="shared" si="79"/>
        <v>2058</v>
      </c>
      <c r="AS139" s="348">
        <f t="shared" si="79"/>
        <v>2059</v>
      </c>
      <c r="AT139" s="348">
        <f t="shared" si="79"/>
        <v>2060</v>
      </c>
      <c r="AU139" s="348">
        <f t="shared" si="79"/>
        <v>2061</v>
      </c>
      <c r="AV139" s="348">
        <f t="shared" si="79"/>
        <v>2062</v>
      </c>
      <c r="AW139" s="348">
        <f t="shared" si="79"/>
        <v>2063</v>
      </c>
      <c r="AX139" s="348">
        <f t="shared" si="79"/>
        <v>2064</v>
      </c>
      <c r="AY139" s="348">
        <f t="shared" si="79"/>
        <v>2065</v>
      </c>
    </row>
    <row r="140" spans="1:51" hidden="1" x14ac:dyDescent="0.2">
      <c r="A140" s="339"/>
      <c r="B140" s="365">
        <v>0</v>
      </c>
      <c r="C140" s="365">
        <v>0</v>
      </c>
      <c r="D140" s="365">
        <v>0</v>
      </c>
      <c r="E140" s="365">
        <v>0</v>
      </c>
      <c r="F140" s="365">
        <v>1</v>
      </c>
      <c r="G140" s="365">
        <f t="shared" si="77"/>
        <v>2</v>
      </c>
      <c r="H140" s="365">
        <f t="shared" si="77"/>
        <v>3</v>
      </c>
      <c r="I140" s="365">
        <f t="shared" si="77"/>
        <v>4</v>
      </c>
      <c r="J140" s="365">
        <f t="shared" si="77"/>
        <v>5</v>
      </c>
      <c r="K140" s="365">
        <f t="shared" si="77"/>
        <v>6</v>
      </c>
      <c r="L140" s="365">
        <f t="shared" si="77"/>
        <v>7</v>
      </c>
      <c r="M140" s="365">
        <f t="shared" si="77"/>
        <v>8</v>
      </c>
      <c r="N140" s="365">
        <f t="shared" si="77"/>
        <v>9</v>
      </c>
      <c r="O140" s="365">
        <f t="shared" si="77"/>
        <v>10</v>
      </c>
      <c r="P140" s="365">
        <f t="shared" si="77"/>
        <v>11</v>
      </c>
      <c r="Q140" s="365">
        <f t="shared" si="77"/>
        <v>12</v>
      </c>
      <c r="R140" s="365">
        <f t="shared" si="77"/>
        <v>13</v>
      </c>
      <c r="S140" s="365">
        <f t="shared" si="77"/>
        <v>14</v>
      </c>
      <c r="T140" s="365">
        <f t="shared" si="78"/>
        <v>15</v>
      </c>
      <c r="U140" s="365">
        <f t="shared" si="78"/>
        <v>16</v>
      </c>
      <c r="V140" s="365">
        <f t="shared" si="78"/>
        <v>17</v>
      </c>
      <c r="W140" s="365">
        <f t="shared" si="78"/>
        <v>18</v>
      </c>
      <c r="X140" s="365">
        <f t="shared" si="78"/>
        <v>19</v>
      </c>
      <c r="Y140" s="365">
        <f t="shared" si="78"/>
        <v>20</v>
      </c>
      <c r="Z140" s="365">
        <f t="shared" si="78"/>
        <v>21</v>
      </c>
      <c r="AA140" s="365">
        <f t="shared" si="78"/>
        <v>22</v>
      </c>
      <c r="AB140" s="365">
        <f t="shared" si="78"/>
        <v>23</v>
      </c>
      <c r="AC140" s="365">
        <f t="shared" si="78"/>
        <v>24</v>
      </c>
      <c r="AD140" s="365">
        <f t="shared" si="78"/>
        <v>25</v>
      </c>
      <c r="AE140" s="365">
        <f t="shared" si="78"/>
        <v>26</v>
      </c>
      <c r="AF140" s="365">
        <f t="shared" si="78"/>
        <v>27</v>
      </c>
      <c r="AG140" s="365">
        <f t="shared" si="78"/>
        <v>28</v>
      </c>
      <c r="AH140" s="365">
        <f t="shared" si="78"/>
        <v>29</v>
      </c>
      <c r="AI140" s="365">
        <f t="shared" si="78"/>
        <v>30</v>
      </c>
      <c r="AJ140" s="365">
        <f t="shared" si="79"/>
        <v>31</v>
      </c>
      <c r="AK140" s="365">
        <f t="shared" si="79"/>
        <v>32</v>
      </c>
      <c r="AL140" s="365">
        <f t="shared" si="79"/>
        <v>33</v>
      </c>
      <c r="AM140" s="365">
        <f t="shared" si="79"/>
        <v>34</v>
      </c>
      <c r="AN140" s="365">
        <f t="shared" si="79"/>
        <v>35</v>
      </c>
      <c r="AO140" s="365">
        <f t="shared" si="79"/>
        <v>36</v>
      </c>
      <c r="AP140" s="365">
        <f>AO140+1</f>
        <v>37</v>
      </c>
      <c r="AQ140" s="365">
        <f t="shared" si="79"/>
        <v>38</v>
      </c>
      <c r="AR140" s="365">
        <f t="shared" si="79"/>
        <v>39</v>
      </c>
      <c r="AS140" s="365">
        <f t="shared" si="79"/>
        <v>40</v>
      </c>
      <c r="AT140" s="365">
        <f t="shared" si="79"/>
        <v>41</v>
      </c>
      <c r="AU140" s="365">
        <f t="shared" si="79"/>
        <v>42</v>
      </c>
      <c r="AV140" s="365">
        <f t="shared" si="79"/>
        <v>43</v>
      </c>
      <c r="AW140" s="365">
        <f t="shared" si="79"/>
        <v>44</v>
      </c>
      <c r="AX140" s="365">
        <f t="shared" si="79"/>
        <v>45</v>
      </c>
      <c r="AY140" s="365">
        <f t="shared" si="79"/>
        <v>46</v>
      </c>
    </row>
    <row r="141" spans="1:51" ht="15" hidden="1" x14ac:dyDescent="0.2">
      <c r="A141" s="339"/>
      <c r="B141" s="366">
        <f>AVERAGE(A140:B140)</f>
        <v>0</v>
      </c>
      <c r="C141" s="366">
        <f>AVERAGE(B140:C140)</f>
        <v>0</v>
      </c>
      <c r="D141" s="366">
        <f>AVERAGE(C140:D140)</f>
        <v>0</v>
      </c>
      <c r="E141" s="366">
        <f>AVERAGE(D140:E140)</f>
        <v>0</v>
      </c>
      <c r="F141" s="366">
        <f t="shared" ref="F141:AO141" si="80">AVERAGE(E140:F140)</f>
        <v>0.5</v>
      </c>
      <c r="G141" s="366">
        <f t="shared" si="80"/>
        <v>1.5</v>
      </c>
      <c r="H141" s="366">
        <f t="shared" si="80"/>
        <v>2.5</v>
      </c>
      <c r="I141" s="366">
        <f t="shared" si="80"/>
        <v>3.5</v>
      </c>
      <c r="J141" s="366">
        <f t="shared" si="80"/>
        <v>4.5</v>
      </c>
      <c r="K141" s="366">
        <f t="shared" si="80"/>
        <v>5.5</v>
      </c>
      <c r="L141" s="366">
        <f t="shared" si="80"/>
        <v>6.5</v>
      </c>
      <c r="M141" s="366">
        <f t="shared" si="80"/>
        <v>7.5</v>
      </c>
      <c r="N141" s="366">
        <f t="shared" si="80"/>
        <v>8.5</v>
      </c>
      <c r="O141" s="366">
        <f t="shared" si="80"/>
        <v>9.5</v>
      </c>
      <c r="P141" s="366">
        <f t="shared" si="80"/>
        <v>10.5</v>
      </c>
      <c r="Q141" s="366">
        <f t="shared" si="80"/>
        <v>11.5</v>
      </c>
      <c r="R141" s="366">
        <f t="shared" si="80"/>
        <v>12.5</v>
      </c>
      <c r="S141" s="366">
        <f t="shared" si="80"/>
        <v>13.5</v>
      </c>
      <c r="T141" s="366">
        <f t="shared" si="80"/>
        <v>14.5</v>
      </c>
      <c r="U141" s="366">
        <f t="shared" si="80"/>
        <v>15.5</v>
      </c>
      <c r="V141" s="366">
        <f t="shared" si="80"/>
        <v>16.5</v>
      </c>
      <c r="W141" s="366">
        <f t="shared" si="80"/>
        <v>17.5</v>
      </c>
      <c r="X141" s="366">
        <f t="shared" si="80"/>
        <v>18.5</v>
      </c>
      <c r="Y141" s="366">
        <f t="shared" si="80"/>
        <v>19.5</v>
      </c>
      <c r="Z141" s="366">
        <f t="shared" si="80"/>
        <v>20.5</v>
      </c>
      <c r="AA141" s="366">
        <f t="shared" si="80"/>
        <v>21.5</v>
      </c>
      <c r="AB141" s="366">
        <f t="shared" si="80"/>
        <v>22.5</v>
      </c>
      <c r="AC141" s="366">
        <f t="shared" si="80"/>
        <v>23.5</v>
      </c>
      <c r="AD141" s="366">
        <f t="shared" si="80"/>
        <v>24.5</v>
      </c>
      <c r="AE141" s="366">
        <f t="shared" si="80"/>
        <v>25.5</v>
      </c>
      <c r="AF141" s="366">
        <f t="shared" si="80"/>
        <v>26.5</v>
      </c>
      <c r="AG141" s="366">
        <f t="shared" si="80"/>
        <v>27.5</v>
      </c>
      <c r="AH141" s="366">
        <f t="shared" si="80"/>
        <v>28.5</v>
      </c>
      <c r="AI141" s="366">
        <f t="shared" si="80"/>
        <v>29.5</v>
      </c>
      <c r="AJ141" s="366">
        <f t="shared" si="80"/>
        <v>30.5</v>
      </c>
      <c r="AK141" s="366">
        <f t="shared" si="80"/>
        <v>31.5</v>
      </c>
      <c r="AL141" s="366">
        <f t="shared" si="80"/>
        <v>32.5</v>
      </c>
      <c r="AM141" s="366">
        <f t="shared" si="80"/>
        <v>33.5</v>
      </c>
      <c r="AN141" s="366">
        <f t="shared" si="80"/>
        <v>34.5</v>
      </c>
      <c r="AO141" s="366">
        <f t="shared" si="80"/>
        <v>35.5</v>
      </c>
      <c r="AP141" s="366">
        <f>AVERAGE(AO140:AP140)</f>
        <v>36.5</v>
      </c>
      <c r="AQ141" s="366">
        <f t="shared" ref="AQ141:AY141" si="81">AVERAGE(AP140:AQ140)</f>
        <v>37.5</v>
      </c>
      <c r="AR141" s="366">
        <f t="shared" si="81"/>
        <v>38.5</v>
      </c>
      <c r="AS141" s="366">
        <f t="shared" si="81"/>
        <v>39.5</v>
      </c>
      <c r="AT141" s="366">
        <f t="shared" si="81"/>
        <v>40.5</v>
      </c>
      <c r="AU141" s="366">
        <f t="shared" si="81"/>
        <v>41.5</v>
      </c>
      <c r="AV141" s="366">
        <f t="shared" si="81"/>
        <v>42.5</v>
      </c>
      <c r="AW141" s="366">
        <f t="shared" si="81"/>
        <v>43.5</v>
      </c>
      <c r="AX141" s="366">
        <f t="shared" si="81"/>
        <v>44.5</v>
      </c>
      <c r="AY141" s="366">
        <f t="shared" si="81"/>
        <v>45.5</v>
      </c>
    </row>
    <row r="142" spans="1:51" ht="12.75" hidden="1" x14ac:dyDescent="0.2">
      <c r="A142" s="33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row>
    <row r="143" spans="1:51" ht="12.75" hidden="1" x14ac:dyDescent="0.2">
      <c r="A143" s="33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row>
    <row r="144" spans="1:51" ht="12.75" hidden="1" x14ac:dyDescent="0.2">
      <c r="A144" s="33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row>
    <row r="145" spans="1:42" ht="12.75" hidden="1" x14ac:dyDescent="0.2">
      <c r="A145" s="33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row>
    <row r="146" spans="1:42" ht="12.75" hidden="1" x14ac:dyDescent="0.2">
      <c r="A146" s="33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row>
    <row r="147" spans="1:42" ht="12.75" hidden="1" x14ac:dyDescent="0.2">
      <c r="A147" s="33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row>
    <row r="148" spans="1:42" ht="12.75" hidden="1" x14ac:dyDescent="0.2">
      <c r="A148" s="33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row>
    <row r="149" spans="1:42" ht="12.75" x14ac:dyDescent="0.2">
      <c r="A149" s="33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row>
    <row r="150" spans="1:42" ht="12.75" x14ac:dyDescent="0.2">
      <c r="A150" s="33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row>
    <row r="151" spans="1:42" ht="12.75" x14ac:dyDescent="0.2">
      <c r="A151" s="33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row>
    <row r="152" spans="1:42" ht="12.75" x14ac:dyDescent="0.2">
      <c r="A152" s="33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row>
    <row r="153" spans="1:42" ht="12.75" x14ac:dyDescent="0.2">
      <c r="A153" s="33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row>
    <row r="154" spans="1:42" ht="12.75" x14ac:dyDescent="0.2">
      <c r="A154" s="33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row>
    <row r="155" spans="1:42" ht="12.75" x14ac:dyDescent="0.2">
      <c r="A155" s="33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row>
    <row r="156" spans="1:42" ht="12.75" x14ac:dyDescent="0.2">
      <c r="A156" s="33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row>
    <row r="157" spans="1:42" ht="12.75" x14ac:dyDescent="0.2">
      <c r="A157" s="33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row>
    <row r="158" spans="1:42" ht="12.75" x14ac:dyDescent="0.2">
      <c r="A158" s="33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row>
    <row r="159" spans="1:42" ht="12.75" x14ac:dyDescent="0.2">
      <c r="A159" s="33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row>
    <row r="160" spans="1:42" ht="12.75" x14ac:dyDescent="0.2">
      <c r="A160" s="33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row>
    <row r="161" spans="1:42" ht="12.75" x14ac:dyDescent="0.2">
      <c r="A161" s="33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row>
    <row r="162" spans="1:42" ht="12.75" x14ac:dyDescent="0.2">
      <c r="A162" s="33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row>
    <row r="163" spans="1:42" ht="12.75" x14ac:dyDescent="0.2">
      <c r="A163" s="33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row>
    <row r="164" spans="1:42" ht="12.75" x14ac:dyDescent="0.2">
      <c r="A164" s="33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row>
    <row r="165" spans="1:42" ht="12.75" x14ac:dyDescent="0.2">
      <c r="A165" s="33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row>
    <row r="166" spans="1:42" ht="12.75" x14ac:dyDescent="0.2">
      <c r="A166" s="33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row>
    <row r="167" spans="1:42" ht="12.75" x14ac:dyDescent="0.2">
      <c r="A167" s="33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row>
    <row r="168" spans="1:42" ht="12.75" x14ac:dyDescent="0.2">
      <c r="A168" s="33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row>
    <row r="169" spans="1:42" ht="12.75" x14ac:dyDescent="0.2">
      <c r="A169" s="33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row>
    <row r="170" spans="1:42" ht="12.75" x14ac:dyDescent="0.2">
      <c r="A170" s="33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row>
    <row r="171" spans="1:42" ht="12.75" x14ac:dyDescent="0.2">
      <c r="A171" s="33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row>
    <row r="172" spans="1:42" ht="12.75" x14ac:dyDescent="0.2">
      <c r="A172" s="33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row>
    <row r="173" spans="1:42" ht="12.75" x14ac:dyDescent="0.2">
      <c r="A173" s="33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row>
    <row r="174" spans="1:42" ht="12.75" x14ac:dyDescent="0.2">
      <c r="A174" s="33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row>
    <row r="175" spans="1:42" ht="12.75" x14ac:dyDescent="0.2">
      <c r="A175" s="33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row>
    <row r="176" spans="1:42" ht="12.75" x14ac:dyDescent="0.2">
      <c r="A176" s="33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row>
    <row r="177" spans="1:42" ht="12.75" x14ac:dyDescent="0.2">
      <c r="A177" s="33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row>
    <row r="178" spans="1:42" ht="12.75" x14ac:dyDescent="0.2">
      <c r="A178" s="33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row>
    <row r="179" spans="1:42" ht="12.75" x14ac:dyDescent="0.2">
      <c r="A179" s="33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row>
    <row r="180" spans="1:42" ht="12.75" x14ac:dyDescent="0.2">
      <c r="A180" s="33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row>
    <row r="181" spans="1:42" ht="12.75" x14ac:dyDescent="0.2">
      <c r="A181" s="33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row>
    <row r="182" spans="1:42" ht="12.75" x14ac:dyDescent="0.2">
      <c r="A182" s="33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row>
    <row r="183" spans="1:42" ht="12.75" x14ac:dyDescent="0.2">
      <c r="A183" s="33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row>
    <row r="184" spans="1:42" ht="12.75" x14ac:dyDescent="0.2">
      <c r="A184" s="33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row>
    <row r="185" spans="1:42" ht="12.75" x14ac:dyDescent="0.2">
      <c r="A185" s="33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row>
    <row r="186" spans="1:42" ht="12.75" x14ac:dyDescent="0.2">
      <c r="A186" s="33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row>
    <row r="187" spans="1:42" ht="12.75" x14ac:dyDescent="0.2">
      <c r="A187" s="33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row>
    <row r="188" spans="1:42" ht="12.75" x14ac:dyDescent="0.2">
      <c r="A188" s="33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row>
    <row r="189" spans="1:42" ht="12.75" x14ac:dyDescent="0.2">
      <c r="A189" s="33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row>
    <row r="190" spans="1:42" ht="12.75" x14ac:dyDescent="0.2">
      <c r="A190" s="33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row>
    <row r="191" spans="1:42" ht="12.75" x14ac:dyDescent="0.2">
      <c r="A191" s="33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row>
    <row r="192" spans="1:42" ht="12.75" x14ac:dyDescent="0.2">
      <c r="A192" s="33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row>
    <row r="193" spans="1:42" ht="12.75" x14ac:dyDescent="0.2">
      <c r="A193" s="33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row>
    <row r="194" spans="1:42" ht="12.75" x14ac:dyDescent="0.2">
      <c r="A194" s="33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row>
    <row r="195" spans="1:42" ht="12.75" x14ac:dyDescent="0.2">
      <c r="A195" s="33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row>
    <row r="196" spans="1:42" ht="12.75" x14ac:dyDescent="0.2">
      <c r="A196" s="33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row>
    <row r="197" spans="1:42" ht="12.75" x14ac:dyDescent="0.2">
      <c r="A197" s="33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row>
    <row r="198" spans="1:42" ht="12.75" x14ac:dyDescent="0.2">
      <c r="A198" s="33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row>
    <row r="199" spans="1:42" ht="12.75" x14ac:dyDescent="0.2">
      <c r="A199" s="33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row>
    <row r="200" spans="1:42" ht="12.75" x14ac:dyDescent="0.2">
      <c r="A200" s="33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row>
    <row r="201" spans="1:42" ht="12.75" x14ac:dyDescent="0.2">
      <c r="A201" s="33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row>
    <row r="202" spans="1:42" ht="12.75" x14ac:dyDescent="0.2">
      <c r="A202" s="33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row>
    <row r="203" spans="1:42" ht="12.75" x14ac:dyDescent="0.2">
      <c r="A203" s="33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row>
    <row r="204" spans="1:42" ht="12.75" x14ac:dyDescent="0.2">
      <c r="A204" s="33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row>
    <row r="205" spans="1:42" ht="12.75" x14ac:dyDescent="0.2">
      <c r="A205" s="33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row>
    <row r="206" spans="1:42" ht="12.75" x14ac:dyDescent="0.2">
      <c r="A206" s="33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row>
    <row r="207" spans="1:42" ht="12.75" x14ac:dyDescent="0.2">
      <c r="A207" s="33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row>
    <row r="208" spans="1:42" ht="12.75" x14ac:dyDescent="0.2">
      <c r="A208" s="33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38" priority="2" operator="greaterThan">
      <formula>0</formula>
    </cfRule>
  </conditionalFormatting>
  <conditionalFormatting sqref="B25">
    <cfRule type="cellIs" dxfId="37" priority="1"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S54"/>
  <sheetViews>
    <sheetView view="pageBreakPreview" topLeftCell="A5" zoomScale="80" zoomScaleNormal="100" zoomScaleSheetLayoutView="80" workbookViewId="0">
      <selection activeCell="M53" sqref="M53"/>
    </sheetView>
  </sheetViews>
  <sheetFormatPr defaultRowHeight="15.75" x14ac:dyDescent="0.25"/>
  <cols>
    <col min="1" max="1" width="9.140625" style="44"/>
    <col min="2" max="2" width="37.7109375" style="44" customWidth="1"/>
    <col min="3" max="4" width="16" style="44" customWidth="1"/>
    <col min="5" max="6" width="16" style="44" hidden="1" customWidth="1"/>
    <col min="7" max="10" width="16" style="44" customWidth="1"/>
    <col min="11" max="12" width="18.28515625" style="44" customWidth="1"/>
    <col min="13" max="13" width="64.85546875" style="44" customWidth="1"/>
    <col min="14" max="253" width="9.140625" style="44"/>
    <col min="254" max="254" width="37.7109375" style="44" customWidth="1"/>
    <col min="255" max="255" width="9.140625" style="44"/>
    <col min="256" max="256" width="12.85546875" style="44" customWidth="1"/>
    <col min="257" max="258" width="0" style="44" hidden="1" customWidth="1"/>
    <col min="259" max="259" width="18.28515625" style="44" customWidth="1"/>
    <col min="260" max="260" width="64.85546875" style="44" customWidth="1"/>
    <col min="261" max="264" width="9.140625" style="44"/>
    <col min="265" max="265" width="14.85546875" style="44" customWidth="1"/>
    <col min="266" max="509" width="9.140625" style="44"/>
    <col min="510" max="510" width="37.7109375" style="44" customWidth="1"/>
    <col min="511" max="511" width="9.140625" style="44"/>
    <col min="512" max="512" width="12.85546875" style="44" customWidth="1"/>
    <col min="513" max="514" width="0" style="44" hidden="1" customWidth="1"/>
    <col min="515" max="515" width="18.28515625" style="44" customWidth="1"/>
    <col min="516" max="516" width="64.85546875" style="44" customWidth="1"/>
    <col min="517" max="520" width="9.140625" style="44"/>
    <col min="521" max="521" width="14.85546875" style="44" customWidth="1"/>
    <col min="522" max="765" width="9.140625" style="44"/>
    <col min="766" max="766" width="37.7109375" style="44" customWidth="1"/>
    <col min="767" max="767" width="9.140625" style="44"/>
    <col min="768" max="768" width="12.85546875" style="44" customWidth="1"/>
    <col min="769" max="770" width="0" style="44" hidden="1" customWidth="1"/>
    <col min="771" max="771" width="18.28515625" style="44" customWidth="1"/>
    <col min="772" max="772" width="64.85546875" style="44" customWidth="1"/>
    <col min="773" max="776" width="9.140625" style="44"/>
    <col min="777" max="777" width="14.85546875" style="44" customWidth="1"/>
    <col min="778" max="1021" width="9.140625" style="44"/>
    <col min="1022" max="1022" width="37.7109375" style="44" customWidth="1"/>
    <col min="1023" max="1023" width="9.140625" style="44"/>
    <col min="1024" max="1024" width="12.85546875" style="44" customWidth="1"/>
    <col min="1025" max="1026" width="0" style="44" hidden="1" customWidth="1"/>
    <col min="1027" max="1027" width="18.28515625" style="44" customWidth="1"/>
    <col min="1028" max="1028" width="64.85546875" style="44" customWidth="1"/>
    <col min="1029" max="1032" width="9.140625" style="44"/>
    <col min="1033" max="1033" width="14.85546875" style="44" customWidth="1"/>
    <col min="1034" max="1277" width="9.140625" style="44"/>
    <col min="1278" max="1278" width="37.7109375" style="44" customWidth="1"/>
    <col min="1279" max="1279" width="9.140625" style="44"/>
    <col min="1280" max="1280" width="12.85546875" style="44" customWidth="1"/>
    <col min="1281" max="1282" width="0" style="44" hidden="1" customWidth="1"/>
    <col min="1283" max="1283" width="18.28515625" style="44" customWidth="1"/>
    <col min="1284" max="1284" width="64.85546875" style="44" customWidth="1"/>
    <col min="1285" max="1288" width="9.140625" style="44"/>
    <col min="1289" max="1289" width="14.85546875" style="44" customWidth="1"/>
    <col min="1290" max="1533" width="9.140625" style="44"/>
    <col min="1534" max="1534" width="37.7109375" style="44" customWidth="1"/>
    <col min="1535" max="1535" width="9.140625" style="44"/>
    <col min="1536" max="1536" width="12.85546875" style="44" customWidth="1"/>
    <col min="1537" max="1538" width="0" style="44" hidden="1" customWidth="1"/>
    <col min="1539" max="1539" width="18.28515625" style="44" customWidth="1"/>
    <col min="1540" max="1540" width="64.85546875" style="44" customWidth="1"/>
    <col min="1541" max="1544" width="9.140625" style="44"/>
    <col min="1545" max="1545" width="14.85546875" style="44" customWidth="1"/>
    <col min="1546" max="1789" width="9.140625" style="44"/>
    <col min="1790" max="1790" width="37.7109375" style="44" customWidth="1"/>
    <col min="1791" max="1791" width="9.140625" style="44"/>
    <col min="1792" max="1792" width="12.85546875" style="44" customWidth="1"/>
    <col min="1793" max="1794" width="0" style="44" hidden="1" customWidth="1"/>
    <col min="1795" max="1795" width="18.28515625" style="44" customWidth="1"/>
    <col min="1796" max="1796" width="64.85546875" style="44" customWidth="1"/>
    <col min="1797" max="1800" width="9.140625" style="44"/>
    <col min="1801" max="1801" width="14.85546875" style="44" customWidth="1"/>
    <col min="1802" max="2045" width="9.140625" style="44"/>
    <col min="2046" max="2046" width="37.7109375" style="44" customWidth="1"/>
    <col min="2047" max="2047" width="9.140625" style="44"/>
    <col min="2048" max="2048" width="12.85546875" style="44" customWidth="1"/>
    <col min="2049" max="2050" width="0" style="44" hidden="1" customWidth="1"/>
    <col min="2051" max="2051" width="18.28515625" style="44" customWidth="1"/>
    <col min="2052" max="2052" width="64.85546875" style="44" customWidth="1"/>
    <col min="2053" max="2056" width="9.140625" style="44"/>
    <col min="2057" max="2057" width="14.85546875" style="44" customWidth="1"/>
    <col min="2058" max="2301" width="9.140625" style="44"/>
    <col min="2302" max="2302" width="37.7109375" style="44" customWidth="1"/>
    <col min="2303" max="2303" width="9.140625" style="44"/>
    <col min="2304" max="2304" width="12.85546875" style="44" customWidth="1"/>
    <col min="2305" max="2306" width="0" style="44" hidden="1" customWidth="1"/>
    <col min="2307" max="2307" width="18.28515625" style="44" customWidth="1"/>
    <col min="2308" max="2308" width="64.85546875" style="44" customWidth="1"/>
    <col min="2309" max="2312" width="9.140625" style="44"/>
    <col min="2313" max="2313" width="14.85546875" style="44" customWidth="1"/>
    <col min="2314" max="2557" width="9.140625" style="44"/>
    <col min="2558" max="2558" width="37.7109375" style="44" customWidth="1"/>
    <col min="2559" max="2559" width="9.140625" style="44"/>
    <col min="2560" max="2560" width="12.85546875" style="44" customWidth="1"/>
    <col min="2561" max="2562" width="0" style="44" hidden="1" customWidth="1"/>
    <col min="2563" max="2563" width="18.28515625" style="44" customWidth="1"/>
    <col min="2564" max="2564" width="64.85546875" style="44" customWidth="1"/>
    <col min="2565" max="2568" width="9.140625" style="44"/>
    <col min="2569" max="2569" width="14.85546875" style="44" customWidth="1"/>
    <col min="2570" max="2813" width="9.140625" style="44"/>
    <col min="2814" max="2814" width="37.7109375" style="44" customWidth="1"/>
    <col min="2815" max="2815" width="9.140625" style="44"/>
    <col min="2816" max="2816" width="12.85546875" style="44" customWidth="1"/>
    <col min="2817" max="2818" width="0" style="44" hidden="1" customWidth="1"/>
    <col min="2819" max="2819" width="18.28515625" style="44" customWidth="1"/>
    <col min="2820" max="2820" width="64.85546875" style="44" customWidth="1"/>
    <col min="2821" max="2824" width="9.140625" style="44"/>
    <col min="2825" max="2825" width="14.85546875" style="44" customWidth="1"/>
    <col min="2826" max="3069" width="9.140625" style="44"/>
    <col min="3070" max="3070" width="37.7109375" style="44" customWidth="1"/>
    <col min="3071" max="3071" width="9.140625" style="44"/>
    <col min="3072" max="3072" width="12.85546875" style="44" customWidth="1"/>
    <col min="3073" max="3074" width="0" style="44" hidden="1" customWidth="1"/>
    <col min="3075" max="3075" width="18.28515625" style="44" customWidth="1"/>
    <col min="3076" max="3076" width="64.85546875" style="44" customWidth="1"/>
    <col min="3077" max="3080" width="9.140625" style="44"/>
    <col min="3081" max="3081" width="14.85546875" style="44" customWidth="1"/>
    <col min="3082" max="3325" width="9.140625" style="44"/>
    <col min="3326" max="3326" width="37.7109375" style="44" customWidth="1"/>
    <col min="3327" max="3327" width="9.140625" style="44"/>
    <col min="3328" max="3328" width="12.85546875" style="44" customWidth="1"/>
    <col min="3329" max="3330" width="0" style="44" hidden="1" customWidth="1"/>
    <col min="3331" max="3331" width="18.28515625" style="44" customWidth="1"/>
    <col min="3332" max="3332" width="64.85546875" style="44" customWidth="1"/>
    <col min="3333" max="3336" width="9.140625" style="44"/>
    <col min="3337" max="3337" width="14.85546875" style="44" customWidth="1"/>
    <col min="3338" max="3581" width="9.140625" style="44"/>
    <col min="3582" max="3582" width="37.7109375" style="44" customWidth="1"/>
    <col min="3583" max="3583" width="9.140625" style="44"/>
    <col min="3584" max="3584" width="12.85546875" style="44" customWidth="1"/>
    <col min="3585" max="3586" width="0" style="44" hidden="1" customWidth="1"/>
    <col min="3587" max="3587" width="18.28515625" style="44" customWidth="1"/>
    <col min="3588" max="3588" width="64.85546875" style="44" customWidth="1"/>
    <col min="3589" max="3592" width="9.140625" style="44"/>
    <col min="3593" max="3593" width="14.85546875" style="44" customWidth="1"/>
    <col min="3594" max="3837" width="9.140625" style="44"/>
    <col min="3838" max="3838" width="37.7109375" style="44" customWidth="1"/>
    <col min="3839" max="3839" width="9.140625" style="44"/>
    <col min="3840" max="3840" width="12.85546875" style="44" customWidth="1"/>
    <col min="3841" max="3842" width="0" style="44" hidden="1" customWidth="1"/>
    <col min="3843" max="3843" width="18.28515625" style="44" customWidth="1"/>
    <col min="3844" max="3844" width="64.85546875" style="44" customWidth="1"/>
    <col min="3845" max="3848" width="9.140625" style="44"/>
    <col min="3849" max="3849" width="14.85546875" style="44" customWidth="1"/>
    <col min="3850" max="4093" width="9.140625" style="44"/>
    <col min="4094" max="4094" width="37.7109375" style="44" customWidth="1"/>
    <col min="4095" max="4095" width="9.140625" style="44"/>
    <col min="4096" max="4096" width="12.85546875" style="44" customWidth="1"/>
    <col min="4097" max="4098" width="0" style="44" hidden="1" customWidth="1"/>
    <col min="4099" max="4099" width="18.28515625" style="44" customWidth="1"/>
    <col min="4100" max="4100" width="64.85546875" style="44" customWidth="1"/>
    <col min="4101" max="4104" width="9.140625" style="44"/>
    <col min="4105" max="4105" width="14.85546875" style="44" customWidth="1"/>
    <col min="4106" max="4349" width="9.140625" style="44"/>
    <col min="4350" max="4350" width="37.7109375" style="44" customWidth="1"/>
    <col min="4351" max="4351" width="9.140625" style="44"/>
    <col min="4352" max="4352" width="12.85546875" style="44" customWidth="1"/>
    <col min="4353" max="4354" width="0" style="44" hidden="1" customWidth="1"/>
    <col min="4355" max="4355" width="18.28515625" style="44" customWidth="1"/>
    <col min="4356" max="4356" width="64.85546875" style="44" customWidth="1"/>
    <col min="4357" max="4360" width="9.140625" style="44"/>
    <col min="4361" max="4361" width="14.85546875" style="44" customWidth="1"/>
    <col min="4362" max="4605" width="9.140625" style="44"/>
    <col min="4606" max="4606" width="37.7109375" style="44" customWidth="1"/>
    <col min="4607" max="4607" width="9.140625" style="44"/>
    <col min="4608" max="4608" width="12.85546875" style="44" customWidth="1"/>
    <col min="4609" max="4610" width="0" style="44" hidden="1" customWidth="1"/>
    <col min="4611" max="4611" width="18.28515625" style="44" customWidth="1"/>
    <col min="4612" max="4612" width="64.85546875" style="44" customWidth="1"/>
    <col min="4613" max="4616" width="9.140625" style="44"/>
    <col min="4617" max="4617" width="14.85546875" style="44" customWidth="1"/>
    <col min="4618" max="4861" width="9.140625" style="44"/>
    <col min="4862" max="4862" width="37.7109375" style="44" customWidth="1"/>
    <col min="4863" max="4863" width="9.140625" style="44"/>
    <col min="4864" max="4864" width="12.85546875" style="44" customWidth="1"/>
    <col min="4865" max="4866" width="0" style="44" hidden="1" customWidth="1"/>
    <col min="4867" max="4867" width="18.28515625" style="44" customWidth="1"/>
    <col min="4868" max="4868" width="64.85546875" style="44" customWidth="1"/>
    <col min="4869" max="4872" width="9.140625" style="44"/>
    <col min="4873" max="4873" width="14.85546875" style="44" customWidth="1"/>
    <col min="4874" max="5117" width="9.140625" style="44"/>
    <col min="5118" max="5118" width="37.7109375" style="44" customWidth="1"/>
    <col min="5119" max="5119" width="9.140625" style="44"/>
    <col min="5120" max="5120" width="12.85546875" style="44" customWidth="1"/>
    <col min="5121" max="5122" width="0" style="44" hidden="1" customWidth="1"/>
    <col min="5123" max="5123" width="18.28515625" style="44" customWidth="1"/>
    <col min="5124" max="5124" width="64.85546875" style="44" customWidth="1"/>
    <col min="5125" max="5128" width="9.140625" style="44"/>
    <col min="5129" max="5129" width="14.85546875" style="44" customWidth="1"/>
    <col min="5130" max="5373" width="9.140625" style="44"/>
    <col min="5374" max="5374" width="37.7109375" style="44" customWidth="1"/>
    <col min="5375" max="5375" width="9.140625" style="44"/>
    <col min="5376" max="5376" width="12.85546875" style="44" customWidth="1"/>
    <col min="5377" max="5378" width="0" style="44" hidden="1" customWidth="1"/>
    <col min="5379" max="5379" width="18.28515625" style="44" customWidth="1"/>
    <col min="5380" max="5380" width="64.85546875" style="44" customWidth="1"/>
    <col min="5381" max="5384" width="9.140625" style="44"/>
    <col min="5385" max="5385" width="14.85546875" style="44" customWidth="1"/>
    <col min="5386" max="5629" width="9.140625" style="44"/>
    <col min="5630" max="5630" width="37.7109375" style="44" customWidth="1"/>
    <col min="5631" max="5631" width="9.140625" style="44"/>
    <col min="5632" max="5632" width="12.85546875" style="44" customWidth="1"/>
    <col min="5633" max="5634" width="0" style="44" hidden="1" customWidth="1"/>
    <col min="5635" max="5635" width="18.28515625" style="44" customWidth="1"/>
    <col min="5636" max="5636" width="64.85546875" style="44" customWidth="1"/>
    <col min="5637" max="5640" width="9.140625" style="44"/>
    <col min="5641" max="5641" width="14.85546875" style="44" customWidth="1"/>
    <col min="5642" max="5885" width="9.140625" style="44"/>
    <col min="5886" max="5886" width="37.7109375" style="44" customWidth="1"/>
    <col min="5887" max="5887" width="9.140625" style="44"/>
    <col min="5888" max="5888" width="12.85546875" style="44" customWidth="1"/>
    <col min="5889" max="5890" width="0" style="44" hidden="1" customWidth="1"/>
    <col min="5891" max="5891" width="18.28515625" style="44" customWidth="1"/>
    <col min="5892" max="5892" width="64.85546875" style="44" customWidth="1"/>
    <col min="5893" max="5896" width="9.140625" style="44"/>
    <col min="5897" max="5897" width="14.85546875" style="44" customWidth="1"/>
    <col min="5898" max="6141" width="9.140625" style="44"/>
    <col min="6142" max="6142" width="37.7109375" style="44" customWidth="1"/>
    <col min="6143" max="6143" width="9.140625" style="44"/>
    <col min="6144" max="6144" width="12.85546875" style="44" customWidth="1"/>
    <col min="6145" max="6146" width="0" style="44" hidden="1" customWidth="1"/>
    <col min="6147" max="6147" width="18.28515625" style="44" customWidth="1"/>
    <col min="6148" max="6148" width="64.85546875" style="44" customWidth="1"/>
    <col min="6149" max="6152" width="9.140625" style="44"/>
    <col min="6153" max="6153" width="14.85546875" style="44" customWidth="1"/>
    <col min="6154" max="6397" width="9.140625" style="44"/>
    <col min="6398" max="6398" width="37.7109375" style="44" customWidth="1"/>
    <col min="6399" max="6399" width="9.140625" style="44"/>
    <col min="6400" max="6400" width="12.85546875" style="44" customWidth="1"/>
    <col min="6401" max="6402" width="0" style="44" hidden="1" customWidth="1"/>
    <col min="6403" max="6403" width="18.28515625" style="44" customWidth="1"/>
    <col min="6404" max="6404" width="64.85546875" style="44" customWidth="1"/>
    <col min="6405" max="6408" width="9.140625" style="44"/>
    <col min="6409" max="6409" width="14.85546875" style="44" customWidth="1"/>
    <col min="6410" max="6653" width="9.140625" style="44"/>
    <col min="6654" max="6654" width="37.7109375" style="44" customWidth="1"/>
    <col min="6655" max="6655" width="9.140625" style="44"/>
    <col min="6656" max="6656" width="12.85546875" style="44" customWidth="1"/>
    <col min="6657" max="6658" width="0" style="44" hidden="1" customWidth="1"/>
    <col min="6659" max="6659" width="18.28515625" style="44" customWidth="1"/>
    <col min="6660" max="6660" width="64.85546875" style="44" customWidth="1"/>
    <col min="6661" max="6664" width="9.140625" style="44"/>
    <col min="6665" max="6665" width="14.85546875" style="44" customWidth="1"/>
    <col min="6666" max="6909" width="9.140625" style="44"/>
    <col min="6910" max="6910" width="37.7109375" style="44" customWidth="1"/>
    <col min="6911" max="6911" width="9.140625" style="44"/>
    <col min="6912" max="6912" width="12.85546875" style="44" customWidth="1"/>
    <col min="6913" max="6914" width="0" style="44" hidden="1" customWidth="1"/>
    <col min="6915" max="6915" width="18.28515625" style="44" customWidth="1"/>
    <col min="6916" max="6916" width="64.85546875" style="44" customWidth="1"/>
    <col min="6917" max="6920" width="9.140625" style="44"/>
    <col min="6921" max="6921" width="14.85546875" style="44" customWidth="1"/>
    <col min="6922" max="7165" width="9.140625" style="44"/>
    <col min="7166" max="7166" width="37.7109375" style="44" customWidth="1"/>
    <col min="7167" max="7167" width="9.140625" style="44"/>
    <col min="7168" max="7168" width="12.85546875" style="44" customWidth="1"/>
    <col min="7169" max="7170" width="0" style="44" hidden="1" customWidth="1"/>
    <col min="7171" max="7171" width="18.28515625" style="44" customWidth="1"/>
    <col min="7172" max="7172" width="64.85546875" style="44" customWidth="1"/>
    <col min="7173" max="7176" width="9.140625" style="44"/>
    <col min="7177" max="7177" width="14.85546875" style="44" customWidth="1"/>
    <col min="7178" max="7421" width="9.140625" style="44"/>
    <col min="7422" max="7422" width="37.7109375" style="44" customWidth="1"/>
    <col min="7423" max="7423" width="9.140625" style="44"/>
    <col min="7424" max="7424" width="12.85546875" style="44" customWidth="1"/>
    <col min="7425" max="7426" width="0" style="44" hidden="1" customWidth="1"/>
    <col min="7427" max="7427" width="18.28515625" style="44" customWidth="1"/>
    <col min="7428" max="7428" width="64.85546875" style="44" customWidth="1"/>
    <col min="7429" max="7432" width="9.140625" style="44"/>
    <col min="7433" max="7433" width="14.85546875" style="44" customWidth="1"/>
    <col min="7434" max="7677" width="9.140625" style="44"/>
    <col min="7678" max="7678" width="37.7109375" style="44" customWidth="1"/>
    <col min="7679" max="7679" width="9.140625" style="44"/>
    <col min="7680" max="7680" width="12.85546875" style="44" customWidth="1"/>
    <col min="7681" max="7682" width="0" style="44" hidden="1" customWidth="1"/>
    <col min="7683" max="7683" width="18.28515625" style="44" customWidth="1"/>
    <col min="7684" max="7684" width="64.85546875" style="44" customWidth="1"/>
    <col min="7685" max="7688" width="9.140625" style="44"/>
    <col min="7689" max="7689" width="14.85546875" style="44" customWidth="1"/>
    <col min="7690" max="7933" width="9.140625" style="44"/>
    <col min="7934" max="7934" width="37.7109375" style="44" customWidth="1"/>
    <col min="7935" max="7935" width="9.140625" style="44"/>
    <col min="7936" max="7936" width="12.85546875" style="44" customWidth="1"/>
    <col min="7937" max="7938" width="0" style="44" hidden="1" customWidth="1"/>
    <col min="7939" max="7939" width="18.28515625" style="44" customWidth="1"/>
    <col min="7940" max="7940" width="64.85546875" style="44" customWidth="1"/>
    <col min="7941" max="7944" width="9.140625" style="44"/>
    <col min="7945" max="7945" width="14.85546875" style="44" customWidth="1"/>
    <col min="7946" max="8189" width="9.140625" style="44"/>
    <col min="8190" max="8190" width="37.7109375" style="44" customWidth="1"/>
    <col min="8191" max="8191" width="9.140625" style="44"/>
    <col min="8192" max="8192" width="12.85546875" style="44" customWidth="1"/>
    <col min="8193" max="8194" width="0" style="44" hidden="1" customWidth="1"/>
    <col min="8195" max="8195" width="18.28515625" style="44" customWidth="1"/>
    <col min="8196" max="8196" width="64.85546875" style="44" customWidth="1"/>
    <col min="8197" max="8200" width="9.140625" style="44"/>
    <col min="8201" max="8201" width="14.85546875" style="44" customWidth="1"/>
    <col min="8202" max="8445" width="9.140625" style="44"/>
    <col min="8446" max="8446" width="37.7109375" style="44" customWidth="1"/>
    <col min="8447" max="8447" width="9.140625" style="44"/>
    <col min="8448" max="8448" width="12.85546875" style="44" customWidth="1"/>
    <col min="8449" max="8450" width="0" style="44" hidden="1" customWidth="1"/>
    <col min="8451" max="8451" width="18.28515625" style="44" customWidth="1"/>
    <col min="8452" max="8452" width="64.85546875" style="44" customWidth="1"/>
    <col min="8453" max="8456" width="9.140625" style="44"/>
    <col min="8457" max="8457" width="14.85546875" style="44" customWidth="1"/>
    <col min="8458" max="8701" width="9.140625" style="44"/>
    <col min="8702" max="8702" width="37.7109375" style="44" customWidth="1"/>
    <col min="8703" max="8703" width="9.140625" style="44"/>
    <col min="8704" max="8704" width="12.85546875" style="44" customWidth="1"/>
    <col min="8705" max="8706" width="0" style="44" hidden="1" customWidth="1"/>
    <col min="8707" max="8707" width="18.28515625" style="44" customWidth="1"/>
    <col min="8708" max="8708" width="64.85546875" style="44" customWidth="1"/>
    <col min="8709" max="8712" width="9.140625" style="44"/>
    <col min="8713" max="8713" width="14.85546875" style="44" customWidth="1"/>
    <col min="8714" max="8957" width="9.140625" style="44"/>
    <col min="8958" max="8958" width="37.7109375" style="44" customWidth="1"/>
    <col min="8959" max="8959" width="9.140625" style="44"/>
    <col min="8960" max="8960" width="12.85546875" style="44" customWidth="1"/>
    <col min="8961" max="8962" width="0" style="44" hidden="1" customWidth="1"/>
    <col min="8963" max="8963" width="18.28515625" style="44" customWidth="1"/>
    <col min="8964" max="8964" width="64.85546875" style="44" customWidth="1"/>
    <col min="8965" max="8968" width="9.140625" style="44"/>
    <col min="8969" max="8969" width="14.85546875" style="44" customWidth="1"/>
    <col min="8970" max="9213" width="9.140625" style="44"/>
    <col min="9214" max="9214" width="37.7109375" style="44" customWidth="1"/>
    <col min="9215" max="9215" width="9.140625" style="44"/>
    <col min="9216" max="9216" width="12.85546875" style="44" customWidth="1"/>
    <col min="9217" max="9218" width="0" style="44" hidden="1" customWidth="1"/>
    <col min="9219" max="9219" width="18.28515625" style="44" customWidth="1"/>
    <col min="9220" max="9220" width="64.85546875" style="44" customWidth="1"/>
    <col min="9221" max="9224" width="9.140625" style="44"/>
    <col min="9225" max="9225" width="14.85546875" style="44" customWidth="1"/>
    <col min="9226" max="9469" width="9.140625" style="44"/>
    <col min="9470" max="9470" width="37.7109375" style="44" customWidth="1"/>
    <col min="9471" max="9471" width="9.140625" style="44"/>
    <col min="9472" max="9472" width="12.85546875" style="44" customWidth="1"/>
    <col min="9473" max="9474" width="0" style="44" hidden="1" customWidth="1"/>
    <col min="9475" max="9475" width="18.28515625" style="44" customWidth="1"/>
    <col min="9476" max="9476" width="64.85546875" style="44" customWidth="1"/>
    <col min="9477" max="9480" width="9.140625" style="44"/>
    <col min="9481" max="9481" width="14.85546875" style="44" customWidth="1"/>
    <col min="9482" max="9725" width="9.140625" style="44"/>
    <col min="9726" max="9726" width="37.7109375" style="44" customWidth="1"/>
    <col min="9727" max="9727" width="9.140625" style="44"/>
    <col min="9728" max="9728" width="12.85546875" style="44" customWidth="1"/>
    <col min="9729" max="9730" width="0" style="44" hidden="1" customWidth="1"/>
    <col min="9731" max="9731" width="18.28515625" style="44" customWidth="1"/>
    <col min="9732" max="9732" width="64.85546875" style="44" customWidth="1"/>
    <col min="9733" max="9736" width="9.140625" style="44"/>
    <col min="9737" max="9737" width="14.85546875" style="44" customWidth="1"/>
    <col min="9738" max="9981" width="9.140625" style="44"/>
    <col min="9982" max="9982" width="37.7109375" style="44" customWidth="1"/>
    <col min="9983" max="9983" width="9.140625" style="44"/>
    <col min="9984" max="9984" width="12.85546875" style="44" customWidth="1"/>
    <col min="9985" max="9986" width="0" style="44" hidden="1" customWidth="1"/>
    <col min="9987" max="9987" width="18.28515625" style="44" customWidth="1"/>
    <col min="9988" max="9988" width="64.85546875" style="44" customWidth="1"/>
    <col min="9989" max="9992" width="9.140625" style="44"/>
    <col min="9993" max="9993" width="14.85546875" style="44" customWidth="1"/>
    <col min="9994" max="10237" width="9.140625" style="44"/>
    <col min="10238" max="10238" width="37.7109375" style="44" customWidth="1"/>
    <col min="10239" max="10239" width="9.140625" style="44"/>
    <col min="10240" max="10240" width="12.85546875" style="44" customWidth="1"/>
    <col min="10241" max="10242" width="0" style="44" hidden="1" customWidth="1"/>
    <col min="10243" max="10243" width="18.28515625" style="44" customWidth="1"/>
    <col min="10244" max="10244" width="64.85546875" style="44" customWidth="1"/>
    <col min="10245" max="10248" width="9.140625" style="44"/>
    <col min="10249" max="10249" width="14.85546875" style="44" customWidth="1"/>
    <col min="10250" max="10493" width="9.140625" style="44"/>
    <col min="10494" max="10494" width="37.7109375" style="44" customWidth="1"/>
    <col min="10495" max="10495" width="9.140625" style="44"/>
    <col min="10496" max="10496" width="12.85546875" style="44" customWidth="1"/>
    <col min="10497" max="10498" width="0" style="44" hidden="1" customWidth="1"/>
    <col min="10499" max="10499" width="18.28515625" style="44" customWidth="1"/>
    <col min="10500" max="10500" width="64.85546875" style="44" customWidth="1"/>
    <col min="10501" max="10504" width="9.140625" style="44"/>
    <col min="10505" max="10505" width="14.85546875" style="44" customWidth="1"/>
    <col min="10506" max="10749" width="9.140625" style="44"/>
    <col min="10750" max="10750" width="37.7109375" style="44" customWidth="1"/>
    <col min="10751" max="10751" width="9.140625" style="44"/>
    <col min="10752" max="10752" width="12.85546875" style="44" customWidth="1"/>
    <col min="10753" max="10754" width="0" style="44" hidden="1" customWidth="1"/>
    <col min="10755" max="10755" width="18.28515625" style="44" customWidth="1"/>
    <col min="10756" max="10756" width="64.85546875" style="44" customWidth="1"/>
    <col min="10757" max="10760" width="9.140625" style="44"/>
    <col min="10761" max="10761" width="14.85546875" style="44" customWidth="1"/>
    <col min="10762" max="11005" width="9.140625" style="44"/>
    <col min="11006" max="11006" width="37.7109375" style="44" customWidth="1"/>
    <col min="11007" max="11007" width="9.140625" style="44"/>
    <col min="11008" max="11008" width="12.85546875" style="44" customWidth="1"/>
    <col min="11009" max="11010" width="0" style="44" hidden="1" customWidth="1"/>
    <col min="11011" max="11011" width="18.28515625" style="44" customWidth="1"/>
    <col min="11012" max="11012" width="64.85546875" style="44" customWidth="1"/>
    <col min="11013" max="11016" width="9.140625" style="44"/>
    <col min="11017" max="11017" width="14.85546875" style="44" customWidth="1"/>
    <col min="11018" max="11261" width="9.140625" style="44"/>
    <col min="11262" max="11262" width="37.7109375" style="44" customWidth="1"/>
    <col min="11263" max="11263" width="9.140625" style="44"/>
    <col min="11264" max="11264" width="12.85546875" style="44" customWidth="1"/>
    <col min="11265" max="11266" width="0" style="44" hidden="1" customWidth="1"/>
    <col min="11267" max="11267" width="18.28515625" style="44" customWidth="1"/>
    <col min="11268" max="11268" width="64.85546875" style="44" customWidth="1"/>
    <col min="11269" max="11272" width="9.140625" style="44"/>
    <col min="11273" max="11273" width="14.85546875" style="44" customWidth="1"/>
    <col min="11274" max="11517" width="9.140625" style="44"/>
    <col min="11518" max="11518" width="37.7109375" style="44" customWidth="1"/>
    <col min="11519" max="11519" width="9.140625" style="44"/>
    <col min="11520" max="11520" width="12.85546875" style="44" customWidth="1"/>
    <col min="11521" max="11522" width="0" style="44" hidden="1" customWidth="1"/>
    <col min="11523" max="11523" width="18.28515625" style="44" customWidth="1"/>
    <col min="11524" max="11524" width="64.85546875" style="44" customWidth="1"/>
    <col min="11525" max="11528" width="9.140625" style="44"/>
    <col min="11529" max="11529" width="14.85546875" style="44" customWidth="1"/>
    <col min="11530" max="11773" width="9.140625" style="44"/>
    <col min="11774" max="11774" width="37.7109375" style="44" customWidth="1"/>
    <col min="11775" max="11775" width="9.140625" style="44"/>
    <col min="11776" max="11776" width="12.85546875" style="44" customWidth="1"/>
    <col min="11777" max="11778" width="0" style="44" hidden="1" customWidth="1"/>
    <col min="11779" max="11779" width="18.28515625" style="44" customWidth="1"/>
    <col min="11780" max="11780" width="64.85546875" style="44" customWidth="1"/>
    <col min="11781" max="11784" width="9.140625" style="44"/>
    <col min="11785" max="11785" width="14.85546875" style="44" customWidth="1"/>
    <col min="11786" max="12029" width="9.140625" style="44"/>
    <col min="12030" max="12030" width="37.7109375" style="44" customWidth="1"/>
    <col min="12031" max="12031" width="9.140625" style="44"/>
    <col min="12032" max="12032" width="12.85546875" style="44" customWidth="1"/>
    <col min="12033" max="12034" width="0" style="44" hidden="1" customWidth="1"/>
    <col min="12035" max="12035" width="18.28515625" style="44" customWidth="1"/>
    <col min="12036" max="12036" width="64.85546875" style="44" customWidth="1"/>
    <col min="12037" max="12040" width="9.140625" style="44"/>
    <col min="12041" max="12041" width="14.85546875" style="44" customWidth="1"/>
    <col min="12042" max="12285" width="9.140625" style="44"/>
    <col min="12286" max="12286" width="37.7109375" style="44" customWidth="1"/>
    <col min="12287" max="12287" width="9.140625" style="44"/>
    <col min="12288" max="12288" width="12.85546875" style="44" customWidth="1"/>
    <col min="12289" max="12290" width="0" style="44" hidden="1" customWidth="1"/>
    <col min="12291" max="12291" width="18.28515625" style="44" customWidth="1"/>
    <col min="12292" max="12292" width="64.85546875" style="44" customWidth="1"/>
    <col min="12293" max="12296" width="9.140625" style="44"/>
    <col min="12297" max="12297" width="14.85546875" style="44" customWidth="1"/>
    <col min="12298" max="12541" width="9.140625" style="44"/>
    <col min="12542" max="12542" width="37.7109375" style="44" customWidth="1"/>
    <col min="12543" max="12543" width="9.140625" style="44"/>
    <col min="12544" max="12544" width="12.85546875" style="44" customWidth="1"/>
    <col min="12545" max="12546" width="0" style="44" hidden="1" customWidth="1"/>
    <col min="12547" max="12547" width="18.28515625" style="44" customWidth="1"/>
    <col min="12548" max="12548" width="64.85546875" style="44" customWidth="1"/>
    <col min="12549" max="12552" width="9.140625" style="44"/>
    <col min="12553" max="12553" width="14.85546875" style="44" customWidth="1"/>
    <col min="12554" max="12797" width="9.140625" style="44"/>
    <col min="12798" max="12798" width="37.7109375" style="44" customWidth="1"/>
    <col min="12799" max="12799" width="9.140625" style="44"/>
    <col min="12800" max="12800" width="12.85546875" style="44" customWidth="1"/>
    <col min="12801" max="12802" width="0" style="44" hidden="1" customWidth="1"/>
    <col min="12803" max="12803" width="18.28515625" style="44" customWidth="1"/>
    <col min="12804" max="12804" width="64.85546875" style="44" customWidth="1"/>
    <col min="12805" max="12808" width="9.140625" style="44"/>
    <col min="12809" max="12809" width="14.85546875" style="44" customWidth="1"/>
    <col min="12810" max="13053" width="9.140625" style="44"/>
    <col min="13054" max="13054" width="37.7109375" style="44" customWidth="1"/>
    <col min="13055" max="13055" width="9.140625" style="44"/>
    <col min="13056" max="13056" width="12.85546875" style="44" customWidth="1"/>
    <col min="13057" max="13058" width="0" style="44" hidden="1" customWidth="1"/>
    <col min="13059" max="13059" width="18.28515625" style="44" customWidth="1"/>
    <col min="13060" max="13060" width="64.85546875" style="44" customWidth="1"/>
    <col min="13061" max="13064" width="9.140625" style="44"/>
    <col min="13065" max="13065" width="14.85546875" style="44" customWidth="1"/>
    <col min="13066" max="13309" width="9.140625" style="44"/>
    <col min="13310" max="13310" width="37.7109375" style="44" customWidth="1"/>
    <col min="13311" max="13311" width="9.140625" style="44"/>
    <col min="13312" max="13312" width="12.85546875" style="44" customWidth="1"/>
    <col min="13313" max="13314" width="0" style="44" hidden="1" customWidth="1"/>
    <col min="13315" max="13315" width="18.28515625" style="44" customWidth="1"/>
    <col min="13316" max="13316" width="64.85546875" style="44" customWidth="1"/>
    <col min="13317" max="13320" width="9.140625" style="44"/>
    <col min="13321" max="13321" width="14.85546875" style="44" customWidth="1"/>
    <col min="13322" max="13565" width="9.140625" style="44"/>
    <col min="13566" max="13566" width="37.7109375" style="44" customWidth="1"/>
    <col min="13567" max="13567" width="9.140625" style="44"/>
    <col min="13568" max="13568" width="12.85546875" style="44" customWidth="1"/>
    <col min="13569" max="13570" width="0" style="44" hidden="1" customWidth="1"/>
    <col min="13571" max="13571" width="18.28515625" style="44" customWidth="1"/>
    <col min="13572" max="13572" width="64.85546875" style="44" customWidth="1"/>
    <col min="13573" max="13576" width="9.140625" style="44"/>
    <col min="13577" max="13577" width="14.85546875" style="44" customWidth="1"/>
    <col min="13578" max="13821" width="9.140625" style="44"/>
    <col min="13822" max="13822" width="37.7109375" style="44" customWidth="1"/>
    <col min="13823" max="13823" width="9.140625" style="44"/>
    <col min="13824" max="13824" width="12.85546875" style="44" customWidth="1"/>
    <col min="13825" max="13826" width="0" style="44" hidden="1" customWidth="1"/>
    <col min="13827" max="13827" width="18.28515625" style="44" customWidth="1"/>
    <col min="13828" max="13828" width="64.85546875" style="44" customWidth="1"/>
    <col min="13829" max="13832" width="9.140625" style="44"/>
    <col min="13833" max="13833" width="14.85546875" style="44" customWidth="1"/>
    <col min="13834" max="14077" width="9.140625" style="44"/>
    <col min="14078" max="14078" width="37.7109375" style="44" customWidth="1"/>
    <col min="14079" max="14079" width="9.140625" style="44"/>
    <col min="14080" max="14080" width="12.85546875" style="44" customWidth="1"/>
    <col min="14081" max="14082" width="0" style="44" hidden="1" customWidth="1"/>
    <col min="14083" max="14083" width="18.28515625" style="44" customWidth="1"/>
    <col min="14084" max="14084" width="64.85546875" style="44" customWidth="1"/>
    <col min="14085" max="14088" width="9.140625" style="44"/>
    <col min="14089" max="14089" width="14.85546875" style="44" customWidth="1"/>
    <col min="14090" max="14333" width="9.140625" style="44"/>
    <col min="14334" max="14334" width="37.7109375" style="44" customWidth="1"/>
    <col min="14335" max="14335" width="9.140625" style="44"/>
    <col min="14336" max="14336" width="12.85546875" style="44" customWidth="1"/>
    <col min="14337" max="14338" width="0" style="44" hidden="1" customWidth="1"/>
    <col min="14339" max="14339" width="18.28515625" style="44" customWidth="1"/>
    <col min="14340" max="14340" width="64.85546875" style="44" customWidth="1"/>
    <col min="14341" max="14344" width="9.140625" style="44"/>
    <col min="14345" max="14345" width="14.85546875" style="44" customWidth="1"/>
    <col min="14346" max="14589" width="9.140625" style="44"/>
    <col min="14590" max="14590" width="37.7109375" style="44" customWidth="1"/>
    <col min="14591" max="14591" width="9.140625" style="44"/>
    <col min="14592" max="14592" width="12.85546875" style="44" customWidth="1"/>
    <col min="14593" max="14594" width="0" style="44" hidden="1" customWidth="1"/>
    <col min="14595" max="14595" width="18.28515625" style="44" customWidth="1"/>
    <col min="14596" max="14596" width="64.85546875" style="44" customWidth="1"/>
    <col min="14597" max="14600" width="9.140625" style="44"/>
    <col min="14601" max="14601" width="14.85546875" style="44" customWidth="1"/>
    <col min="14602" max="14845" width="9.140625" style="44"/>
    <col min="14846" max="14846" width="37.7109375" style="44" customWidth="1"/>
    <col min="14847" max="14847" width="9.140625" style="44"/>
    <col min="14848" max="14848" width="12.85546875" style="44" customWidth="1"/>
    <col min="14849" max="14850" width="0" style="44" hidden="1" customWidth="1"/>
    <col min="14851" max="14851" width="18.28515625" style="44" customWidth="1"/>
    <col min="14852" max="14852" width="64.85546875" style="44" customWidth="1"/>
    <col min="14853" max="14856" width="9.140625" style="44"/>
    <col min="14857" max="14857" width="14.85546875" style="44" customWidth="1"/>
    <col min="14858" max="15101" width="9.140625" style="44"/>
    <col min="15102" max="15102" width="37.7109375" style="44" customWidth="1"/>
    <col min="15103" max="15103" width="9.140625" style="44"/>
    <col min="15104" max="15104" width="12.85546875" style="44" customWidth="1"/>
    <col min="15105" max="15106" width="0" style="44" hidden="1" customWidth="1"/>
    <col min="15107" max="15107" width="18.28515625" style="44" customWidth="1"/>
    <col min="15108" max="15108" width="64.85546875" style="44" customWidth="1"/>
    <col min="15109" max="15112" width="9.140625" style="44"/>
    <col min="15113" max="15113" width="14.85546875" style="44" customWidth="1"/>
    <col min="15114" max="15357" width="9.140625" style="44"/>
    <col min="15358" max="15358" width="37.7109375" style="44" customWidth="1"/>
    <col min="15359" max="15359" width="9.140625" style="44"/>
    <col min="15360" max="15360" width="12.85546875" style="44" customWidth="1"/>
    <col min="15361" max="15362" width="0" style="44" hidden="1" customWidth="1"/>
    <col min="15363" max="15363" width="18.28515625" style="44" customWidth="1"/>
    <col min="15364" max="15364" width="64.85546875" style="44" customWidth="1"/>
    <col min="15365" max="15368" width="9.140625" style="44"/>
    <col min="15369" max="15369" width="14.85546875" style="44" customWidth="1"/>
    <col min="15370" max="15613" width="9.140625" style="44"/>
    <col min="15614" max="15614" width="37.7109375" style="44" customWidth="1"/>
    <col min="15615" max="15615" width="9.140625" style="44"/>
    <col min="15616" max="15616" width="12.85546875" style="44" customWidth="1"/>
    <col min="15617" max="15618" width="0" style="44" hidden="1" customWidth="1"/>
    <col min="15619" max="15619" width="18.28515625" style="44" customWidth="1"/>
    <col min="15620" max="15620" width="64.85546875" style="44" customWidth="1"/>
    <col min="15621" max="15624" width="9.140625" style="44"/>
    <col min="15625" max="15625" width="14.85546875" style="44" customWidth="1"/>
    <col min="15626" max="15869" width="9.140625" style="44"/>
    <col min="15870" max="15870" width="37.7109375" style="44" customWidth="1"/>
    <col min="15871" max="15871" width="9.140625" style="44"/>
    <col min="15872" max="15872" width="12.85546875" style="44" customWidth="1"/>
    <col min="15873" max="15874" width="0" style="44" hidden="1" customWidth="1"/>
    <col min="15875" max="15875" width="18.28515625" style="44" customWidth="1"/>
    <col min="15876" max="15876" width="64.85546875" style="44" customWidth="1"/>
    <col min="15877" max="15880" width="9.140625" style="44"/>
    <col min="15881" max="15881" width="14.85546875" style="44" customWidth="1"/>
    <col min="15882" max="16125" width="9.140625" style="44"/>
    <col min="16126" max="16126" width="37.7109375" style="44" customWidth="1"/>
    <col min="16127" max="16127" width="9.140625" style="44"/>
    <col min="16128" max="16128" width="12.85546875" style="44" customWidth="1"/>
    <col min="16129" max="16130" width="0" style="44" hidden="1" customWidth="1"/>
    <col min="16131" max="16131" width="18.28515625" style="44" customWidth="1"/>
    <col min="16132" max="16132" width="64.85546875" style="44" customWidth="1"/>
    <col min="16133" max="16136" width="9.140625" style="44"/>
    <col min="16137" max="16137" width="14.85546875" style="44" customWidth="1"/>
    <col min="16138" max="16384" width="9.140625" style="44"/>
  </cols>
  <sheetData>
    <row r="1" spans="1:45" ht="18.75" x14ac:dyDescent="0.25">
      <c r="M1" s="29" t="s">
        <v>66</v>
      </c>
    </row>
    <row r="2" spans="1:45" ht="18.75" x14ac:dyDescent="0.3">
      <c r="M2" s="14" t="s">
        <v>8</v>
      </c>
    </row>
    <row r="3" spans="1:45" ht="18.75" x14ac:dyDescent="0.3">
      <c r="M3" s="14" t="s">
        <v>65</v>
      </c>
    </row>
    <row r="4" spans="1:45" ht="18.75" x14ac:dyDescent="0.3">
      <c r="M4" s="14"/>
    </row>
    <row r="5" spans="1:45" x14ac:dyDescent="0.25">
      <c r="A5" s="388" t="str">
        <f>'1. паспорт местоположение'!A5:C5</f>
        <v>Год раскрытия информации: 2021 год</v>
      </c>
      <c r="B5" s="388"/>
      <c r="C5" s="388"/>
      <c r="D5" s="388"/>
      <c r="E5" s="388"/>
      <c r="F5" s="388"/>
      <c r="G5" s="388"/>
      <c r="H5" s="388"/>
      <c r="I5" s="388"/>
      <c r="J5" s="388"/>
      <c r="K5" s="388"/>
      <c r="L5" s="388"/>
      <c r="M5" s="388"/>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ht="18.75" x14ac:dyDescent="0.3">
      <c r="M6" s="14"/>
    </row>
    <row r="7" spans="1:45" ht="18.75" x14ac:dyDescent="0.25">
      <c r="A7" s="397" t="s">
        <v>7</v>
      </c>
      <c r="B7" s="397"/>
      <c r="C7" s="397"/>
      <c r="D7" s="397"/>
      <c r="E7" s="397"/>
      <c r="F7" s="397"/>
      <c r="G7" s="397"/>
      <c r="H7" s="397"/>
      <c r="I7" s="397"/>
      <c r="J7" s="397"/>
      <c r="K7" s="397"/>
      <c r="L7" s="397"/>
      <c r="M7" s="397"/>
    </row>
    <row r="8" spans="1:45" ht="18.75" x14ac:dyDescent="0.25">
      <c r="A8" s="397"/>
      <c r="B8" s="397"/>
      <c r="C8" s="397"/>
      <c r="D8" s="397"/>
      <c r="E8" s="397"/>
      <c r="F8" s="397"/>
      <c r="G8" s="397"/>
      <c r="H8" s="397"/>
      <c r="I8" s="397"/>
      <c r="J8" s="397"/>
      <c r="K8" s="397"/>
      <c r="L8" s="397"/>
      <c r="M8" s="397"/>
    </row>
    <row r="9" spans="1:45" x14ac:dyDescent="0.25">
      <c r="A9" s="395" t="str">
        <f>'1. паспорт местоположение'!A9:C9</f>
        <v xml:space="preserve">Акционерное общество "Западная энергетическая компания" </v>
      </c>
      <c r="B9" s="395"/>
      <c r="C9" s="395"/>
      <c r="D9" s="395"/>
      <c r="E9" s="395"/>
      <c r="F9" s="395"/>
      <c r="G9" s="395"/>
      <c r="H9" s="395"/>
      <c r="I9" s="395"/>
      <c r="J9" s="395"/>
      <c r="K9" s="395"/>
      <c r="L9" s="395"/>
      <c r="M9" s="395"/>
    </row>
    <row r="10" spans="1:45" x14ac:dyDescent="0.25">
      <c r="A10" s="401" t="s">
        <v>6</v>
      </c>
      <c r="B10" s="401"/>
      <c r="C10" s="401"/>
      <c r="D10" s="401"/>
      <c r="E10" s="401"/>
      <c r="F10" s="401"/>
      <c r="G10" s="401"/>
      <c r="H10" s="401"/>
      <c r="I10" s="401"/>
      <c r="J10" s="401"/>
      <c r="K10" s="401"/>
      <c r="L10" s="401"/>
      <c r="M10" s="401"/>
    </row>
    <row r="11" spans="1:45" ht="18.75" x14ac:dyDescent="0.25">
      <c r="A11" s="397"/>
      <c r="B11" s="397"/>
      <c r="C11" s="397"/>
      <c r="D11" s="397"/>
      <c r="E11" s="397"/>
      <c r="F11" s="397"/>
      <c r="G11" s="397"/>
      <c r="H11" s="397"/>
      <c r="I11" s="397"/>
      <c r="J11" s="397"/>
      <c r="K11" s="397"/>
      <c r="L11" s="397"/>
      <c r="M11" s="397"/>
    </row>
    <row r="12" spans="1:45" x14ac:dyDescent="0.25">
      <c r="A12" s="395" t="str">
        <f>'1. паспорт местоположение'!A12:C12</f>
        <v>J  19-01</v>
      </c>
      <c r="B12" s="395"/>
      <c r="C12" s="395"/>
      <c r="D12" s="395"/>
      <c r="E12" s="395"/>
      <c r="F12" s="395"/>
      <c r="G12" s="395"/>
      <c r="H12" s="395"/>
      <c r="I12" s="395"/>
      <c r="J12" s="395"/>
      <c r="K12" s="395"/>
      <c r="L12" s="395"/>
      <c r="M12" s="395"/>
    </row>
    <row r="13" spans="1:45" x14ac:dyDescent="0.25">
      <c r="A13" s="401" t="s">
        <v>5</v>
      </c>
      <c r="B13" s="401"/>
      <c r="C13" s="401"/>
      <c r="D13" s="401"/>
      <c r="E13" s="401"/>
      <c r="F13" s="401"/>
      <c r="G13" s="401"/>
      <c r="H13" s="401"/>
      <c r="I13" s="401"/>
      <c r="J13" s="401"/>
      <c r="K13" s="401"/>
      <c r="L13" s="401"/>
      <c r="M13" s="401"/>
    </row>
    <row r="14" spans="1:45" ht="18.75" x14ac:dyDescent="0.25">
      <c r="A14" s="402"/>
      <c r="B14" s="402"/>
      <c r="C14" s="402"/>
      <c r="D14" s="402"/>
      <c r="E14" s="402"/>
      <c r="F14" s="402"/>
      <c r="G14" s="402"/>
      <c r="H14" s="402"/>
      <c r="I14" s="402"/>
      <c r="J14" s="402"/>
      <c r="K14" s="402"/>
      <c r="L14" s="402"/>
      <c r="M14" s="402"/>
    </row>
    <row r="15" spans="1:45" x14ac:dyDescent="0.25">
      <c r="A15"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5"/>
      <c r="C15" s="395"/>
      <c r="D15" s="395"/>
      <c r="E15" s="395"/>
      <c r="F15" s="395"/>
      <c r="G15" s="395"/>
      <c r="H15" s="395"/>
      <c r="I15" s="395"/>
      <c r="J15" s="395"/>
      <c r="K15" s="395"/>
      <c r="L15" s="395"/>
      <c r="M15" s="395"/>
    </row>
    <row r="16" spans="1:45" x14ac:dyDescent="0.25">
      <c r="A16" s="389" t="s">
        <v>4</v>
      </c>
      <c r="B16" s="389"/>
      <c r="C16" s="389"/>
      <c r="D16" s="389"/>
      <c r="E16" s="389"/>
      <c r="F16" s="389"/>
      <c r="G16" s="389"/>
      <c r="H16" s="389"/>
      <c r="I16" s="389"/>
      <c r="J16" s="389"/>
      <c r="K16" s="389"/>
      <c r="L16" s="389"/>
      <c r="M16" s="389"/>
    </row>
    <row r="17" spans="1:13" ht="15.75" customHeight="1" x14ac:dyDescent="0.25"/>
    <row r="18" spans="1:13" x14ac:dyDescent="0.25">
      <c r="M18" s="70"/>
    </row>
    <row r="19" spans="1:13" ht="15.75" customHeight="1" x14ac:dyDescent="0.25">
      <c r="A19" s="472" t="s">
        <v>392</v>
      </c>
      <c r="B19" s="472"/>
      <c r="C19" s="472"/>
      <c r="D19" s="472"/>
      <c r="E19" s="472"/>
      <c r="F19" s="472"/>
      <c r="G19" s="472"/>
      <c r="H19" s="472"/>
      <c r="I19" s="472"/>
      <c r="J19" s="472"/>
      <c r="K19" s="472"/>
      <c r="L19" s="472"/>
      <c r="M19" s="472"/>
    </row>
    <row r="20" spans="1:13" x14ac:dyDescent="0.25">
      <c r="A20" s="48"/>
      <c r="B20" s="48"/>
      <c r="C20" s="69"/>
      <c r="D20" s="69"/>
      <c r="E20" s="69"/>
      <c r="F20" s="69"/>
      <c r="G20" s="69"/>
      <c r="H20" s="69"/>
      <c r="I20" s="69"/>
      <c r="J20" s="69"/>
      <c r="K20" s="69"/>
      <c r="L20" s="69"/>
      <c r="M20" s="69"/>
    </row>
    <row r="21" spans="1:13" ht="28.5" customHeight="1" x14ac:dyDescent="0.25">
      <c r="A21" s="465" t="s">
        <v>199</v>
      </c>
      <c r="B21" s="465" t="s">
        <v>488</v>
      </c>
      <c r="C21" s="465" t="s">
        <v>352</v>
      </c>
      <c r="D21" s="465"/>
      <c r="E21" s="465"/>
      <c r="F21" s="465"/>
      <c r="G21" s="465"/>
      <c r="H21" s="465"/>
      <c r="I21" s="237"/>
      <c r="J21" s="237"/>
      <c r="K21" s="466" t="s">
        <v>198</v>
      </c>
      <c r="L21" s="467" t="s">
        <v>353</v>
      </c>
      <c r="M21" s="465" t="s">
        <v>197</v>
      </c>
    </row>
    <row r="22" spans="1:13" ht="58.5" customHeight="1" x14ac:dyDescent="0.25">
      <c r="A22" s="465"/>
      <c r="B22" s="465"/>
      <c r="C22" s="470" t="s">
        <v>541</v>
      </c>
      <c r="D22" s="470"/>
      <c r="E22" s="471" t="s">
        <v>9</v>
      </c>
      <c r="F22" s="471"/>
      <c r="G22" s="471" t="s">
        <v>541</v>
      </c>
      <c r="H22" s="471"/>
      <c r="I22" s="471" t="s">
        <v>542</v>
      </c>
      <c r="J22" s="471"/>
      <c r="K22" s="466"/>
      <c r="L22" s="468"/>
      <c r="M22" s="465"/>
    </row>
    <row r="23" spans="1:13" ht="31.5" x14ac:dyDescent="0.25">
      <c r="A23" s="465"/>
      <c r="B23" s="465"/>
      <c r="C23" s="200" t="s">
        <v>196</v>
      </c>
      <c r="D23" s="200" t="s">
        <v>195</v>
      </c>
      <c r="E23" s="200" t="s">
        <v>196</v>
      </c>
      <c r="F23" s="200" t="s">
        <v>195</v>
      </c>
      <c r="G23" s="200" t="s">
        <v>196</v>
      </c>
      <c r="H23" s="200" t="s">
        <v>195</v>
      </c>
      <c r="I23" s="238" t="s">
        <v>196</v>
      </c>
      <c r="J23" s="238" t="s">
        <v>195</v>
      </c>
      <c r="K23" s="466"/>
      <c r="L23" s="469"/>
      <c r="M23" s="465"/>
    </row>
    <row r="24" spans="1:13" x14ac:dyDescent="0.25">
      <c r="A24" s="201">
        <v>1</v>
      </c>
      <c r="B24" s="201">
        <v>2</v>
      </c>
      <c r="C24" s="200">
        <v>3</v>
      </c>
      <c r="D24" s="200">
        <v>4</v>
      </c>
      <c r="E24" s="200">
        <v>5</v>
      </c>
      <c r="F24" s="200">
        <v>6</v>
      </c>
      <c r="G24" s="200">
        <v>7</v>
      </c>
      <c r="H24" s="200">
        <v>8</v>
      </c>
      <c r="I24" s="238"/>
      <c r="J24" s="238"/>
      <c r="K24" s="200">
        <v>9</v>
      </c>
      <c r="L24" s="200">
        <v>10</v>
      </c>
      <c r="M24" s="200">
        <v>11</v>
      </c>
    </row>
    <row r="25" spans="1:13" s="51" customFormat="1" x14ac:dyDescent="0.25">
      <c r="A25" s="205">
        <v>1</v>
      </c>
      <c r="B25" s="206" t="s">
        <v>194</v>
      </c>
      <c r="C25" s="207"/>
      <c r="D25" s="207"/>
      <c r="E25" s="213"/>
      <c r="F25" s="213"/>
      <c r="G25" s="213"/>
      <c r="H25" s="213"/>
      <c r="I25" s="239"/>
      <c r="J25" s="239"/>
      <c r="K25" s="213"/>
      <c r="L25" s="196"/>
      <c r="M25" s="197"/>
    </row>
    <row r="26" spans="1:13" s="51" customFormat="1" x14ac:dyDescent="0.25">
      <c r="A26" s="205" t="s">
        <v>489</v>
      </c>
      <c r="B26" s="210" t="s">
        <v>490</v>
      </c>
      <c r="C26" s="207"/>
      <c r="D26" s="207"/>
      <c r="E26" s="214">
        <v>42859</v>
      </c>
      <c r="F26" s="214">
        <v>42859</v>
      </c>
      <c r="G26" s="214"/>
      <c r="H26" s="214"/>
      <c r="I26" s="240"/>
      <c r="J26" s="240"/>
      <c r="K26" s="215"/>
      <c r="L26" s="196"/>
      <c r="M26" s="197"/>
    </row>
    <row r="27" spans="1:13" s="51" customFormat="1" ht="31.5" x14ac:dyDescent="0.25">
      <c r="A27" s="205" t="s">
        <v>491</v>
      </c>
      <c r="B27" s="210" t="s">
        <v>492</v>
      </c>
      <c r="C27" s="207"/>
      <c r="D27" s="207"/>
      <c r="E27" s="214">
        <v>42807</v>
      </c>
      <c r="F27" s="214">
        <v>42807</v>
      </c>
      <c r="G27" s="214"/>
      <c r="H27" s="214"/>
      <c r="I27" s="240"/>
      <c r="J27" s="240"/>
      <c r="K27" s="215"/>
      <c r="L27" s="196"/>
      <c r="M27" s="197"/>
    </row>
    <row r="28" spans="1:13" s="51" customFormat="1" ht="63" x14ac:dyDescent="0.25">
      <c r="A28" s="205" t="s">
        <v>494</v>
      </c>
      <c r="B28" s="210" t="s">
        <v>493</v>
      </c>
      <c r="C28" s="207" t="s">
        <v>436</v>
      </c>
      <c r="D28" s="207" t="s">
        <v>436</v>
      </c>
      <c r="E28" s="214" t="s">
        <v>436</v>
      </c>
      <c r="F28" s="214" t="s">
        <v>436</v>
      </c>
      <c r="G28" s="214" t="s">
        <v>544</v>
      </c>
      <c r="H28" s="214" t="s">
        <v>544</v>
      </c>
      <c r="I28" s="240" t="s">
        <v>436</v>
      </c>
      <c r="J28" s="240" t="s">
        <v>436</v>
      </c>
      <c r="K28" s="215"/>
      <c r="L28" s="196"/>
      <c r="M28" s="197"/>
    </row>
    <row r="29" spans="1:13" s="51" customFormat="1" ht="31.5" x14ac:dyDescent="0.25">
      <c r="A29" s="205" t="s">
        <v>496</v>
      </c>
      <c r="B29" s="210" t="s">
        <v>495</v>
      </c>
      <c r="C29" s="207" t="s">
        <v>436</v>
      </c>
      <c r="D29" s="207" t="s">
        <v>436</v>
      </c>
      <c r="E29" s="214" t="s">
        <v>436</v>
      </c>
      <c r="F29" s="214" t="s">
        <v>436</v>
      </c>
      <c r="G29" s="214" t="s">
        <v>544</v>
      </c>
      <c r="H29" s="214" t="s">
        <v>544</v>
      </c>
      <c r="I29" s="240" t="s">
        <v>436</v>
      </c>
      <c r="J29" s="240" t="s">
        <v>436</v>
      </c>
      <c r="K29" s="215"/>
      <c r="L29" s="196"/>
      <c r="M29" s="197"/>
    </row>
    <row r="30" spans="1:13" s="51" customFormat="1" ht="31.5" x14ac:dyDescent="0.25">
      <c r="A30" s="205" t="s">
        <v>498</v>
      </c>
      <c r="B30" s="210" t="s">
        <v>497</v>
      </c>
      <c r="C30" s="207" t="s">
        <v>436</v>
      </c>
      <c r="D30" s="207" t="s">
        <v>436</v>
      </c>
      <c r="E30" s="214" t="s">
        <v>436</v>
      </c>
      <c r="F30" s="214" t="s">
        <v>436</v>
      </c>
      <c r="G30" s="214" t="s">
        <v>544</v>
      </c>
      <c r="H30" s="214" t="s">
        <v>544</v>
      </c>
      <c r="I30" s="240" t="s">
        <v>436</v>
      </c>
      <c r="J30" s="240" t="s">
        <v>436</v>
      </c>
      <c r="K30" s="215"/>
      <c r="L30" s="196"/>
      <c r="M30" s="197"/>
    </row>
    <row r="31" spans="1:13" s="51" customFormat="1" ht="31.5" x14ac:dyDescent="0.25">
      <c r="A31" s="205" t="s">
        <v>500</v>
      </c>
      <c r="B31" s="210" t="s">
        <v>499</v>
      </c>
      <c r="C31" s="207">
        <v>43678</v>
      </c>
      <c r="D31" s="207">
        <v>43687</v>
      </c>
      <c r="E31" s="214">
        <v>41806</v>
      </c>
      <c r="F31" s="214">
        <v>41806</v>
      </c>
      <c r="G31" s="214" t="s">
        <v>544</v>
      </c>
      <c r="H31" s="214" t="s">
        <v>544</v>
      </c>
      <c r="I31" s="240">
        <v>43678</v>
      </c>
      <c r="J31" s="240">
        <v>43687</v>
      </c>
      <c r="K31" s="215"/>
      <c r="L31" s="196"/>
      <c r="M31" s="197"/>
    </row>
    <row r="32" spans="1:13" ht="31.5" x14ac:dyDescent="0.25">
      <c r="A32" s="205" t="s">
        <v>502</v>
      </c>
      <c r="B32" s="210" t="s">
        <v>501</v>
      </c>
      <c r="C32" s="207">
        <v>43738</v>
      </c>
      <c r="D32" s="207">
        <v>43743</v>
      </c>
      <c r="E32" s="214">
        <v>42597</v>
      </c>
      <c r="F32" s="214">
        <v>42597</v>
      </c>
      <c r="G32" s="214" t="s">
        <v>544</v>
      </c>
      <c r="H32" s="214" t="s">
        <v>544</v>
      </c>
      <c r="I32" s="240">
        <v>43738</v>
      </c>
      <c r="J32" s="240">
        <v>43743</v>
      </c>
      <c r="K32" s="215"/>
      <c r="L32" s="196"/>
      <c r="M32" s="197"/>
    </row>
    <row r="33" spans="1:13" ht="47.25" x14ac:dyDescent="0.25">
      <c r="A33" s="205" t="s">
        <v>504</v>
      </c>
      <c r="B33" s="210" t="s">
        <v>503</v>
      </c>
      <c r="C33" s="207" t="s">
        <v>577</v>
      </c>
      <c r="D33" s="207" t="s">
        <v>577</v>
      </c>
      <c r="E33" s="214">
        <v>42720</v>
      </c>
      <c r="F33" s="214">
        <v>42720</v>
      </c>
      <c r="G33" s="214" t="s">
        <v>544</v>
      </c>
      <c r="H33" s="214" t="s">
        <v>544</v>
      </c>
      <c r="I33" s="240" t="s">
        <v>577</v>
      </c>
      <c r="J33" s="240" t="s">
        <v>577</v>
      </c>
      <c r="K33" s="215"/>
      <c r="L33" s="196"/>
      <c r="M33" s="197"/>
    </row>
    <row r="34" spans="1:13" ht="63" x14ac:dyDescent="0.25">
      <c r="A34" s="205" t="s">
        <v>506</v>
      </c>
      <c r="B34" s="210" t="s">
        <v>505</v>
      </c>
      <c r="C34" s="207" t="s">
        <v>578</v>
      </c>
      <c r="D34" s="207" t="s">
        <v>578</v>
      </c>
      <c r="E34" s="214" t="s">
        <v>436</v>
      </c>
      <c r="F34" s="214" t="s">
        <v>436</v>
      </c>
      <c r="G34" s="214" t="s">
        <v>544</v>
      </c>
      <c r="H34" s="214" t="s">
        <v>544</v>
      </c>
      <c r="I34" s="240" t="s">
        <v>578</v>
      </c>
      <c r="J34" s="240" t="s">
        <v>578</v>
      </c>
      <c r="K34" s="215"/>
      <c r="L34" s="198"/>
      <c r="M34" s="198"/>
    </row>
    <row r="35" spans="1:13" ht="31.5" x14ac:dyDescent="0.25">
      <c r="A35" s="205" t="s">
        <v>507</v>
      </c>
      <c r="B35" s="210" t="s">
        <v>193</v>
      </c>
      <c r="C35" s="207">
        <v>43743</v>
      </c>
      <c r="D35" s="207">
        <v>44140</v>
      </c>
      <c r="E35" s="214">
        <v>42731</v>
      </c>
      <c r="F35" s="214">
        <v>42731</v>
      </c>
      <c r="G35" s="214" t="s">
        <v>544</v>
      </c>
      <c r="H35" s="214" t="s">
        <v>544</v>
      </c>
      <c r="I35" s="240">
        <v>43743</v>
      </c>
      <c r="J35" s="240">
        <v>44140</v>
      </c>
      <c r="K35" s="215"/>
      <c r="L35" s="198"/>
      <c r="M35" s="198"/>
    </row>
    <row r="36" spans="1:13" ht="31.5" x14ac:dyDescent="0.25">
      <c r="A36" s="205" t="s">
        <v>509</v>
      </c>
      <c r="B36" s="210" t="s">
        <v>508</v>
      </c>
      <c r="C36" s="207" t="s">
        <v>577</v>
      </c>
      <c r="D36" s="207" t="s">
        <v>577</v>
      </c>
      <c r="E36" s="214">
        <v>42993</v>
      </c>
      <c r="F36" s="214">
        <v>42993</v>
      </c>
      <c r="G36" s="214" t="s">
        <v>544</v>
      </c>
      <c r="H36" s="214" t="s">
        <v>544</v>
      </c>
      <c r="I36" s="240" t="s">
        <v>577</v>
      </c>
      <c r="J36" s="240" t="s">
        <v>577</v>
      </c>
      <c r="K36" s="215"/>
      <c r="L36" s="209"/>
      <c r="M36" s="197"/>
    </row>
    <row r="37" spans="1:13" x14ac:dyDescent="0.25">
      <c r="A37" s="205" t="s">
        <v>510</v>
      </c>
      <c r="B37" s="210" t="s">
        <v>192</v>
      </c>
      <c r="C37" s="207">
        <v>43774</v>
      </c>
      <c r="D37" s="207">
        <v>43830</v>
      </c>
      <c r="E37" s="214">
        <v>43054</v>
      </c>
      <c r="F37" s="214">
        <v>43305</v>
      </c>
      <c r="G37" s="214" t="s">
        <v>544</v>
      </c>
      <c r="H37" s="214" t="s">
        <v>544</v>
      </c>
      <c r="I37" s="240">
        <v>43774</v>
      </c>
      <c r="J37" s="240">
        <v>43830</v>
      </c>
      <c r="K37" s="215"/>
      <c r="L37" s="199"/>
      <c r="M37" s="197"/>
    </row>
    <row r="38" spans="1:13" x14ac:dyDescent="0.25">
      <c r="A38" s="208" t="s">
        <v>511</v>
      </c>
      <c r="B38" s="211" t="s">
        <v>191</v>
      </c>
      <c r="C38" s="207"/>
      <c r="D38" s="207"/>
      <c r="E38" s="214"/>
      <c r="F38" s="214"/>
      <c r="G38" s="214" t="s">
        <v>544</v>
      </c>
      <c r="H38" s="214" t="s">
        <v>544</v>
      </c>
      <c r="I38" s="240"/>
      <c r="J38" s="240"/>
      <c r="K38" s="215"/>
      <c r="L38" s="197"/>
      <c r="M38" s="197"/>
    </row>
    <row r="39" spans="1:13" ht="63" x14ac:dyDescent="0.25">
      <c r="A39" s="205" t="s">
        <v>513</v>
      </c>
      <c r="B39" s="210" t="s">
        <v>512</v>
      </c>
      <c r="C39" s="207">
        <v>43840</v>
      </c>
      <c r="D39" s="207">
        <v>43845</v>
      </c>
      <c r="E39" s="214">
        <v>42843</v>
      </c>
      <c r="F39" s="214">
        <v>42843</v>
      </c>
      <c r="G39" s="214" t="s">
        <v>544</v>
      </c>
      <c r="H39" s="214" t="s">
        <v>544</v>
      </c>
      <c r="I39" s="240">
        <v>43840</v>
      </c>
      <c r="J39" s="240">
        <v>43845</v>
      </c>
      <c r="K39" s="215"/>
      <c r="L39" s="197"/>
      <c r="M39" s="197"/>
    </row>
    <row r="40" spans="1:13" x14ac:dyDescent="0.25">
      <c r="A40" s="205" t="s">
        <v>515</v>
      </c>
      <c r="B40" s="210" t="s">
        <v>514</v>
      </c>
      <c r="C40" s="207">
        <v>43952</v>
      </c>
      <c r="D40" s="207">
        <v>44134</v>
      </c>
      <c r="E40" s="214">
        <v>43038</v>
      </c>
      <c r="F40" s="214">
        <v>43038</v>
      </c>
      <c r="G40" s="214" t="s">
        <v>544</v>
      </c>
      <c r="H40" s="214" t="s">
        <v>544</v>
      </c>
      <c r="I40" s="240">
        <v>43952</v>
      </c>
      <c r="J40" s="240">
        <v>44165</v>
      </c>
      <c r="K40" s="215"/>
      <c r="L40" s="197"/>
      <c r="M40" s="197"/>
    </row>
    <row r="41" spans="1:13" ht="47.25" x14ac:dyDescent="0.25">
      <c r="A41" s="205" t="s">
        <v>517</v>
      </c>
      <c r="B41" s="211" t="s">
        <v>516</v>
      </c>
      <c r="C41" s="207"/>
      <c r="D41" s="207"/>
      <c r="E41" s="214"/>
      <c r="F41" s="214"/>
      <c r="G41" s="214" t="s">
        <v>544</v>
      </c>
      <c r="H41" s="214" t="s">
        <v>544</v>
      </c>
      <c r="I41" s="240"/>
      <c r="J41" s="240"/>
      <c r="K41" s="215"/>
      <c r="L41" s="197"/>
      <c r="M41" s="197"/>
    </row>
    <row r="42" spans="1:13" ht="31.5" x14ac:dyDescent="0.25">
      <c r="A42" s="205" t="s">
        <v>519</v>
      </c>
      <c r="B42" s="210" t="s">
        <v>518</v>
      </c>
      <c r="C42" s="207">
        <v>43967</v>
      </c>
      <c r="D42" s="207">
        <v>43997</v>
      </c>
      <c r="E42" s="214">
        <v>43070</v>
      </c>
      <c r="F42" s="214">
        <v>43097</v>
      </c>
      <c r="G42" s="214" t="s">
        <v>544</v>
      </c>
      <c r="H42" s="214" t="s">
        <v>544</v>
      </c>
      <c r="I42" s="240">
        <v>43967</v>
      </c>
      <c r="J42" s="240">
        <v>43997</v>
      </c>
      <c r="K42" s="215"/>
      <c r="L42" s="197"/>
      <c r="M42" s="197"/>
    </row>
    <row r="43" spans="1:13" x14ac:dyDescent="0.25">
      <c r="A43" s="205" t="s">
        <v>520</v>
      </c>
      <c r="B43" s="210" t="s">
        <v>190</v>
      </c>
      <c r="C43" s="233">
        <v>43983</v>
      </c>
      <c r="D43" s="233">
        <v>44134</v>
      </c>
      <c r="E43" s="214">
        <v>43054</v>
      </c>
      <c r="F43" s="214">
        <v>43218</v>
      </c>
      <c r="G43" s="214" t="s">
        <v>544</v>
      </c>
      <c r="H43" s="214" t="s">
        <v>544</v>
      </c>
      <c r="I43" s="240">
        <v>43983</v>
      </c>
      <c r="J43" s="240">
        <v>44165</v>
      </c>
      <c r="K43" s="215"/>
      <c r="L43" s="197"/>
      <c r="M43" s="197"/>
    </row>
    <row r="44" spans="1:13" x14ac:dyDescent="0.25">
      <c r="A44" s="205" t="s">
        <v>521</v>
      </c>
      <c r="B44" s="210" t="s">
        <v>189</v>
      </c>
      <c r="C44" s="233">
        <v>43983</v>
      </c>
      <c r="D44" s="233">
        <v>44317</v>
      </c>
      <c r="E44" s="214">
        <v>43084</v>
      </c>
      <c r="F44" s="214">
        <v>43266</v>
      </c>
      <c r="G44" s="214" t="s">
        <v>544</v>
      </c>
      <c r="H44" s="214" t="s">
        <v>544</v>
      </c>
      <c r="I44" s="240">
        <v>43983</v>
      </c>
      <c r="J44" s="240">
        <v>44256</v>
      </c>
      <c r="K44" s="215"/>
      <c r="L44" s="197"/>
      <c r="M44" s="197"/>
    </row>
    <row r="45" spans="1:13" ht="78.75" x14ac:dyDescent="0.25">
      <c r="A45" s="205" t="s">
        <v>523</v>
      </c>
      <c r="B45" s="210" t="s">
        <v>522</v>
      </c>
      <c r="C45" s="233">
        <v>44317</v>
      </c>
      <c r="D45" s="233">
        <v>44346</v>
      </c>
      <c r="E45" s="214">
        <v>43343</v>
      </c>
      <c r="F45" s="214">
        <v>43343</v>
      </c>
      <c r="G45" s="214" t="s">
        <v>544</v>
      </c>
      <c r="H45" s="214" t="s">
        <v>544</v>
      </c>
      <c r="I45" s="240">
        <v>44256</v>
      </c>
      <c r="J45" s="240">
        <v>44316</v>
      </c>
      <c r="K45" s="215"/>
      <c r="L45" s="197"/>
      <c r="M45" s="197"/>
    </row>
    <row r="46" spans="1:13" ht="157.5" x14ac:dyDescent="0.25">
      <c r="A46" s="205" t="s">
        <v>525</v>
      </c>
      <c r="B46" s="210" t="s">
        <v>524</v>
      </c>
      <c r="C46" s="233" t="s">
        <v>436</v>
      </c>
      <c r="D46" s="233" t="s">
        <v>436</v>
      </c>
      <c r="E46" s="214">
        <v>43319</v>
      </c>
      <c r="F46" s="214">
        <v>43319</v>
      </c>
      <c r="G46" s="214" t="s">
        <v>544</v>
      </c>
      <c r="H46" s="214" t="s">
        <v>544</v>
      </c>
      <c r="I46" s="240" t="s">
        <v>436</v>
      </c>
      <c r="J46" s="240" t="s">
        <v>436</v>
      </c>
      <c r="K46" s="215"/>
      <c r="L46" s="197"/>
      <c r="M46" s="197"/>
    </row>
    <row r="47" spans="1:13" x14ac:dyDescent="0.25">
      <c r="A47" s="205" t="s">
        <v>536</v>
      </c>
      <c r="B47" s="210" t="s">
        <v>188</v>
      </c>
      <c r="C47" s="234">
        <v>44317</v>
      </c>
      <c r="D47" s="233">
        <v>44378</v>
      </c>
      <c r="E47" s="214">
        <v>43220</v>
      </c>
      <c r="F47" s="214">
        <v>43318</v>
      </c>
      <c r="G47" s="214" t="s">
        <v>544</v>
      </c>
      <c r="H47" s="214" t="s">
        <v>544</v>
      </c>
      <c r="I47" s="240">
        <v>44256</v>
      </c>
      <c r="J47" s="240">
        <v>44285</v>
      </c>
      <c r="K47" s="215"/>
      <c r="L47" s="197"/>
      <c r="M47" s="197"/>
    </row>
    <row r="48" spans="1:13" ht="31.5" x14ac:dyDescent="0.25">
      <c r="A48" s="205" t="s">
        <v>526</v>
      </c>
      <c r="B48" s="211" t="s">
        <v>187</v>
      </c>
      <c r="C48" s="207"/>
      <c r="D48" s="207"/>
      <c r="E48" s="214"/>
      <c r="F48" s="214"/>
      <c r="G48" s="214" t="s">
        <v>544</v>
      </c>
      <c r="H48" s="214" t="s">
        <v>544</v>
      </c>
      <c r="I48" s="240"/>
      <c r="J48" s="240"/>
      <c r="K48" s="215"/>
      <c r="L48" s="197"/>
      <c r="M48" s="197"/>
    </row>
    <row r="49" spans="1:13" ht="31.5" x14ac:dyDescent="0.25">
      <c r="A49" s="205" t="s">
        <v>537</v>
      </c>
      <c r="B49" s="210" t="s">
        <v>186</v>
      </c>
      <c r="C49" s="207">
        <v>44378</v>
      </c>
      <c r="D49" s="207">
        <v>44382</v>
      </c>
      <c r="E49" s="214">
        <v>43318</v>
      </c>
      <c r="F49" s="214">
        <v>43320</v>
      </c>
      <c r="G49" s="214" t="s">
        <v>544</v>
      </c>
      <c r="H49" s="214" t="s">
        <v>544</v>
      </c>
      <c r="I49" s="240">
        <v>44256</v>
      </c>
      <c r="J49" s="240">
        <v>44285</v>
      </c>
      <c r="K49" s="215"/>
      <c r="L49" s="197"/>
      <c r="M49" s="197"/>
    </row>
    <row r="50" spans="1:13" ht="78.75" x14ac:dyDescent="0.25">
      <c r="A50" s="208" t="s">
        <v>528</v>
      </c>
      <c r="B50" s="210" t="s">
        <v>527</v>
      </c>
      <c r="C50" s="207"/>
      <c r="D50" s="207"/>
      <c r="E50" s="214">
        <v>43343</v>
      </c>
      <c r="F50" s="214">
        <v>43343</v>
      </c>
      <c r="G50" s="214" t="s">
        <v>544</v>
      </c>
      <c r="H50" s="214" t="s">
        <v>544</v>
      </c>
      <c r="I50" s="240"/>
      <c r="J50" s="240"/>
      <c r="K50" s="215"/>
      <c r="L50" s="197"/>
      <c r="M50" s="197"/>
    </row>
    <row r="51" spans="1:13" ht="63" x14ac:dyDescent="0.25">
      <c r="A51" s="205" t="s">
        <v>530</v>
      </c>
      <c r="B51" s="210" t="s">
        <v>529</v>
      </c>
      <c r="C51" s="207">
        <v>44392</v>
      </c>
      <c r="D51" s="207">
        <v>44423</v>
      </c>
      <c r="E51" s="214">
        <v>43343</v>
      </c>
      <c r="F51" s="214">
        <v>43343</v>
      </c>
      <c r="G51" s="214" t="s">
        <v>544</v>
      </c>
      <c r="H51" s="214" t="s">
        <v>544</v>
      </c>
      <c r="I51" s="240">
        <v>44256</v>
      </c>
      <c r="J51" s="240">
        <v>44316</v>
      </c>
      <c r="K51" s="215"/>
      <c r="L51" s="197"/>
      <c r="M51" s="197"/>
    </row>
    <row r="52" spans="1:13" ht="63" x14ac:dyDescent="0.25">
      <c r="A52" s="205" t="s">
        <v>531</v>
      </c>
      <c r="B52" s="210" t="s">
        <v>185</v>
      </c>
      <c r="C52" s="207" t="s">
        <v>436</v>
      </c>
      <c r="D52" s="207" t="s">
        <v>436</v>
      </c>
      <c r="E52" s="214"/>
      <c r="F52" s="214"/>
      <c r="G52" s="214" t="s">
        <v>544</v>
      </c>
      <c r="H52" s="214" t="s">
        <v>544</v>
      </c>
      <c r="I52" s="240" t="s">
        <v>436</v>
      </c>
      <c r="J52" s="240" t="s">
        <v>436</v>
      </c>
      <c r="K52" s="215"/>
      <c r="L52" s="197"/>
      <c r="M52" s="197"/>
    </row>
    <row r="53" spans="1:13" ht="31.5" x14ac:dyDescent="0.25">
      <c r="A53" s="205" t="s">
        <v>533</v>
      </c>
      <c r="B53" s="210" t="s">
        <v>532</v>
      </c>
      <c r="C53" s="235">
        <v>44424</v>
      </c>
      <c r="D53" s="207">
        <v>44428</v>
      </c>
      <c r="E53" s="214">
        <v>43343</v>
      </c>
      <c r="F53" s="214">
        <v>43343</v>
      </c>
      <c r="G53" s="214" t="s">
        <v>544</v>
      </c>
      <c r="H53" s="214" t="s">
        <v>544</v>
      </c>
      <c r="I53" s="240">
        <f>J51</f>
        <v>44316</v>
      </c>
      <c r="J53" s="240">
        <v>44346</v>
      </c>
      <c r="K53" s="215"/>
      <c r="L53" s="197"/>
      <c r="M53" s="197"/>
    </row>
    <row r="54" spans="1:13" ht="31.5" x14ac:dyDescent="0.25">
      <c r="A54" s="205" t="s">
        <v>538</v>
      </c>
      <c r="B54" s="210" t="s">
        <v>184</v>
      </c>
      <c r="C54" s="235">
        <v>44423</v>
      </c>
      <c r="D54" s="207"/>
      <c r="E54" s="214">
        <v>43353</v>
      </c>
      <c r="F54" s="214">
        <v>43353</v>
      </c>
      <c r="G54" s="214" t="s">
        <v>544</v>
      </c>
      <c r="H54" s="214" t="s">
        <v>544</v>
      </c>
      <c r="I54" s="240">
        <f>J51</f>
        <v>44316</v>
      </c>
      <c r="J54" s="240"/>
      <c r="K54" s="215"/>
      <c r="L54" s="197"/>
      <c r="M54" s="197"/>
    </row>
  </sheetData>
  <mergeCells count="22">
    <mergeCell ref="A14:M14"/>
    <mergeCell ref="A19:M19"/>
    <mergeCell ref="A5:M5"/>
    <mergeCell ref="A7:M7"/>
    <mergeCell ref="A9:M9"/>
    <mergeCell ref="A10:M10"/>
    <mergeCell ref="A12:M12"/>
    <mergeCell ref="A13:M13"/>
    <mergeCell ref="A8:M8"/>
    <mergeCell ref="A11:M11"/>
    <mergeCell ref="A15:M15"/>
    <mergeCell ref="A16:M16"/>
    <mergeCell ref="A21:A23"/>
    <mergeCell ref="B21:B23"/>
    <mergeCell ref="K21:K23"/>
    <mergeCell ref="M21:M23"/>
    <mergeCell ref="L21:L23"/>
    <mergeCell ref="C21:H21"/>
    <mergeCell ref="C22:D22"/>
    <mergeCell ref="G22:H22"/>
    <mergeCell ref="E22:F22"/>
    <mergeCell ref="I22:J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2021-02-24T19:19:28Z</dcterms:modified>
</cp:coreProperties>
</file>