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08\J 19-08_паспорт_карта\"/>
    </mc:Choice>
  </mc:AlternateContent>
  <xr:revisionPtr revIDLastSave="0" documentId="13_ncr:1_{B1BCFAD8-4EE4-4383-B6A1-255935E3576A}"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31" l="1"/>
  <c r="C67" i="31" l="1"/>
  <c r="AE65" i="31"/>
  <c r="AD65" i="31"/>
  <c r="AC65" i="31"/>
  <c r="AB65" i="31"/>
  <c r="AA65" i="31"/>
  <c r="Z65" i="31"/>
  <c r="Y65" i="31"/>
  <c r="X65" i="31"/>
  <c r="W65" i="31"/>
  <c r="V65" i="31"/>
  <c r="U65" i="31"/>
  <c r="T65" i="31"/>
  <c r="S65" i="31"/>
  <c r="R65" i="31"/>
  <c r="Q65" i="31"/>
  <c r="P65" i="31"/>
  <c r="O65" i="31"/>
  <c r="N65" i="31"/>
  <c r="M65" i="31"/>
  <c r="L65" i="31"/>
  <c r="K65" i="31"/>
  <c r="J65" i="31"/>
  <c r="I65" i="31"/>
  <c r="H65" i="31"/>
  <c r="G65" i="31"/>
  <c r="F65" i="31"/>
  <c r="E65" i="31"/>
  <c r="D65" i="31"/>
  <c r="C65" i="31"/>
  <c r="D67" i="31"/>
  <c r="A5" i="31"/>
  <c r="B24" i="31"/>
  <c r="B34" i="31" l="1"/>
  <c r="J61" i="31" s="1"/>
  <c r="R61" i="31" s="1"/>
  <c r="Z61" i="31" s="1"/>
  <c r="B28" i="31"/>
  <c r="H60" i="31" s="1"/>
  <c r="N60" i="31" s="1"/>
  <c r="T60" i="31" s="1"/>
  <c r="T59" i="31" s="1"/>
  <c r="B49" i="31"/>
  <c r="B58" i="31" s="1"/>
  <c r="A15" i="31"/>
  <c r="A12" i="31"/>
  <c r="A9" i="31"/>
  <c r="C92" i="31"/>
  <c r="D92" i="31" s="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S61" i="31"/>
  <c r="O60" i="31"/>
  <c r="AE59" i="31"/>
  <c r="AD59" i="31"/>
  <c r="AC59" i="31"/>
  <c r="AB59" i="31"/>
  <c r="Z59" i="31"/>
  <c r="Y59" i="31"/>
  <c r="X59" i="31"/>
  <c r="W59" i="31"/>
  <c r="V59" i="31"/>
  <c r="R59" i="31"/>
  <c r="Q59" i="31"/>
  <c r="P59" i="31"/>
  <c r="P66" i="31" s="1"/>
  <c r="M59" i="31"/>
  <c r="L59" i="31"/>
  <c r="J59" i="31"/>
  <c r="G59" i="31"/>
  <c r="F59" i="31"/>
  <c r="E59" i="31"/>
  <c r="D59" i="3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R58" i="31"/>
  <c r="Q58" i="31"/>
  <c r="Q80" i="31" s="1"/>
  <c r="P58" i="31"/>
  <c r="P80" i="31" s="1"/>
  <c r="O58" i="31"/>
  <c r="O80" i="31" s="1"/>
  <c r="N58" i="31"/>
  <c r="N80" i="31" s="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X66" i="31" l="1"/>
  <c r="H59" i="31"/>
  <c r="H66" i="31" s="1"/>
  <c r="N59" i="31"/>
  <c r="N66" i="31" s="1"/>
  <c r="AA61" i="31"/>
  <c r="AA59" i="31" s="1"/>
  <c r="AA66" i="31" s="1"/>
  <c r="S59" i="31"/>
  <c r="S66" i="31" s="1"/>
  <c r="K59" i="31"/>
  <c r="K66" i="31" s="1"/>
  <c r="U60" i="31"/>
  <c r="U59" i="31" s="1"/>
  <c r="U66" i="31" s="1"/>
  <c r="O59" i="31"/>
  <c r="O66" i="31" s="1"/>
  <c r="I59" i="31"/>
  <c r="I66" i="31" s="1"/>
  <c r="B80" i="31"/>
  <c r="B66" i="31"/>
  <c r="B68" i="31" s="1"/>
  <c r="E66" i="31"/>
  <c r="F66" i="31"/>
  <c r="F80" i="31"/>
  <c r="J80" i="31"/>
  <c r="J66" i="31"/>
  <c r="R80" i="31"/>
  <c r="R66" i="31"/>
  <c r="V80" i="31"/>
  <c r="V66" i="31"/>
  <c r="Z80" i="31"/>
  <c r="Z66" i="31"/>
  <c r="AD66" i="31"/>
  <c r="G66" i="31"/>
  <c r="L66" i="31"/>
  <c r="Q66" i="31"/>
  <c r="W66" i="31"/>
  <c r="AB66" i="31"/>
  <c r="S80" i="31"/>
  <c r="C66" i="31"/>
  <c r="M66" i="31"/>
  <c r="AC66" i="31"/>
  <c r="D66" i="31"/>
  <c r="T66" i="31"/>
  <c r="Y66" i="31"/>
  <c r="AE66" i="31"/>
  <c r="AD80" i="31"/>
  <c r="B75" i="31" l="1"/>
  <c r="B70" i="31"/>
  <c r="B71" i="31" l="1"/>
  <c r="B72" i="31" s="1"/>
  <c r="B78" i="31" l="1"/>
  <c r="D26" i="5" l="1"/>
  <c r="B25" i="26" l="1"/>
  <c r="B22" i="26"/>
  <c r="P26" i="5" l="1"/>
  <c r="R26" i="5" s="1"/>
  <c r="B24" i="26"/>
  <c r="B27" i="26" l="1"/>
  <c r="C50" i="7" l="1"/>
  <c r="B81" i="31" l="1"/>
  <c r="B133" i="26"/>
  <c r="B79" i="31" l="1"/>
  <c r="B83" i="31" s="1"/>
  <c r="C79" i="31"/>
  <c r="D79" i="31" s="1"/>
  <c r="L30" i="15"/>
  <c r="B84" i="31" l="1"/>
  <c r="B89" i="31" s="1"/>
  <c r="B88" i="31"/>
  <c r="B86" i="31"/>
  <c r="D76" i="31"/>
  <c r="E67" i="31"/>
  <c r="D68" i="31"/>
  <c r="E79" i="31"/>
  <c r="F79" i="31" s="1"/>
  <c r="C68" i="31"/>
  <c r="C76" i="31"/>
  <c r="B87" i="31" l="1"/>
  <c r="B90" i="31" s="1"/>
  <c r="G79" i="31"/>
  <c r="H79" i="31" s="1"/>
  <c r="E76" i="31"/>
  <c r="F67" i="31"/>
  <c r="E68" i="31"/>
  <c r="C70" i="31"/>
  <c r="C71" i="31" s="1"/>
  <c r="C75" i="31"/>
  <c r="D75" i="31"/>
  <c r="D70" i="31"/>
  <c r="D71" i="31" s="1"/>
  <c r="D72" i="31" s="1"/>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9" i="31" l="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E70" i="31"/>
  <c r="E71" i="31" s="1"/>
  <c r="E72" i="31" s="1"/>
  <c r="E75" i="31"/>
  <c r="J79" i="31"/>
  <c r="C72" i="31"/>
  <c r="C78" i="31"/>
  <c r="D78" i="31" s="1"/>
  <c r="D83" i="31" s="1"/>
  <c r="D86" i="31" s="1"/>
  <c r="F68" i="31"/>
  <c r="F76" i="31"/>
  <c r="G67" i="31"/>
  <c r="E78" i="31" l="1"/>
  <c r="E83" i="31" s="1"/>
  <c r="E86" i="31" s="1"/>
  <c r="C83" i="31"/>
  <c r="C86" i="31" s="1"/>
  <c r="F75" i="31"/>
  <c r="F70" i="31"/>
  <c r="F71" i="31" s="1"/>
  <c r="D84" i="31"/>
  <c r="D88" i="31"/>
  <c r="E88" i="31"/>
  <c r="C84" i="31"/>
  <c r="C89" i="31" s="1"/>
  <c r="H67" i="31"/>
  <c r="G76" i="31"/>
  <c r="G68" i="31"/>
  <c r="P57" i="15"/>
  <c r="P56" i="15"/>
  <c r="P55" i="15"/>
  <c r="P50" i="15"/>
  <c r="P49" i="15"/>
  <c r="P48" i="15"/>
  <c r="P47" i="15"/>
  <c r="P46" i="15"/>
  <c r="P44" i="15"/>
  <c r="P42" i="15"/>
  <c r="P41" i="15"/>
  <c r="P40" i="15"/>
  <c r="P39" i="15"/>
  <c r="P38" i="15"/>
  <c r="C88" i="31" l="1"/>
  <c r="E84" i="31"/>
  <c r="E89" i="31"/>
  <c r="G70" i="31"/>
  <c r="G71" i="31" s="1"/>
  <c r="G72" i="31" s="1"/>
  <c r="G75" i="31"/>
  <c r="C87" i="31"/>
  <c r="C90" i="31" s="1"/>
  <c r="E87" i="31"/>
  <c r="D87" i="31"/>
  <c r="F72" i="31"/>
  <c r="F78" i="31"/>
  <c r="H68" i="31"/>
  <c r="I67" i="31"/>
  <c r="H76" i="31"/>
  <c r="D89" i="31"/>
  <c r="G78" i="31" l="1"/>
  <c r="G83" i="31" s="1"/>
  <c r="G86" i="31" s="1"/>
  <c r="D90" i="31"/>
  <c r="E90" i="31"/>
  <c r="J67" i="31"/>
  <c r="I68" i="31"/>
  <c r="I76" i="31"/>
  <c r="F83" i="31"/>
  <c r="H70" i="31"/>
  <c r="H71" i="31" s="1"/>
  <c r="H75"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I70" i="31" l="1"/>
  <c r="I71" i="31" s="1"/>
  <c r="I72" i="31" s="1"/>
  <c r="I75" i="31"/>
  <c r="H72" i="31"/>
  <c r="H78" i="31"/>
  <c r="J68" i="31"/>
  <c r="J76" i="31"/>
  <c r="K67" i="31"/>
  <c r="F86" i="31"/>
  <c r="G88" i="31"/>
  <c r="G84" i="31"/>
  <c r="F84" i="31"/>
  <c r="F89" i="31" s="1"/>
  <c r="F88" i="31"/>
  <c r="E32" i="15"/>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I78" i="31" l="1"/>
  <c r="I83" i="31" s="1"/>
  <c r="I86" i="31" s="1"/>
  <c r="J75" i="31"/>
  <c r="J70" i="31"/>
  <c r="J71" i="31" s="1"/>
  <c r="F87" i="31"/>
  <c r="F90" i="31" s="1"/>
  <c r="G87" i="31"/>
  <c r="F30" i="15"/>
  <c r="E30" i="15"/>
  <c r="G89" i="31"/>
  <c r="K68" i="31"/>
  <c r="L67" i="31"/>
  <c r="K76" i="31"/>
  <c r="H83" i="31"/>
  <c r="L24" i="15"/>
  <c r="AB24" i="15" s="1"/>
  <c r="C48" i="7" s="1"/>
  <c r="AC26" i="15"/>
  <c r="AB53" i="15"/>
  <c r="AB45" i="15"/>
  <c r="AC25" i="15"/>
  <c r="N24" i="15"/>
  <c r="AC27" i="15"/>
  <c r="E54" i="15"/>
  <c r="F54" i="15" s="1"/>
  <c r="P54" i="15" s="1"/>
  <c r="C52" i="15"/>
  <c r="C28" i="15"/>
  <c r="AB31" i="15"/>
  <c r="G90" i="31" l="1"/>
  <c r="L68" i="31"/>
  <c r="L76" i="31"/>
  <c r="M67" i="31"/>
  <c r="J72" i="31"/>
  <c r="J78" i="31"/>
  <c r="H86" i="31"/>
  <c r="H84" i="31"/>
  <c r="H89" i="31" s="1"/>
  <c r="I88" i="31"/>
  <c r="I84" i="31"/>
  <c r="H88" i="31"/>
  <c r="K70" i="31"/>
  <c r="K71" i="31" s="1"/>
  <c r="K75" i="31"/>
  <c r="J83" i="31"/>
  <c r="AC24" i="15"/>
  <c r="AB54" i="15"/>
  <c r="E52" i="15"/>
  <c r="F52" i="15" s="1"/>
  <c r="P52" i="15" s="1"/>
  <c r="C24" i="15"/>
  <c r="E28" i="15"/>
  <c r="I89" i="31" l="1"/>
  <c r="M68" i="31"/>
  <c r="N67" i="31"/>
  <c r="M76" i="31"/>
  <c r="J88" i="31"/>
  <c r="K72" i="31"/>
  <c r="J84" i="31"/>
  <c r="J89" i="31" s="1"/>
  <c r="J86" i="31"/>
  <c r="J87" i="31" s="1"/>
  <c r="I87" i="31"/>
  <c r="H87" i="31"/>
  <c r="H90" i="31" s="1"/>
  <c r="K78" i="31"/>
  <c r="K83" i="31" s="1"/>
  <c r="K86" i="31" s="1"/>
  <c r="L70" i="31"/>
  <c r="L71" i="31" s="1"/>
  <c r="L75" i="31"/>
  <c r="AB52" i="15"/>
  <c r="F28" i="15"/>
  <c r="F24" i="15" s="1"/>
  <c r="E24" i="15"/>
  <c r="AC23" i="15"/>
  <c r="L78" i="31" l="1"/>
  <c r="K88" i="31"/>
  <c r="M70" i="31"/>
  <c r="M71" i="31" s="1"/>
  <c r="M75" i="31"/>
  <c r="K87" i="31"/>
  <c r="K90" i="31" s="1"/>
  <c r="J90" i="31"/>
  <c r="L72" i="31"/>
  <c r="K84" i="31"/>
  <c r="K89" i="31" s="1"/>
  <c r="L83" i="31"/>
  <c r="I90" i="31"/>
  <c r="N76" i="31"/>
  <c r="N68" i="31"/>
  <c r="O67" i="31"/>
  <c r="A12" i="26"/>
  <c r="M72" i="31" l="1"/>
  <c r="M78" i="31"/>
  <c r="M83" i="31" s="1"/>
  <c r="L86" i="31"/>
  <c r="L84" i="31"/>
  <c r="L89" i="31" s="1"/>
  <c r="L88" i="31"/>
  <c r="P67" i="31"/>
  <c r="O76" i="31"/>
  <c r="O68" i="31"/>
  <c r="N75" i="31"/>
  <c r="N70" i="31"/>
  <c r="N71" i="31" s="1"/>
  <c r="B119" i="26"/>
  <c r="B117" i="26"/>
  <c r="B67" i="26"/>
  <c r="B63" i="26"/>
  <c r="B59" i="26"/>
  <c r="B55" i="26"/>
  <c r="A15" i="26"/>
  <c r="B21" i="26" s="1"/>
  <c r="A9" i="26"/>
  <c r="B121" i="26" s="1"/>
  <c r="A5" i="26"/>
  <c r="O75" i="31" l="1"/>
  <c r="O70" i="31"/>
  <c r="O71" i="31" s="1"/>
  <c r="M86" i="31"/>
  <c r="M87" i="31" s="1"/>
  <c r="M88" i="31"/>
  <c r="M84" i="31"/>
  <c r="M89" i="31" s="1"/>
  <c r="L87" i="31"/>
  <c r="N72" i="31"/>
  <c r="N78" i="31"/>
  <c r="N83" i="31" s="1"/>
  <c r="Q67" i="31"/>
  <c r="P68" i="31"/>
  <c r="P76" i="31"/>
  <c r="B118" i="26"/>
  <c r="B116" i="26"/>
  <c r="B108" i="26"/>
  <c r="B104" i="26"/>
  <c r="B100" i="26"/>
  <c r="B115" i="26"/>
  <c r="B53" i="26"/>
  <c r="B50" i="26"/>
  <c r="B46" i="26"/>
  <c r="B42" i="26"/>
  <c r="B38" i="26"/>
  <c r="N86" i="31" l="1"/>
  <c r="N87" i="31" s="1"/>
  <c r="N90" i="31" s="1"/>
  <c r="N88" i="31"/>
  <c r="N84" i="31"/>
  <c r="N89" i="31" s="1"/>
  <c r="Q68" i="31"/>
  <c r="R67" i="31"/>
  <c r="Q76" i="31"/>
  <c r="L90" i="31"/>
  <c r="M90" i="31"/>
  <c r="O72" i="31"/>
  <c r="O78" i="31"/>
  <c r="O83" i="31" s="1"/>
  <c r="P70" i="31"/>
  <c r="P71" i="31" s="1"/>
  <c r="P75"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P72" i="31" l="1"/>
  <c r="P78" i="31"/>
  <c r="P83" i="31" s="1"/>
  <c r="Q70" i="31"/>
  <c r="Q71" i="31" s="1"/>
  <c r="Q75" i="31"/>
  <c r="O86" i="31"/>
  <c r="O87" i="31" s="1"/>
  <c r="O90" i="31" s="1"/>
  <c r="O88" i="31"/>
  <c r="O84" i="31"/>
  <c r="O89" i="31" s="1"/>
  <c r="R76" i="31"/>
  <c r="S67" i="31"/>
  <c r="R68"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72" i="31" l="1"/>
  <c r="Q78" i="31"/>
  <c r="Q83" i="31" s="1"/>
  <c r="R75" i="31"/>
  <c r="R70" i="31"/>
  <c r="R71" i="31" s="1"/>
  <c r="P86" i="31"/>
  <c r="P87" i="31" s="1"/>
  <c r="P90" i="31" s="1"/>
  <c r="P84" i="31"/>
  <c r="P89" i="31" s="1"/>
  <c r="P88" i="31"/>
  <c r="T67" i="31"/>
  <c r="S68" i="31"/>
  <c r="S76" i="31"/>
  <c r="C51" i="7"/>
  <c r="AB30" i="15"/>
  <c r="C49" i="7" s="1"/>
  <c r="P33" i="15"/>
  <c r="L33" i="15" s="1"/>
  <c r="AB33" i="15" s="1"/>
  <c r="P32" i="15"/>
  <c r="U67" i="31" l="1"/>
  <c r="T68" i="31"/>
  <c r="T76" i="31"/>
  <c r="R72" i="31"/>
  <c r="R78" i="31"/>
  <c r="R83" i="31" s="1"/>
  <c r="Q84" i="31"/>
  <c r="Q89" i="31" s="1"/>
  <c r="Q86" i="31"/>
  <c r="Q87" i="31" s="1"/>
  <c r="Q90" i="31" s="1"/>
  <c r="Q88" i="31"/>
  <c r="S75" i="31"/>
  <c r="S70" i="31"/>
  <c r="S71" i="31" s="1"/>
  <c r="S72" i="31" s="1"/>
  <c r="P34" i="15"/>
  <c r="L32" i="15"/>
  <c r="R86" i="31" l="1"/>
  <c r="R87" i="31" s="1"/>
  <c r="R90" i="31" s="1"/>
  <c r="R84" i="31"/>
  <c r="R89" i="31" s="1"/>
  <c r="R88" i="31"/>
  <c r="T70" i="31"/>
  <c r="T71" i="31" s="1"/>
  <c r="T75" i="31"/>
  <c r="S78" i="31"/>
  <c r="S83" i="31" s="1"/>
  <c r="U76" i="31"/>
  <c r="U68" i="31"/>
  <c r="V67" i="31"/>
  <c r="L34" i="15"/>
  <c r="AB34" i="15" s="1"/>
  <c r="AB32" i="15"/>
  <c r="U70" i="31" l="1"/>
  <c r="U71" i="31" s="1"/>
  <c r="U75" i="31"/>
  <c r="T72" i="31"/>
  <c r="T78" i="31"/>
  <c r="T83" i="31" s="1"/>
  <c r="S86" i="31"/>
  <c r="S87" i="31" s="1"/>
  <c r="S90" i="31" s="1"/>
  <c r="S88" i="31"/>
  <c r="S84" i="31"/>
  <c r="S89" i="31" s="1"/>
  <c r="V68" i="31"/>
  <c r="V76" i="31"/>
  <c r="W67" i="31"/>
  <c r="V75" i="31" l="1"/>
  <c r="V70" i="31"/>
  <c r="T84" i="31"/>
  <c r="T89" i="31" s="1"/>
  <c r="T86" i="31"/>
  <c r="T87" i="31" s="1"/>
  <c r="T90" i="31" s="1"/>
  <c r="T88" i="31"/>
  <c r="W68" i="31"/>
  <c r="X67" i="31"/>
  <c r="W76" i="31"/>
  <c r="U72" i="31"/>
  <c r="U78" i="31"/>
  <c r="U83" i="31" s="1"/>
  <c r="Y67" i="31" l="1"/>
  <c r="X68" i="31"/>
  <c r="X76" i="31"/>
  <c r="U86" i="31"/>
  <c r="U87" i="31" s="1"/>
  <c r="U90" i="31" s="1"/>
  <c r="U84" i="31"/>
  <c r="U89" i="31" s="1"/>
  <c r="U88" i="31"/>
  <c r="W70" i="31"/>
  <c r="W75" i="31"/>
  <c r="V71" i="31"/>
  <c r="V78" i="31" s="1"/>
  <c r="V83" i="31" s="1"/>
  <c r="V72" i="31" l="1"/>
  <c r="X75" i="31"/>
  <c r="X70" i="31"/>
  <c r="W71" i="31"/>
  <c r="W78" i="31" s="1"/>
  <c r="W83" i="31" s="1"/>
  <c r="V86" i="31"/>
  <c r="V87" i="31" s="1"/>
  <c r="V90" i="31" s="1"/>
  <c r="V88" i="31"/>
  <c r="V84" i="31"/>
  <c r="V89" i="31" s="1"/>
  <c r="Y76" i="31"/>
  <c r="Y68" i="31"/>
  <c r="Z67" i="31"/>
  <c r="W72" i="31" l="1"/>
  <c r="W86" i="31"/>
  <c r="W87" i="31" s="1"/>
  <c r="W90" i="31" s="1"/>
  <c r="W88" i="31"/>
  <c r="W84" i="31"/>
  <c r="W89" i="31" s="1"/>
  <c r="X71" i="31"/>
  <c r="X78" i="31" s="1"/>
  <c r="X83" i="31" s="1"/>
  <c r="Z76" i="31"/>
  <c r="AA67" i="31"/>
  <c r="Z68" i="31"/>
  <c r="Y70" i="31"/>
  <c r="Y75" i="31"/>
  <c r="X72" i="31" l="1"/>
  <c r="AB67" i="31"/>
  <c r="AA68" i="31"/>
  <c r="AA76" i="31"/>
  <c r="Y71" i="31"/>
  <c r="Y78" i="31" s="1"/>
  <c r="Y83" i="31" s="1"/>
  <c r="Z75" i="31"/>
  <c r="Z70" i="31"/>
  <c r="X84" i="31"/>
  <c r="X89" i="31" s="1"/>
  <c r="X86" i="31"/>
  <c r="X87" i="31" s="1"/>
  <c r="X90" i="31" s="1"/>
  <c r="X88" i="31"/>
  <c r="AA70" i="31" l="1"/>
  <c r="AA75" i="31"/>
  <c r="Y84" i="31"/>
  <c r="Y89" i="31" s="1"/>
  <c r="Y86" i="31"/>
  <c r="Y87" i="31" s="1"/>
  <c r="Y90" i="31" s="1"/>
  <c r="Y88" i="31"/>
  <c r="Z71" i="31"/>
  <c r="Z78" i="31" s="1"/>
  <c r="Z83" i="31" s="1"/>
  <c r="Y72" i="31"/>
  <c r="AC67" i="31"/>
  <c r="AB76" i="31"/>
  <c r="AB68" i="31"/>
  <c r="Z72" i="31" l="1"/>
  <c r="AC68" i="31"/>
  <c r="AC76" i="31"/>
  <c r="AD67" i="31"/>
  <c r="AB70" i="31"/>
  <c r="AB75" i="31"/>
  <c r="Z84" i="31"/>
  <c r="Z89" i="31" s="1"/>
  <c r="Z86" i="31"/>
  <c r="Z87" i="31" s="1"/>
  <c r="Z90" i="31" s="1"/>
  <c r="Z88" i="31"/>
  <c r="AA71" i="31"/>
  <c r="AA78" i="31" s="1"/>
  <c r="AA83" i="31" s="1"/>
  <c r="AA72" i="31" l="1"/>
  <c r="AD68" i="31"/>
  <c r="AE67" i="31"/>
  <c r="AD76" i="31"/>
  <c r="AB71" i="31"/>
  <c r="AB78" i="31" s="1"/>
  <c r="AB83" i="31" s="1"/>
  <c r="AA86" i="31"/>
  <c r="AA87" i="31" s="1"/>
  <c r="AA90" i="31" s="1"/>
  <c r="AA88" i="31"/>
  <c r="AA84" i="31"/>
  <c r="AA89" i="31" s="1"/>
  <c r="AC70" i="31"/>
  <c r="AC75" i="31"/>
  <c r="AB88" i="31" l="1"/>
  <c r="AB86" i="31"/>
  <c r="AB87" i="31" s="1"/>
  <c r="AB90" i="31" s="1"/>
  <c r="AB84" i="31"/>
  <c r="AB89" i="31" s="1"/>
  <c r="AE68" i="31"/>
  <c r="AE76" i="31"/>
  <c r="AC71" i="31"/>
  <c r="AC78" i="31" s="1"/>
  <c r="AC83" i="31" s="1"/>
  <c r="AB72" i="31"/>
  <c r="AD70" i="31"/>
  <c r="AD75" i="31"/>
  <c r="AC72" i="31" l="1"/>
  <c r="AD71" i="31"/>
  <c r="AD78" i="31" s="1"/>
  <c r="AD83" i="31" s="1"/>
  <c r="AE70" i="31"/>
  <c r="AE75" i="31"/>
  <c r="AC84" i="31"/>
  <c r="AC89" i="31" s="1"/>
  <c r="AC86" i="31"/>
  <c r="AC87" i="31" s="1"/>
  <c r="AC90" i="31" s="1"/>
  <c r="AC88" i="31"/>
  <c r="AE71" i="31" l="1"/>
  <c r="AE78" i="31" s="1"/>
  <c r="AE83" i="31" s="1"/>
  <c r="AE72" i="31"/>
  <c r="AD72" i="31"/>
  <c r="AD84" i="31"/>
  <c r="AD89" i="31" s="1"/>
  <c r="AD86" i="31"/>
  <c r="AD87" i="31" s="1"/>
  <c r="AD90" i="31" s="1"/>
  <c r="AD88" i="31"/>
  <c r="AE86" i="31" l="1"/>
  <c r="AE87" i="31" s="1"/>
  <c r="AE90" i="31" s="1"/>
  <c r="G28" i="31" s="1"/>
  <c r="AE88" i="31"/>
  <c r="AE84" i="31"/>
  <c r="AE89" i="31" s="1"/>
  <c r="G27" i="31" s="1"/>
</calcChain>
</file>

<file path=xl/sharedStrings.xml><?xml version="1.0" encoding="utf-8"?>
<sst xmlns="http://schemas.openxmlformats.org/spreadsheetml/2006/main" count="1222" uniqueCount="636">
  <si>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</si>
  <si>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</si>
  <si>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</si>
  <si>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</si>
  <si>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</si>
  <si>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</si>
  <si>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</si>
  <si>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</si>
  <si>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</si>
  <si>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</si>
  <si>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</si>
  <si>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</si>
  <si>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</si>
  <si>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</si>
  <si>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</si>
  <si>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</si>
  <si>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</si>
  <si>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</si>
  <si>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</si>
  <si>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</si>
  <si>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</si>
  <si>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</si>
  <si>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</si>
  <si>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</si>
  <si>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</si>
  <si>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</si>
  <si>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</si>
  <si>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</si>
  <si>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</si>
  <si>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</si>
  <si>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</si>
  <si>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</si>
  <si>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</si>
  <si>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</si>
  <si>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</si>
  <si>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</si>
  <si>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</si>
  <si>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</si>
  <si>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</si>
  <si>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</si>
  <si>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</si>
  <si>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</si>
  <si>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</si>
  <si>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</si>
  <si>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</si>
  <si>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</si>
  <si>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</si>
  <si>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</si>
  <si>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</si>
  <si>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</si>
  <si>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</si>
  <si>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</si>
  <si>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</si>
  <si>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</si>
  <si>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</si>
  <si>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</si>
  <si>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</si>
  <si>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</si>
  <si>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</si>
  <si>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</si>
  <si>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</si>
  <si>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</si>
  <si>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</si>
  <si>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</si>
  <si>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</si>
  <si>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</si>
  <si>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</si>
  <si>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</si>
  <si>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</si>
  <si>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</si>
  <si>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</si>
  <si>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</si>
  <si>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</si>
  <si>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</si>
  <si>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</si>
  <si>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</si>
  <si>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</si>
  <si>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</si>
  <si>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</si>
  <si>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</si>
  <si>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</si>
  <si>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</si>
  <si>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</si>
  <si>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</si>
  <si>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</si>
  <si>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</si>
  <si>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</si>
  <si>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</si>
  <si>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</si>
  <si>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</si>
  <si>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</si>
  <si>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</si>
  <si>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</si>
  <si>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</si>
  <si>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</si>
  <si>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</si>
  <si>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</si>
  <si>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</si>
  <si>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</si>
  <si>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</si>
  <si>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</si>
  <si>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</si>
  <si>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</si>
  <si>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</si>
  <si>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</si>
  <si>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</si>
  <si>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</si>
  <si>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</si>
  <si>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</si>
  <si>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</si>
  <si>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</si>
  <si>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</si>
  <si>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</si>
  <si>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</si>
  <si>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</si>
  <si>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</si>
  <si>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</si>
  <si>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</si>
  <si>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</si>
  <si>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</si>
  <si>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</si>
  <si>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</si>
  <si>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</si>
  <si>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</si>
  <si>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</si>
  <si>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</si>
  <si>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</si>
  <si>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</si>
  <si>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</si>
  <si>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</si>
  <si>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</si>
  <si>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</si>
  <si>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</si>
  <si>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</si>
  <si>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</si>
  <si>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</si>
  <si>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</si>
  <si>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</si>
  <si>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</si>
  <si>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</si>
  <si>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</si>
  <si>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</si>
  <si>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</si>
  <si>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</si>
  <si>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</si>
  <si>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</si>
  <si>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</si>
  <si>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</si>
  <si>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</si>
  <si>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</si>
  <si>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</si>
  <si>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</si>
  <si>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</si>
  <si>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</si>
  <si>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</si>
  <si>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</si>
  <si>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</si>
  <si>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</si>
  <si>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</si>
  <si>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</si>
  <si>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</si>
  <si>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</si>
  <si>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</si>
  <si>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</si>
  <si>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</si>
  <si>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</si>
  <si>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</si>
  <si>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</si>
  <si>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</si>
  <si>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</si>
  <si>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</si>
  <si>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</si>
  <si>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</si>
  <si>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</si>
  <si>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</si>
  <si>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</si>
  <si>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</si>
  <si>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</si>
  <si>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</si>
  <si>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</si>
  <si>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</si>
  <si>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</si>
  <si>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</si>
  <si>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</si>
  <si>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</si>
  <si>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</si>
  <si>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</si>
  <si>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</si>
  <si>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</si>
  <si>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</si>
  <si>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</si>
  <si>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</si>
  <si>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</si>
  <si>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</si>
  <si>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</si>
  <si>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</si>
  <si>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</si>
  <si>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</si>
  <si>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</si>
  <si>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</si>
  <si>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</si>
  <si>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</si>
  <si>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</si>
  <si>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</si>
  <si>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</si>
  <si>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</si>
  <si>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</si>
  <si>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</si>
  <si>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</si>
  <si>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</si>
  <si>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</si>
  <si>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</si>
  <si>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</si>
  <si>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</si>
  <si>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</si>
  <si>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</si>
  <si>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</si>
  <si>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</si>
  <si>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</si>
  <si>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</si>
  <si>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</si>
  <si>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</si>
  <si>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</si>
  <si>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</si>
  <si>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</si>
  <si>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</si>
  <si>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</si>
  <si>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</si>
  <si>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</si>
  <si>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</si>
  <si>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</si>
  <si>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</si>
  <si>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</si>
  <si>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</si>
  <si>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</si>
  <si>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</si>
  <si>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</si>
  <si>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</si>
  <si>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</si>
  <si>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</si>
  <si>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</si>
  <si>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</si>
  <si>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</si>
  <si>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</si>
  <si>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</si>
  <si>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</si>
  <si>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</si>
  <si>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</si>
  <si>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</si>
  <si>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</si>
  <si>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</si>
  <si>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</si>
  <si>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</si>
  <si>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</si>
  <si>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</si>
  <si>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</si>
  <si>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</si>
  <si>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</si>
  <si>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</si>
  <si>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</si>
  <si>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</si>
  <si>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</si>
  <si>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</si>
  <si>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</si>
  <si>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</si>
  <si>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</si>
  <si>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</si>
  <si>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</si>
  <si>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</si>
  <si>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</si>
  <si>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</si>
  <si>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</si>
  <si>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</si>
  <si>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</si>
  <si>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</si>
  <si>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</si>
  <si>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</si>
  <si>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</si>
  <si>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</si>
  <si>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</si>
  <si>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</si>
  <si>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</si>
  <si>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</si>
  <si>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</si>
  <si>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</si>
  <si>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</si>
  <si>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</si>
  <si>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</si>
  <si>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</si>
  <si>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</si>
  <si>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</si>
  <si>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</si>
  <si>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</si>
  <si>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</si>
  <si>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</si>
  <si>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</si>
  <si>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</si>
  <si>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</si>
  <si>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</si>
  <si>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</si>
  <si>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</si>
  <si>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</si>
  <si>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</si>
  <si>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</si>
  <si>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</si>
  <si>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</si>
  <si>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</si>
  <si>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</si>
  <si>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</si>
  <si>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</si>
  <si>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</si>
  <si>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</si>
  <si>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</si>
  <si>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</si>
  <si>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</si>
  <si>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</si>
  <si>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</si>
  <si>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</si>
  <si>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</si>
  <si>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</si>
  <si>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</si>
  <si>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</si>
  <si>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</si>
  <si>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</si>
  <si>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</si>
  <si>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</si>
  <si>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</si>
  <si>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</si>
  <si>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</si>
  <si>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</si>
  <si>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</si>
  <si>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</si>
  <si>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</si>
  <si>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</si>
  <si>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</si>
  <si>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</si>
  <si>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</si>
  <si>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</si>
  <si>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</si>
  <si>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</si>
  <si>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</si>
  <si>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</si>
  <si>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</si>
  <si>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</si>
  <si>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</si>
  <si>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</si>
  <si>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</si>
  <si>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</si>
  <si>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</si>
  <si>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</si>
  <si>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</si>
  <si>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</si>
  <si>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</si>
  <si>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</si>
  <si>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</si>
  <si>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</si>
  <si>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</si>
  <si>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</si>
  <si>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</si>
  <si>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</si>
  <si>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</si>
  <si>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</si>
  <si>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</si>
  <si>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</si>
  <si>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</si>
  <si>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</si>
  <si>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</si>
  <si>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</si>
  <si>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</si>
  <si>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</si>
  <si>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</si>
  <si>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</si>
  <si>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</si>
  <si>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</si>
  <si>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</si>
  <si>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</si>
  <si>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</si>
  <si>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</si>
  <si>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</si>
  <si>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</si>
  <si>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</si>
  <si>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</si>
  <si>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</si>
  <si>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</si>
  <si>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</si>
  <si>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</si>
  <si>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</si>
  <si>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</si>
  <si>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</si>
  <si>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</si>
  <si>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</si>
  <si>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</si>
  <si>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</si>
  <si>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</si>
  <si>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</si>
  <si>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</si>
  <si>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</si>
  <si>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</si>
  <si>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</si>
  <si>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</si>
  <si>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</si>
  <si>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</si>
  <si>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</si>
  <si>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</si>
  <si>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</si>
  <si>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</si>
  <si>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</si>
  <si>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</si>
  <si>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</si>
  <si>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</si>
  <si>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</si>
  <si>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</si>
  <si>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</si>
  <si>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</si>
  <si>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</si>
  <si>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</si>
  <si>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</si>
  <si>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</si>
  <si>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</si>
  <si>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</si>
  <si>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</si>
  <si>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</si>
  <si>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</si>
  <si>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</si>
  <si>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</si>
  <si>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</si>
  <si>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</si>
  <si>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</si>
  <si>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</si>
  <si>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</si>
  <si>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</si>
  <si>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</si>
  <si>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</si>
  <si>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</si>
  <si>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</si>
  <si>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</si>
  <si>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</si>
  <si>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</si>
  <si>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</si>
  <si>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</si>
  <si>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</si>
  <si>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</si>
  <si>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</si>
  <si>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</si>
  <si>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</si>
  <si>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</si>
  <si>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</si>
  <si>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</si>
  <si>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</si>
  <si>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</si>
  <si>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</si>
  <si>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</si>
  <si>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</si>
  <si>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</si>
  <si>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</si>
  <si>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</si>
  <si>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</si>
  <si>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</si>
  <si>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</si>
  <si>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</si>
  <si>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</si>
  <si>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</si>
  <si>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</si>
  <si>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</si>
  <si>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</si>
  <si>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</si>
  <si>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</si>
  <si>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</si>
  <si>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</si>
  <si>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</si>
  <si>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</si>
  <si>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</si>
  <si>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</si>
  <si>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</si>
  <si>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</si>
  <si>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</si>
  <si>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</si>
  <si>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</si>
  <si>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</si>
  <si>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</si>
  <si>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</si>
  <si>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</si>
  <si>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</si>
  <si>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</si>
  <si>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</si>
  <si>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</si>
  <si>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</si>
  <si>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</si>
  <si>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</si>
  <si>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</si>
  <si>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</si>
  <si>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</si>
  <si>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</si>
  <si>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</si>
  <si>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</si>
  <si>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</si>
  <si>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</si>
  <si>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</si>
  <si>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</si>
  <si>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</si>
  <si>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</si>
  <si>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</si>
  <si>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</si>
  <si>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</si>
  <si>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</si>
  <si>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</si>
  <si>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</si>
  <si>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</si>
  <si>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</si>
  <si>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</si>
  <si>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</si>
  <si>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</si>
  <si>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</si>
  <si>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</si>
  <si>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</si>
  <si>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</si>
  <si>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</si>
  <si>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</si>
  <si>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</si>
  <si>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</si>
  <si>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</si>
  <si>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</si>
  <si>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</si>
  <si>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</si>
  <si>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</si>
  <si>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</si>
  <si>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</si>
  <si>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</si>
  <si>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</si>
  <si>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</si>
  <si>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</si>
  <si>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</si>
  <si>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</si>
  <si>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</si>
  <si>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</si>
  <si>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2015</t>
  </si>
  <si>
    <t>Факт 2016</t>
  </si>
  <si>
    <t>Факт 2017</t>
  </si>
  <si>
    <t>Утвержденный план 2018</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</si>
  <si>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</si>
  <si>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</si>
  <si>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</si>
  <si>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</si>
  <si>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</si>
  <si>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</si>
  <si>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</si>
  <si>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</si>
  <si>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</si>
  <si>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</si>
  <si>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</si>
  <si>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</si>
  <si>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</si>
  <si>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 xml:space="preserve"> по состоянию на 01.01.2019</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</si>
  <si>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</si>
  <si>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</si>
  <si>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</si>
  <si>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</si>
  <si>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</si>
  <si>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</si>
  <si>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</si>
  <si>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</si>
  <si>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</si>
  <si>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</si>
  <si>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</si>
  <si>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</si>
  <si>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</si>
  <si>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</si>
  <si>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</si>
  <si>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</si>
  <si>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</si>
  <si>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</si>
  <si>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</si>
  <si>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1967</t>
  </si>
  <si>
    <t xml:space="preserve">Модернизация оборудования для обеспечениянадежности электроснабжения.
</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</si>
  <si>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</si>
  <si>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</si>
  <si>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</si>
  <si>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</si>
  <si>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2020</t>
  </si>
  <si>
    <t>Реконструкция</t>
  </si>
  <si>
    <t>проектирование</t>
  </si>
  <si>
    <t>ячейки с элегазовыми выключателями нагрузки</t>
  </si>
  <si>
    <t>В В-46; Т-2; ТП-5; ТП-12</t>
  </si>
  <si>
    <t>В В-46; Т-2; ТП-5; ТП-12; Т-1</t>
  </si>
  <si>
    <t>1968</t>
  </si>
  <si>
    <t xml:space="preserve">15  </t>
  </si>
  <si>
    <t>ячейки РУ-0,4кВ</t>
  </si>
  <si>
    <t>шкафы с рубильниками и предохранителями</t>
  </si>
  <si>
    <t>шкафы НКУ-0,4 с автоматическими выключателями и АВР</t>
  </si>
  <si>
    <t>РУ-0,4</t>
  </si>
  <si>
    <t>0,4</t>
  </si>
  <si>
    <t xml:space="preserve">Трансформатор  </t>
  </si>
  <si>
    <t>Т-1</t>
  </si>
  <si>
    <t>Т-2</t>
  </si>
  <si>
    <t>0,165 руб /1 шт.</t>
  </si>
  <si>
    <t>Багратионовский  р-н, п. Северный, Нивенское сельское поселение.</t>
  </si>
  <si>
    <t>ТП-4</t>
  </si>
  <si>
    <t>отдельные ячейки 6кВ с воздушными разъединителями</t>
  </si>
  <si>
    <t>ТМГ-6/0,4кВ 630кВА</t>
  </si>
  <si>
    <t>2001</t>
  </si>
  <si>
    <t>2002</t>
  </si>
  <si>
    <t>ТМ-6/0,4кВ 250кВА</t>
  </si>
  <si>
    <t>ТМГ-6/0,4кВ 250кВА</t>
  </si>
  <si>
    <t>1970</t>
  </si>
  <si>
    <t>1971</t>
  </si>
  <si>
    <t>ТМ-6/0,4кВ 180кВА</t>
  </si>
  <si>
    <t>Т-3</t>
  </si>
  <si>
    <t>1963</t>
  </si>
  <si>
    <t>1965</t>
  </si>
  <si>
    <t xml:space="preserve">  механический износ выключатели отработали более 52 лет (1967 года )</t>
  </si>
  <si>
    <t>J_19-08</t>
  </si>
  <si>
    <t>Реконструкция ТП-4  15/0,4кВ п.Северный, Багратионовского р-на</t>
  </si>
  <si>
    <t>показатель замены выключателей Вз=5 шт.</t>
  </si>
  <si>
    <t>ячейки РУ-15кВ</t>
  </si>
  <si>
    <t>не техприсоединение</t>
  </si>
  <si>
    <t>конкурс в элвиде</t>
  </si>
  <si>
    <t xml:space="preserve"> показатель замены выключателей,5 шт. показатель замены силовых трансформаторов, 0,5 МВА</t>
  </si>
  <si>
    <t>Сметная стоимость проекта в  прогнозных ценах   с НДС, млн. руб.</t>
  </si>
  <si>
    <t xml:space="preserve">  Замена  выключателей 15кВ с РЗА и ПА на микропроцессорной базе, замена силовых трансформаторов ТМ-6/0,4кВ 250кВА 1963 г и 1970 г ввода на новые силовые трансформаторы ТМ-6/0,4кВ 250кВА</t>
  </si>
  <si>
    <t xml:space="preserve"> факт 2019</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</si>
  <si>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</si>
  <si>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</si>
  <si>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</si>
  <si>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</si>
  <si>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</si>
  <si>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</si>
  <si>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</si>
  <si>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</si>
  <si>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</si>
  <si>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</si>
  <si>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</si>
  <si>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</si>
  <si>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</si>
  <si>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Год раскрытия информации: 2021 год</t>
  </si>
  <si>
    <t xml:space="preserve"> по состоянию на 01.01.2021</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</si>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</sst>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7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5" xfId="2" applyFont="1" applyFill="1" applyBorder="1" applyAlignment="1">
      <alignment horizontal="justify"/>
    </xf>
    <xf numFmtId="0" fontId="36" fillId="0" borderId="26" xfId="2" applyFont="1" applyFill="1" applyBorder="1" applyAlignment="1">
      <alignment horizontal="justify"/>
    </xf>
    <xf numFmtId="0" fontId="37" fillId="0" borderId="25" xfId="2" applyFont="1" applyFill="1" applyBorder="1" applyAlignment="1">
      <alignment vertical="top" wrapText="1"/>
    </xf>
    <xf numFmtId="0" fontId="37" fillId="0" borderId="27" xfId="2" applyFont="1" applyFill="1" applyBorder="1" applyAlignment="1">
      <alignment vertical="top" wrapText="1"/>
    </xf>
    <xf numFmtId="0" fontId="37" fillId="0" borderId="26" xfId="2" applyFont="1" applyFill="1" applyBorder="1" applyAlignment="1">
      <alignment vertical="top" wrapText="1"/>
    </xf>
    <xf numFmtId="0" fontId="36" fillId="0" borderId="25" xfId="2" applyFont="1" applyFill="1" applyBorder="1" applyAlignment="1">
      <alignment horizontal="justify" vertical="top" wrapText="1"/>
    </xf>
    <xf numFmtId="0" fontId="36" fillId="0" borderId="26" xfId="2" applyFont="1" applyFill="1" applyBorder="1" applyAlignment="1">
      <alignment vertical="top" wrapText="1"/>
    </xf>
    <xf numFmtId="0" fontId="36" fillId="0" borderId="25" xfId="2" applyFont="1" applyFill="1" applyBorder="1" applyAlignment="1">
      <alignment vertical="top" wrapText="1"/>
    </xf>
    <xf numFmtId="0" fontId="36" fillId="0" borderId="29" xfId="2" applyFont="1" applyFill="1" applyBorder="1" applyAlignment="1">
      <alignment vertical="top" wrapText="1"/>
    </xf>
    <xf numFmtId="0" fontId="36" fillId="0" borderId="27" xfId="2" applyFont="1" applyFill="1" applyBorder="1" applyAlignment="1">
      <alignment vertical="top" wrapText="1"/>
    </xf>
    <xf numFmtId="0" fontId="37" fillId="0" borderId="27" xfId="2" applyFont="1" applyFill="1" applyBorder="1" applyAlignment="1">
      <alignment horizontal="justify" vertical="top" wrapText="1"/>
    </xf>
    <xf numFmtId="0" fontId="37" fillId="0" borderId="25" xfId="2" applyFont="1" applyFill="1" applyBorder="1" applyAlignment="1">
      <alignment horizontal="justify" vertical="top" wrapText="1"/>
    </xf>
    <xf numFmtId="0" fontId="36" fillId="0" borderId="30" xfId="2" quotePrefix="1" applyFont="1" applyFill="1" applyBorder="1" applyAlignment="1">
      <alignment horizontal="justify" vertical="top" wrapText="1"/>
    </xf>
    <xf numFmtId="0" fontId="36" fillId="0" borderId="31" xfId="2" applyFont="1" applyFill="1" applyBorder="1" applyAlignment="1">
      <alignment horizontal="justify" vertical="top" wrapText="1"/>
    </xf>
    <xf numFmtId="0" fontId="36" fillId="0" borderId="30" xfId="2" applyFont="1" applyFill="1" applyBorder="1" applyAlignment="1">
      <alignment vertical="top" wrapText="1"/>
    </xf>
    <xf numFmtId="0" fontId="37" fillId="0" borderId="26" xfId="2" applyFont="1" applyFill="1" applyBorder="1" applyAlignment="1">
      <alignment horizontal="left" vertical="center" wrapText="1"/>
    </xf>
    <xf numFmtId="0" fontId="36" fillId="0" borderId="30" xfId="2" applyFont="1" applyFill="1" applyBorder="1" applyAlignment="1">
      <alignment horizontal="justify" vertical="top" wrapText="1"/>
    </xf>
    <xf numFmtId="0" fontId="37" fillId="0" borderId="26" xfId="2" applyFont="1" applyFill="1" applyBorder="1" applyAlignment="1">
      <alignment horizontal="center" vertical="center" wrapText="1"/>
    </xf>
    <xf numFmtId="0" fontId="36" fillId="0" borderId="27"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5" xfId="2" applyNumberFormat="1" applyFont="1" applyFill="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Fill="1" applyBorder="1" applyAlignment="1">
      <alignment horizontal="justify" vertical="top" wrapText="1"/>
    </xf>
    <xf numFmtId="10" fontId="36"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4" fontId="36" fillId="0" borderId="25" xfId="2" applyNumberFormat="1" applyFont="1" applyFill="1" applyBorder="1" applyAlignment="1">
      <alignment horizontal="justify" vertical="top" wrapText="1"/>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6"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30" xfId="2" applyNumberFormat="1" applyFont="1" applyFill="1" applyBorder="1" applyAlignment="1">
      <alignment horizontal="justify" vertical="top" wrapText="1"/>
    </xf>
    <xf numFmtId="4" fontId="38" fillId="0" borderId="34" xfId="62" applyNumberFormat="1" applyFont="1" applyFill="1" applyBorder="1" applyAlignment="1">
      <alignment horizontal="left" vertical="center" wrapText="1"/>
    </xf>
    <xf numFmtId="0" fontId="36" fillId="0" borderId="25" xfId="2" applyFont="1" applyFill="1" applyBorder="1" applyAlignment="1">
      <alignment horizontal="left" vertical="top" wrapText="1"/>
    </xf>
    <xf numFmtId="0" fontId="36" fillId="0" borderId="30"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0" fontId="38" fillId="0" borderId="4" xfId="1" applyFont="1" applyFill="1" applyBorder="1" applyAlignment="1">
      <alignment horizontal="center" vertical="center" wrapText="1"/>
    </xf>
    <xf numFmtId="0" fontId="11" fillId="0" borderId="1" xfId="1" applyFont="1" applyFill="1" applyBorder="1" applyAlignment="1">
      <alignment horizontal="center" vertical="center"/>
    </xf>
    <xf numFmtId="0" fontId="38"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3" fontId="71" fillId="0" borderId="33" xfId="67" applyNumberFormat="1" applyFont="1" applyFill="1" applyBorder="1" applyAlignment="1">
      <alignment vertical="center"/>
    </xf>
    <xf numFmtId="0" fontId="11" fillId="0" borderId="0" xfId="1" applyFont="1" applyFill="1" applyBorder="1" applyAlignment="1">
      <alignment horizontal="center" vertical="center"/>
    </xf>
    <xf numFmtId="0" fontId="10" fillId="0" borderId="4" xfId="1" applyFont="1" applyFill="1" applyBorder="1" applyAlignment="1">
      <alignment horizontal="center" vertical="center" wrapText="1"/>
    </xf>
    <xf numFmtId="0" fontId="50" fillId="0" borderId="0" xfId="1" applyFont="1" applyFill="1" applyBorder="1"/>
    <xf numFmtId="0" fontId="10" fillId="0" borderId="1" xfId="62" applyFont="1" applyFill="1" applyBorder="1" applyAlignment="1">
      <alignment horizontal="center" vertical="center" wrapText="1"/>
    </xf>
    <xf numFmtId="49" fontId="10" fillId="0" borderId="1" xfId="62" applyNumberFormat="1" applyFont="1" applyFill="1" applyBorder="1" applyAlignment="1">
      <alignment horizontal="center" vertical="center" wrapText="1"/>
    </xf>
    <xf numFmtId="0" fontId="10" fillId="0" borderId="0" xfId="62" applyFont="1" applyFill="1" applyBorder="1" applyAlignment="1">
      <alignment horizontal="left" vertical="center"/>
    </xf>
    <xf numFmtId="0" fontId="72" fillId="0" borderId="1" xfId="0" applyFont="1" applyFill="1" applyBorder="1" applyAlignment="1">
      <alignment horizontal="center" vertical="center" wrapText="1"/>
    </xf>
    <xf numFmtId="0" fontId="10" fillId="0" borderId="1" xfId="62" applyFont="1" applyFill="1" applyBorder="1" applyAlignment="1">
      <alignment horizontal="center" vertical="center"/>
    </xf>
    <xf numFmtId="0" fontId="10" fillId="0" borderId="0" xfId="62" applyFont="1" applyFill="1" applyBorder="1" applyAlignment="1">
      <alignment horizontal="left"/>
    </xf>
    <xf numFmtId="0" fontId="42" fillId="0" borderId="1" xfId="1" applyFont="1" applyFill="1" applyBorder="1" applyAlignment="1">
      <alignment horizontal="center" vertical="center" wrapText="1"/>
    </xf>
    <xf numFmtId="0" fontId="36" fillId="0" borderId="25" xfId="2" applyNumberFormat="1" applyFont="1" applyFill="1" applyBorder="1" applyAlignment="1">
      <alignment horizontal="justify"/>
    </xf>
    <xf numFmtId="0" fontId="36" fillId="0" borderId="28" xfId="2" applyFont="1" applyFill="1" applyBorder="1" applyAlignment="1">
      <alignment horizontal="justify" vertical="top" wrapText="1"/>
    </xf>
    <xf numFmtId="2" fontId="36" fillId="0" borderId="25" xfId="2" applyNumberFormat="1" applyFont="1" applyFill="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Fill="1" applyBorder="1" applyAlignment="1">
      <alignment horizontal="justify"/>
    </xf>
    <xf numFmtId="0" fontId="73" fillId="0" borderId="25" xfId="128" applyFill="1" applyBorder="1" applyAlignment="1">
      <alignment horizontal="justify"/>
    </xf>
    <xf numFmtId="0" fontId="28" fillId="0" borderId="0" xfId="0" applyNumberFormat="1" applyFont="1" applyFill="1" applyBorder="1" applyAlignment="1" applyProtection="1"/>
    <xf numFmtId="0" fontId="74" fillId="0" borderId="0" xfId="0" applyNumberFormat="1" applyFont="1" applyFill="1" applyBorder="1" applyAlignment="1" applyProtection="1"/>
    <xf numFmtId="0" fontId="41" fillId="0" borderId="0" xfId="0" applyNumberFormat="1" applyFont="1" applyFill="1" applyBorder="1" applyAlignment="1" applyProtection="1">
      <alignment horizontal="right" vertical="center"/>
    </xf>
    <xf numFmtId="0" fontId="68" fillId="0" borderId="0" xfId="0" applyNumberFormat="1" applyFont="1" applyFill="1" applyBorder="1" applyAlignment="1" applyProtection="1"/>
    <xf numFmtId="0" fontId="75" fillId="0" borderId="0" xfId="0" applyNumberFormat="1" applyFont="1" applyFill="1" applyBorder="1" applyAlignment="1" applyProtection="1"/>
    <xf numFmtId="0" fontId="76" fillId="0" borderId="0" xfId="0" applyNumberFormat="1" applyFont="1" applyFill="1" applyBorder="1" applyAlignment="1" applyProtection="1"/>
    <xf numFmtId="0" fontId="41" fillId="0" borderId="0" xfId="0" applyNumberFormat="1" applyFont="1" applyFill="1" applyBorder="1" applyAlignment="1" applyProtection="1">
      <alignment horizontal="right"/>
    </xf>
    <xf numFmtId="0" fontId="77" fillId="0" borderId="0" xfId="0" applyNumberFormat="1" applyFont="1" applyFill="1" applyBorder="1" applyAlignment="1" applyProtection="1">
      <alignment horizontal="left" vertical="center"/>
    </xf>
    <xf numFmtId="0" fontId="78" fillId="0" borderId="0" xfId="0" applyNumberFormat="1" applyFont="1" applyFill="1" applyBorder="1" applyAlignment="1" applyProtection="1">
      <alignment horizontal="left" vertical="center"/>
    </xf>
    <xf numFmtId="0" fontId="79" fillId="0" borderId="0" xfId="0" applyNumberFormat="1" applyFont="1" applyFill="1" applyBorder="1" applyAlignment="1" applyProtection="1">
      <alignment vertical="center"/>
    </xf>
    <xf numFmtId="0" fontId="69" fillId="0" borderId="0" xfId="0" applyNumberFormat="1" applyFont="1" applyFill="1" applyBorder="1" applyAlignment="1" applyProtection="1">
      <alignment vertical="center"/>
    </xf>
    <xf numFmtId="0" fontId="79"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xf>
    <xf numFmtId="0" fontId="70" fillId="0" borderId="0" xfId="0" applyNumberFormat="1" applyFont="1" applyFill="1" applyBorder="1" applyAlignment="1" applyProtection="1">
      <alignment vertical="center"/>
    </xf>
    <xf numFmtId="0" fontId="41" fillId="0" borderId="0"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vertical="center" wrapText="1"/>
    </xf>
    <xf numFmtId="0" fontId="70" fillId="0" borderId="0" xfId="0" applyNumberFormat="1" applyFont="1" applyFill="1" applyBorder="1" applyAlignment="1" applyProtection="1"/>
    <xf numFmtId="0" fontId="81"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vertical="center" wrapText="1"/>
    </xf>
    <xf numFmtId="0" fontId="69" fillId="0" borderId="0" xfId="0" applyNumberFormat="1" applyFont="1" applyFill="1" applyBorder="1" applyAlignment="1" applyProtection="1">
      <alignment horizontal="center" vertical="center"/>
    </xf>
    <xf numFmtId="0" fontId="69" fillId="0" borderId="0" xfId="0" applyNumberFormat="1" applyFont="1" applyFill="1" applyBorder="1" applyAlignment="1" applyProtection="1">
      <alignment horizontal="left" vertical="center"/>
    </xf>
    <xf numFmtId="0" fontId="70" fillId="0" borderId="32" xfId="0" applyNumberFormat="1" applyFont="1" applyFill="1" applyBorder="1" applyAlignment="1" applyProtection="1">
      <alignment vertical="center"/>
    </xf>
    <xf numFmtId="0" fontId="70" fillId="0" borderId="34" xfId="0" applyNumberFormat="1" applyFont="1" applyFill="1" applyBorder="1" applyAlignment="1" applyProtection="1">
      <alignment vertical="center"/>
    </xf>
    <xf numFmtId="3" fontId="70" fillId="0" borderId="41" xfId="0" applyNumberFormat="1" applyFont="1" applyFill="1" applyBorder="1" applyAlignment="1" applyProtection="1">
      <alignment vertical="center"/>
    </xf>
    <xf numFmtId="0" fontId="70" fillId="0" borderId="42" xfId="0" applyNumberFormat="1" applyFont="1" applyFill="1" applyBorder="1" applyAlignment="1" applyProtection="1">
      <alignment vertical="center"/>
    </xf>
    <xf numFmtId="0" fontId="70" fillId="0" borderId="43" xfId="0" applyNumberFormat="1" applyFont="1" applyFill="1" applyBorder="1" applyAlignment="1" applyProtection="1">
      <alignment vertical="center"/>
    </xf>
    <xf numFmtId="3" fontId="70" fillId="0" borderId="44" xfId="0" applyNumberFormat="1" applyFont="1" applyFill="1" applyBorder="1" applyAlignment="1" applyProtection="1">
      <alignment vertical="center"/>
    </xf>
    <xf numFmtId="4" fontId="41" fillId="0" borderId="48" xfId="0" applyNumberFormat="1" applyFont="1" applyFill="1" applyBorder="1" applyAlignment="1" applyProtection="1">
      <alignment horizontal="center" vertical="center"/>
    </xf>
    <xf numFmtId="4" fontId="82" fillId="0" borderId="5" xfId="0" applyNumberFormat="1" applyFont="1" applyFill="1" applyBorder="1" applyAlignment="1" applyProtection="1">
      <alignment horizontal="center" vertical="center"/>
    </xf>
    <xf numFmtId="3" fontId="41" fillId="0" borderId="48" xfId="0" applyNumberFormat="1" applyFont="1" applyFill="1" applyBorder="1" applyAlignment="1" applyProtection="1">
      <alignment horizontal="center" vertical="center"/>
    </xf>
    <xf numFmtId="3" fontId="82" fillId="0" borderId="5" xfId="0" applyNumberFormat="1" applyFont="1" applyFill="1" applyBorder="1" applyAlignment="1" applyProtection="1">
      <alignment horizontal="center" vertical="center"/>
    </xf>
    <xf numFmtId="0" fontId="70" fillId="0" borderId="48" xfId="0" applyNumberFormat="1" applyFont="1" applyFill="1" applyBorder="1" applyAlignment="1" applyProtection="1">
      <alignment horizontal="center" vertical="center"/>
    </xf>
    <xf numFmtId="0" fontId="82" fillId="0" borderId="5" xfId="0" applyNumberFormat="1" applyFont="1" applyFill="1" applyBorder="1" applyAlignment="1" applyProtection="1">
      <alignment horizontal="center" vertical="center"/>
    </xf>
    <xf numFmtId="0" fontId="70" fillId="0" borderId="49" xfId="0" applyNumberFormat="1" applyFont="1" applyFill="1" applyBorder="1" applyAlignment="1" applyProtection="1">
      <alignment vertical="center"/>
    </xf>
    <xf numFmtId="0" fontId="70" fillId="0" borderId="37" xfId="0" applyNumberFormat="1" applyFont="1" applyFill="1" applyBorder="1" applyAlignment="1" applyProtection="1">
      <alignment vertical="center"/>
    </xf>
    <xf numFmtId="10" fontId="70" fillId="0" borderId="35" xfId="0" applyNumberFormat="1" applyFont="1" applyFill="1" applyBorder="1" applyAlignment="1" applyProtection="1">
      <alignment vertical="center"/>
    </xf>
    <xf numFmtId="3" fontId="70" fillId="0" borderId="33" xfId="0" applyNumberFormat="1" applyFont="1" applyFill="1" applyBorder="1" applyAlignment="1" applyProtection="1">
      <alignment vertical="center"/>
    </xf>
    <xf numFmtId="9" fontId="70" fillId="0" borderId="50" xfId="0" applyNumberFormat="1" applyFont="1" applyFill="1" applyBorder="1" applyAlignment="1" applyProtection="1">
      <alignment vertical="center"/>
    </xf>
    <xf numFmtId="0" fontId="70" fillId="0" borderId="38" xfId="0" applyNumberFormat="1" applyFont="1" applyFill="1" applyBorder="1" applyAlignment="1" applyProtection="1">
      <alignment vertical="center"/>
    </xf>
    <xf numFmtId="3" fontId="70" fillId="0" borderId="32" xfId="0" applyNumberFormat="1" applyFont="1" applyFill="1" applyBorder="1" applyAlignment="1" applyProtection="1">
      <alignment vertical="center"/>
    </xf>
    <xf numFmtId="0" fontId="70" fillId="0" borderId="51" xfId="0" applyNumberFormat="1" applyFont="1" applyFill="1" applyBorder="1" applyAlignment="1" applyProtection="1">
      <alignment vertical="center"/>
    </xf>
    <xf numFmtId="10" fontId="70" fillId="0" borderId="36" xfId="0" applyNumberFormat="1" applyFont="1" applyFill="1" applyBorder="1" applyAlignment="1" applyProtection="1">
      <alignment vertical="center"/>
    </xf>
    <xf numFmtId="10" fontId="70" fillId="0" borderId="42" xfId="0" applyNumberFormat="1" applyFont="1" applyFill="1" applyBorder="1" applyAlignment="1" applyProtection="1">
      <alignment vertical="center"/>
    </xf>
    <xf numFmtId="10" fontId="70" fillId="0" borderId="42" xfId="67" applyNumberFormat="1" applyFont="1" applyFill="1" applyBorder="1" applyAlignment="1">
      <alignment vertical="center"/>
    </xf>
    <xf numFmtId="10" fontId="41" fillId="0" borderId="42" xfId="0" applyNumberFormat="1" applyFont="1" applyFill="1" applyBorder="1" applyAlignment="1" applyProtection="1">
      <alignment vertical="center"/>
    </xf>
    <xf numFmtId="0" fontId="70" fillId="0" borderId="52" xfId="0" applyNumberFormat="1" applyFont="1" applyFill="1" applyBorder="1" applyAlignment="1" applyProtection="1">
      <alignment vertical="center"/>
    </xf>
    <xf numFmtId="0" fontId="83" fillId="0" borderId="0" xfId="0" applyNumberFormat="1" applyFont="1" applyFill="1" applyBorder="1" applyAlignment="1" applyProtection="1">
      <alignment vertical="center"/>
    </xf>
    <xf numFmtId="0" fontId="70" fillId="0" borderId="39" xfId="0" applyNumberFormat="1" applyFont="1" applyFill="1" applyBorder="1" applyAlignment="1" applyProtection="1">
      <alignment horizontal="left" vertical="center"/>
    </xf>
    <xf numFmtId="1" fontId="70" fillId="0" borderId="24" xfId="0" applyNumberFormat="1" applyFont="1" applyFill="1" applyBorder="1" applyAlignment="1" applyProtection="1">
      <alignment horizontal="center" vertical="center"/>
    </xf>
    <xf numFmtId="1" fontId="70" fillId="0" borderId="53"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vertical="center"/>
    </xf>
    <xf numFmtId="10" fontId="70" fillId="0" borderId="48" xfId="67" applyNumberFormat="1" applyFont="1" applyFill="1" applyBorder="1" applyAlignment="1">
      <alignment vertical="center"/>
    </xf>
    <xf numFmtId="10" fontId="70" fillId="0" borderId="48" xfId="0" applyNumberFormat="1" applyFont="1" applyFill="1" applyBorder="1" applyAlignment="1" applyProtection="1">
      <alignment vertical="center"/>
    </xf>
    <xf numFmtId="0" fontId="70" fillId="0" borderId="40" xfId="0" applyNumberFormat="1" applyFont="1" applyFill="1" applyBorder="1" applyAlignment="1" applyProtection="1">
      <alignment vertical="center"/>
    </xf>
    <xf numFmtId="3" fontId="70" fillId="0" borderId="23" xfId="67" applyNumberFormat="1" applyFont="1" applyFill="1" applyBorder="1" applyAlignment="1">
      <alignment vertical="center"/>
    </xf>
    <xf numFmtId="0" fontId="70" fillId="0" borderId="55" xfId="0" applyNumberFormat="1" applyFont="1" applyFill="1" applyBorder="1" applyAlignment="1" applyProtection="1">
      <alignment vertical="center"/>
    </xf>
    <xf numFmtId="0" fontId="70" fillId="0" borderId="56" xfId="0" applyNumberFormat="1" applyFont="1" applyFill="1" applyBorder="1" applyAlignment="1" applyProtection="1">
      <alignment vertical="center"/>
    </xf>
    <xf numFmtId="0" fontId="69" fillId="0" borderId="39" xfId="0" applyNumberFormat="1" applyFont="1" applyFill="1" applyBorder="1" applyAlignment="1" applyProtection="1">
      <alignment vertical="center"/>
    </xf>
    <xf numFmtId="3" fontId="70" fillId="0" borderId="48" xfId="0" applyNumberFormat="1" applyFont="1" applyFill="1" applyBorder="1" applyAlignment="1" applyProtection="1">
      <alignment vertical="center"/>
    </xf>
    <xf numFmtId="3" fontId="70" fillId="0" borderId="57" xfId="0" applyNumberFormat="1" applyFont="1" applyFill="1" applyBorder="1" applyAlignment="1" applyProtection="1">
      <alignment vertical="center"/>
    </xf>
    <xf numFmtId="3" fontId="70" fillId="0" borderId="23" xfId="0" applyNumberFormat="1" applyFont="1" applyFill="1" applyBorder="1" applyAlignment="1" applyProtection="1">
      <alignment vertical="center"/>
    </xf>
    <xf numFmtId="3" fontId="70" fillId="0" borderId="58" xfId="0" applyNumberFormat="1" applyFont="1" applyFill="1" applyBorder="1" applyAlignment="1" applyProtection="1">
      <alignment vertical="center"/>
    </xf>
    <xf numFmtId="3" fontId="83" fillId="0" borderId="0" xfId="0" applyNumberFormat="1" applyFont="1" applyFill="1" applyBorder="1" applyAlignment="1" applyProtection="1">
      <alignment horizontal="center" vertical="center"/>
    </xf>
    <xf numFmtId="3" fontId="83" fillId="0" borderId="56"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vertical="center"/>
    </xf>
    <xf numFmtId="0" fontId="70" fillId="0" borderId="54" xfId="0" applyNumberFormat="1" applyFont="1" applyFill="1" applyBorder="1" applyAlignment="1" applyProtection="1">
      <alignment horizontal="left" vertical="center"/>
    </xf>
    <xf numFmtId="165" fontId="70" fillId="0" borderId="48" xfId="0" applyNumberFormat="1" applyFont="1" applyFill="1" applyBorder="1" applyAlignment="1" applyProtection="1">
      <alignment vertical="center"/>
    </xf>
    <xf numFmtId="0" fontId="69" fillId="0" borderId="54" xfId="0" applyNumberFormat="1" applyFont="1" applyFill="1" applyBorder="1" applyAlignment="1" applyProtection="1">
      <alignment horizontal="left" vertical="center"/>
    </xf>
    <xf numFmtId="175" fontId="79" fillId="0" borderId="48" xfId="0" applyNumberFormat="1" applyFont="1" applyFill="1" applyBorder="1" applyAlignment="1" applyProtection="1">
      <alignment horizontal="center" vertical="center"/>
    </xf>
    <xf numFmtId="175" fontId="41" fillId="0" borderId="48" xfId="0" applyNumberFormat="1" applyFont="1" applyFill="1" applyBorder="1" applyAlignment="1" applyProtection="1">
      <alignment horizontal="center"/>
    </xf>
    <xf numFmtId="175" fontId="70" fillId="0" borderId="48" xfId="0" applyNumberFormat="1" applyFont="1" applyFill="1" applyBorder="1" applyAlignment="1" applyProtection="1">
      <alignment vertical="center"/>
    </xf>
    <xf numFmtId="0" fontId="69" fillId="0" borderId="40" xfId="0" applyNumberFormat="1" applyFont="1" applyFill="1" applyBorder="1" applyAlignment="1" applyProtection="1">
      <alignment horizontal="left" vertical="center"/>
    </xf>
    <xf numFmtId="175" fontId="79" fillId="0" borderId="23" xfId="0" applyNumberFormat="1" applyFont="1" applyFill="1" applyBorder="1" applyAlignment="1" applyProtection="1">
      <alignment horizontal="center" vertical="center"/>
    </xf>
    <xf numFmtId="168" fontId="83" fillId="0" borderId="0" xfId="0" applyNumberFormat="1" applyFont="1" applyFill="1" applyBorder="1" applyAlignment="1" applyProtection="1">
      <alignment horizontal="center" vertical="center"/>
    </xf>
    <xf numFmtId="0" fontId="69" fillId="0" borderId="54" xfId="0" applyNumberFormat="1" applyFont="1" applyFill="1" applyBorder="1" applyAlignment="1" applyProtection="1">
      <alignment vertical="center"/>
    </xf>
    <xf numFmtId="3" fontId="41" fillId="0" borderId="48" xfId="67" applyNumberFormat="1" applyFont="1" applyFill="1" applyBorder="1" applyAlignment="1">
      <alignment vertical="center"/>
    </xf>
    <xf numFmtId="0" fontId="70" fillId="0" borderId="54" xfId="0" applyNumberFormat="1" applyFont="1" applyFill="1" applyBorder="1" applyAlignment="1" applyProtection="1">
      <alignment horizontal="left" vertical="center" wrapText="1"/>
    </xf>
    <xf numFmtId="176" fontId="41" fillId="0" borderId="48" xfId="0" applyNumberFormat="1" applyFont="1" applyFill="1" applyBorder="1" applyAlignment="1" applyProtection="1">
      <alignment horizontal="center"/>
    </xf>
    <xf numFmtId="170" fontId="79" fillId="0" borderId="48" xfId="0" applyNumberFormat="1" applyFont="1" applyFill="1" applyBorder="1" applyAlignment="1" applyProtection="1">
      <alignment horizontal="center" vertical="center"/>
    </xf>
    <xf numFmtId="164" fontId="79" fillId="0" borderId="48" xfId="0" applyNumberFormat="1" applyFont="1" applyFill="1" applyBorder="1" applyAlignment="1" applyProtection="1">
      <alignment horizontal="center" vertical="center"/>
    </xf>
    <xf numFmtId="0" fontId="69" fillId="0" borderId="40" xfId="0" applyNumberFormat="1" applyFont="1" applyFill="1" applyBorder="1" applyAlignment="1" applyProtection="1">
      <alignment vertical="center"/>
    </xf>
    <xf numFmtId="164" fontId="79" fillId="0" borderId="23" xfId="0" applyNumberFormat="1" applyFont="1" applyFill="1" applyBorder="1" applyAlignment="1" applyProtection="1">
      <alignment horizontal="center" vertical="center"/>
    </xf>
    <xf numFmtId="0" fontId="70" fillId="0" borderId="59" xfId="0" applyNumberFormat="1" applyFont="1" applyFill="1" applyBorder="1" applyAlignment="1" applyProtection="1">
      <alignment vertical="center"/>
    </xf>
    <xf numFmtId="171" fontId="70" fillId="0" borderId="0" xfId="0" applyNumberFormat="1" applyFont="1" applyFill="1" applyBorder="1" applyAlignment="1" applyProtection="1">
      <alignment vertical="center"/>
    </xf>
    <xf numFmtId="0" fontId="70" fillId="27" borderId="0" xfId="0" applyNumberFormat="1" applyFont="1" applyFill="1" applyBorder="1" applyAlignment="1" applyProtection="1">
      <alignment vertical="center"/>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1" fillId="0" borderId="0" xfId="2" applyFont="1" applyFill="1" applyAlignment="1">
      <alignment horizontal="right" vertical="center"/>
    </xf>
    <xf numFmtId="0" fontId="11" fillId="0" borderId="0" xfId="2" applyFont="1" applyFill="1" applyAlignment="1">
      <alignment horizontal="right"/>
    </xf>
    <xf numFmtId="0" fontId="44" fillId="0" borderId="0" xfId="1" applyFont="1" applyFill="1" applyAlignment="1">
      <alignment vertical="center"/>
    </xf>
    <xf numFmtId="0" fontId="53" fillId="0" borderId="0" xfId="2" applyFont="1" applyFill="1" applyAlignment="1">
      <alignment vertical="center"/>
    </xf>
    <xf numFmtId="0" fontId="38" fillId="0" borderId="0" xfId="52" applyFont="1" applyFill="1" applyAlignment="1"/>
    <xf numFmtId="0" fontId="38" fillId="0" borderId="0" xfId="2" applyFont="1" applyFill="1"/>
    <xf numFmtId="0" fontId="10" fillId="0" borderId="1" xfId="45" applyFont="1" applyFill="1" applyBorder="1" applyAlignment="1">
      <alignment horizontal="left" vertical="center" wrapText="1"/>
    </xf>
    <xf numFmtId="0" fontId="38"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165" fontId="70" fillId="0" borderId="48" xfId="0" applyNumberFormat="1" applyFont="1" applyBorder="1" applyAlignment="1">
      <alignment vertical="center"/>
    </xf>
    <xf numFmtId="175" fontId="70" fillId="0" borderId="48" xfId="0" applyNumberFormat="1" applyFont="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11" fillId="0" borderId="0" xfId="1" applyFont="1" applyFill="1" applyBorder="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8" fillId="0" borderId="6" xfId="62" applyFont="1" applyFill="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6"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0" fillId="0" borderId="45" xfId="0" applyNumberFormat="1" applyFont="1" applyFill="1" applyBorder="1" applyAlignment="1" applyProtection="1">
      <alignment horizontal="center" vertical="center"/>
    </xf>
    <xf numFmtId="0" fontId="70" fillId="0" borderId="46" xfId="0" applyNumberFormat="1" applyFont="1" applyFill="1" applyBorder="1" applyAlignment="1" applyProtection="1">
      <alignment horizontal="center" vertical="center"/>
    </xf>
    <xf numFmtId="0" fontId="70" fillId="0" borderId="47" xfId="0" applyNumberFormat="1" applyFont="1" applyFill="1" applyBorder="1" applyAlignment="1" applyProtection="1">
      <alignment horizontal="center" vertical="center"/>
    </xf>
    <xf numFmtId="0" fontId="70" fillId="0" borderId="0" xfId="0" applyNumberFormat="1" applyFont="1" applyFill="1" applyBorder="1" applyAlignment="1" applyProtection="1">
      <alignment horizontal="left" vertical="center" wrapText="1"/>
    </xf>
    <xf numFmtId="0" fontId="80" fillId="0" borderId="0" xfId="0" applyNumberFormat="1" applyFont="1" applyFill="1" applyBorder="1" applyAlignment="1" applyProtection="1">
      <alignment horizontal="center" vertical="center" wrapText="1"/>
    </xf>
    <xf numFmtId="0" fontId="70" fillId="0" borderId="0" xfId="0" applyNumberFormat="1" applyFont="1" applyFill="1" applyBorder="1" applyAlignment="1" applyProtection="1">
      <alignment horizontal="center" vertical="center"/>
    </xf>
    <xf numFmtId="0" fontId="81" fillId="0" borderId="0" xfId="0" applyNumberFormat="1" applyFont="1" applyFill="1" applyBorder="1" applyAlignment="1" applyProtection="1">
      <alignment horizontal="center" vertical="center"/>
    </xf>
    <xf numFmtId="0" fontId="41" fillId="0" borderId="0" xfId="0" applyNumberFormat="1" applyFont="1" applyFill="1" applyBorder="1" applyAlignment="1" applyProtection="1">
      <alignment horizontal="center" vertical="center"/>
    </xf>
    <xf numFmtId="0" fontId="79" fillId="0" borderId="0" xfId="0" applyNumberFormat="1" applyFont="1" applyFill="1" applyBorder="1" applyAlignment="1" applyProtection="1">
      <alignment horizontal="center" vertical="center"/>
    </xf>
    <xf numFmtId="0" fontId="80" fillId="0" borderId="0" xfId="0" applyNumberFormat="1" applyFont="1" applyFill="1" applyBorder="1" applyAlignment="1" applyProtection="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0" borderId="1" xfId="2" applyFont="1" applyFill="1" applyBorder="1" applyAlignment="1">
      <alignment horizontal="center" vertical="center" wrapText="1"/>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1" applyFont="1" applyFill="1" applyAlignment="1">
      <alignment horizontal="center" vertical="center"/>
    </xf>
    <xf numFmtId="0" fontId="44" fillId="0" borderId="0" xfId="1" applyFont="1" applyFill="1" applyAlignment="1">
      <alignment horizontal="center" vertical="center"/>
    </xf>
    <xf numFmtId="0" fontId="52" fillId="0" borderId="0" xfId="1" applyFont="1" applyFill="1" applyAlignment="1">
      <alignment horizontal="center" vertical="center"/>
    </xf>
    <xf numFmtId="0" fontId="52" fillId="0" borderId="0" xfId="1" applyFont="1" applyFill="1" applyAlignment="1">
      <alignment horizontal="center" vertical="center" wrapText="1"/>
    </xf>
    <xf numFmtId="0" fontId="38" fillId="0" borderId="1" xfId="2" applyFont="1" applyFill="1" applyBorder="1" applyAlignment="1">
      <alignment horizontal="center" vertical="center"/>
    </xf>
    <xf numFmtId="0" fontId="38" fillId="0" borderId="3" xfId="52"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44" fillId="0" borderId="0" xfId="2" applyFont="1" applyFill="1" applyAlignment="1">
      <alignment horizontal="center"/>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6" xfId="2" applyFont="1" applyFill="1" applyBorder="1" applyAlignment="1">
      <alignment horizontal="left" vertical="top" wrapText="1"/>
    </xf>
    <xf numFmtId="0" fontId="36" fillId="0" borderId="29" xfId="2" applyFont="1" applyFill="1" applyBorder="1" applyAlignment="1">
      <alignment horizontal="left" vertical="top" wrapText="1"/>
    </xf>
    <xf numFmtId="0" fontId="36" fillId="0" borderId="27" xfId="2" applyFont="1" applyFill="1" applyBorder="1" applyAlignment="1">
      <alignment horizontal="left" vertical="top" wrapText="1"/>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6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8_&#1082;&#1072;&#1088;&#1090;&#1099;_&#1058;&#1055;-4.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51" t="s">
        <v>633</v>
      </c>
      <c r="B5" s="351"/>
      <c r="C5" s="351"/>
      <c r="D5" s="107"/>
      <c r="E5" s="107"/>
      <c r="F5" s="107"/>
      <c r="G5" s="107"/>
      <c r="H5" s="107"/>
      <c r="I5" s="107"/>
      <c r="J5" s="107"/>
    </row>
    <row r="6" spans="1:22" s="11" customFormat="1" ht="18.75" x14ac:dyDescent="0.3">
      <c r="A6" s="16"/>
      <c r="F6" s="15"/>
      <c r="G6" s="15"/>
      <c r="H6" s="14"/>
    </row>
    <row r="7" spans="1:22" s="11" customFormat="1" ht="18.75" x14ac:dyDescent="0.2">
      <c r="A7" s="355" t="s">
        <v>7</v>
      </c>
      <c r="B7" s="355"/>
      <c r="C7" s="35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57" t="s">
        <v>551</v>
      </c>
      <c r="B9" s="357"/>
      <c r="C9" s="357"/>
      <c r="D9" s="7"/>
      <c r="E9" s="7"/>
      <c r="F9" s="7"/>
      <c r="G9" s="7"/>
      <c r="H9" s="7"/>
      <c r="I9" s="12"/>
      <c r="J9" s="12"/>
      <c r="K9" s="12"/>
      <c r="L9" s="12"/>
      <c r="M9" s="12"/>
      <c r="N9" s="12"/>
      <c r="O9" s="12"/>
      <c r="P9" s="12"/>
      <c r="Q9" s="12"/>
      <c r="R9" s="12"/>
      <c r="S9" s="12"/>
      <c r="T9" s="12"/>
      <c r="U9" s="12"/>
      <c r="V9" s="12"/>
    </row>
    <row r="10" spans="1:22" s="11" customFormat="1" ht="18.75" x14ac:dyDescent="0.2">
      <c r="A10" s="352" t="s">
        <v>6</v>
      </c>
      <c r="B10" s="352"/>
      <c r="C10" s="35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56" t="s">
        <v>610</v>
      </c>
      <c r="B12" s="356"/>
      <c r="C12" s="356"/>
      <c r="D12" s="7"/>
      <c r="E12" s="7"/>
      <c r="F12" s="7"/>
      <c r="G12" s="7"/>
      <c r="H12" s="7"/>
      <c r="I12" s="12"/>
      <c r="J12" s="12"/>
      <c r="K12" s="12"/>
      <c r="L12" s="12"/>
      <c r="M12" s="12"/>
      <c r="N12" s="12"/>
      <c r="O12" s="12"/>
      <c r="P12" s="12"/>
      <c r="Q12" s="12"/>
      <c r="R12" s="12"/>
      <c r="S12" s="12"/>
      <c r="T12" s="12"/>
      <c r="U12" s="12"/>
      <c r="V12" s="12"/>
    </row>
    <row r="13" spans="1:22" s="11" customFormat="1" ht="18.75" x14ac:dyDescent="0.2">
      <c r="A13" s="352" t="s">
        <v>5</v>
      </c>
      <c r="B13" s="352"/>
      <c r="C13" s="35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15.75" customHeight="1" x14ac:dyDescent="0.2">
      <c r="A15" s="353" t="s">
        <v>611</v>
      </c>
      <c r="B15" s="353"/>
      <c r="C15" s="353"/>
      <c r="D15" s="7"/>
      <c r="E15" s="7"/>
      <c r="F15" s="7"/>
      <c r="G15" s="7"/>
      <c r="H15" s="7"/>
      <c r="I15" s="7"/>
      <c r="J15" s="7"/>
      <c r="K15" s="7"/>
      <c r="L15" s="7"/>
      <c r="M15" s="7"/>
      <c r="N15" s="7"/>
      <c r="O15" s="7"/>
      <c r="P15" s="7"/>
      <c r="Q15" s="7"/>
      <c r="R15" s="7"/>
      <c r="S15" s="7"/>
      <c r="T15" s="7"/>
      <c r="U15" s="7"/>
      <c r="V15" s="7"/>
    </row>
    <row r="16" spans="1:22" s="3" customFormat="1" ht="15" customHeight="1" x14ac:dyDescent="0.2">
      <c r="A16" s="352" t="s">
        <v>4</v>
      </c>
      <c r="B16" s="352"/>
      <c r="C16" s="35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3" t="s">
        <v>408</v>
      </c>
      <c r="B18" s="354"/>
      <c r="C18" s="35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238" t="s">
        <v>574</v>
      </c>
      <c r="D22" s="23"/>
      <c r="E22" s="23"/>
      <c r="F22" s="23"/>
      <c r="G22" s="23"/>
      <c r="H22" s="23"/>
      <c r="I22" s="22"/>
      <c r="J22" s="22"/>
      <c r="K22" s="22"/>
      <c r="L22" s="22"/>
      <c r="M22" s="22"/>
      <c r="N22" s="22"/>
      <c r="O22" s="22"/>
      <c r="P22" s="22"/>
      <c r="Q22" s="22"/>
      <c r="R22" s="22"/>
      <c r="S22" s="22"/>
      <c r="T22" s="21"/>
      <c r="U22" s="21"/>
      <c r="V22" s="21"/>
    </row>
    <row r="23" spans="1:22" s="3" customFormat="1" ht="47.25" x14ac:dyDescent="0.2">
      <c r="A23" s="19" t="s">
        <v>61</v>
      </c>
      <c r="B23" s="26" t="s">
        <v>534</v>
      </c>
      <c r="C23" s="238" t="s">
        <v>575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48"/>
      <c r="B24" s="349"/>
      <c r="C24" s="350"/>
      <c r="D24" s="23"/>
      <c r="E24" s="23"/>
      <c r="F24" s="23"/>
      <c r="G24" s="23"/>
      <c r="H24" s="23"/>
      <c r="I24" s="22"/>
      <c r="J24" s="22"/>
      <c r="K24" s="22"/>
      <c r="L24" s="22"/>
      <c r="M24" s="22"/>
      <c r="N24" s="22"/>
      <c r="O24" s="22"/>
      <c r="P24" s="22"/>
      <c r="Q24" s="22"/>
      <c r="R24" s="22"/>
      <c r="S24" s="22"/>
      <c r="T24" s="21"/>
      <c r="U24" s="21"/>
      <c r="V24" s="21"/>
    </row>
    <row r="25" spans="1:22" s="128" customFormat="1" ht="58.5" customHeight="1" x14ac:dyDescent="0.2">
      <c r="A25" s="19" t="s">
        <v>60</v>
      </c>
      <c r="B25" s="105" t="s">
        <v>357</v>
      </c>
      <c r="C25" s="25" t="s">
        <v>562</v>
      </c>
      <c r="D25" s="126"/>
      <c r="E25" s="126"/>
      <c r="F25" s="126"/>
      <c r="G25" s="126"/>
      <c r="H25" s="125"/>
      <c r="I25" s="125"/>
      <c r="J25" s="125"/>
      <c r="K25" s="125"/>
      <c r="L25" s="125"/>
      <c r="M25" s="125"/>
      <c r="N25" s="125"/>
      <c r="O25" s="125"/>
      <c r="P25" s="125"/>
      <c r="Q25" s="125"/>
      <c r="R25" s="125"/>
      <c r="S25" s="127"/>
      <c r="T25" s="127"/>
      <c r="U25" s="127"/>
      <c r="V25" s="127"/>
    </row>
    <row r="26" spans="1:22" s="128" customFormat="1" ht="42.75" customHeight="1" x14ac:dyDescent="0.2">
      <c r="A26" s="19" t="s">
        <v>59</v>
      </c>
      <c r="B26" s="105" t="s">
        <v>72</v>
      </c>
      <c r="C26" s="25" t="s">
        <v>563</v>
      </c>
      <c r="D26" s="126"/>
      <c r="E26" s="126"/>
      <c r="F26" s="126"/>
      <c r="G26" s="126"/>
      <c r="H26" s="125"/>
      <c r="I26" s="125"/>
      <c r="J26" s="125"/>
      <c r="K26" s="125"/>
      <c r="L26" s="125"/>
      <c r="M26" s="125"/>
      <c r="N26" s="125"/>
      <c r="O26" s="125"/>
      <c r="P26" s="125"/>
      <c r="Q26" s="125"/>
      <c r="R26" s="125"/>
      <c r="S26" s="127"/>
      <c r="T26" s="127"/>
      <c r="U26" s="127"/>
      <c r="V26" s="127"/>
    </row>
    <row r="27" spans="1:22" s="128" customFormat="1" ht="51.75" customHeight="1" x14ac:dyDescent="0.2">
      <c r="A27" s="19" t="s">
        <v>57</v>
      </c>
      <c r="B27" s="105" t="s">
        <v>71</v>
      </c>
      <c r="C27" s="25" t="s">
        <v>595</v>
      </c>
      <c r="D27" s="126"/>
      <c r="E27" s="126"/>
      <c r="F27" s="126"/>
      <c r="G27" s="126"/>
      <c r="H27" s="125"/>
      <c r="I27" s="125"/>
      <c r="J27" s="125"/>
      <c r="K27" s="125"/>
      <c r="L27" s="125"/>
      <c r="M27" s="125"/>
      <c r="N27" s="125"/>
      <c r="O27" s="125"/>
      <c r="P27" s="125"/>
      <c r="Q27" s="125"/>
      <c r="R27" s="125"/>
      <c r="S27" s="127"/>
      <c r="T27" s="127"/>
      <c r="U27" s="127"/>
      <c r="V27" s="127"/>
    </row>
    <row r="28" spans="1:22" s="128" customFormat="1" ht="42.75" customHeight="1" x14ac:dyDescent="0.2">
      <c r="A28" s="19" t="s">
        <v>56</v>
      </c>
      <c r="B28" s="105" t="s">
        <v>358</v>
      </c>
      <c r="C28" s="25" t="s">
        <v>435</v>
      </c>
      <c r="D28" s="126"/>
      <c r="E28" s="126"/>
      <c r="F28" s="126"/>
      <c r="G28" s="126"/>
      <c r="H28" s="125"/>
      <c r="I28" s="125"/>
      <c r="J28" s="125"/>
      <c r="K28" s="125"/>
      <c r="L28" s="125"/>
      <c r="M28" s="125"/>
      <c r="N28" s="125"/>
      <c r="O28" s="125"/>
      <c r="P28" s="125"/>
      <c r="Q28" s="125"/>
      <c r="R28" s="125"/>
      <c r="S28" s="127"/>
      <c r="T28" s="127"/>
      <c r="U28" s="127"/>
      <c r="V28" s="127"/>
    </row>
    <row r="29" spans="1:22" s="128" customFormat="1" ht="51.75" customHeight="1" x14ac:dyDescent="0.2">
      <c r="A29" s="19" t="s">
        <v>54</v>
      </c>
      <c r="B29" s="105" t="s">
        <v>359</v>
      </c>
      <c r="C29" s="25" t="s">
        <v>435</v>
      </c>
      <c r="D29" s="126"/>
      <c r="E29" s="126"/>
      <c r="F29" s="126"/>
      <c r="G29" s="126"/>
      <c r="H29" s="125"/>
      <c r="I29" s="125"/>
      <c r="J29" s="125"/>
      <c r="K29" s="125"/>
      <c r="L29" s="125"/>
      <c r="M29" s="125"/>
      <c r="N29" s="125"/>
      <c r="O29" s="125"/>
      <c r="P29" s="125"/>
      <c r="Q29" s="125"/>
      <c r="R29" s="125"/>
      <c r="S29" s="127"/>
      <c r="T29" s="127"/>
      <c r="U29" s="127"/>
      <c r="V29" s="127"/>
    </row>
    <row r="30" spans="1:22" s="128" customFormat="1" ht="51.75" customHeight="1" x14ac:dyDescent="0.2">
      <c r="A30" s="19" t="s">
        <v>52</v>
      </c>
      <c r="B30" s="105" t="s">
        <v>360</v>
      </c>
      <c r="C30" s="25" t="s">
        <v>435</v>
      </c>
      <c r="D30" s="126"/>
      <c r="E30" s="126"/>
      <c r="F30" s="126"/>
      <c r="G30" s="126"/>
      <c r="H30" s="125"/>
      <c r="I30" s="125"/>
      <c r="J30" s="125"/>
      <c r="K30" s="125"/>
      <c r="L30" s="125"/>
      <c r="M30" s="125"/>
      <c r="N30" s="125"/>
      <c r="O30" s="125"/>
      <c r="P30" s="125"/>
      <c r="Q30" s="125"/>
      <c r="R30" s="125"/>
      <c r="S30" s="127"/>
      <c r="T30" s="127"/>
      <c r="U30" s="127"/>
      <c r="V30" s="127"/>
    </row>
    <row r="31" spans="1:22" s="128" customFormat="1" ht="51.75" customHeight="1" x14ac:dyDescent="0.2">
      <c r="A31" s="19" t="s">
        <v>70</v>
      </c>
      <c r="B31" s="105" t="s">
        <v>361</v>
      </c>
      <c r="C31" s="25" t="s">
        <v>564</v>
      </c>
      <c r="D31" s="126"/>
      <c r="E31" s="126"/>
      <c r="F31" s="126"/>
      <c r="G31" s="126"/>
      <c r="H31" s="125"/>
      <c r="I31" s="125"/>
      <c r="J31" s="125"/>
      <c r="K31" s="125"/>
      <c r="L31" s="125"/>
      <c r="M31" s="125"/>
      <c r="N31" s="125"/>
      <c r="O31" s="125"/>
      <c r="P31" s="125"/>
      <c r="Q31" s="125"/>
      <c r="R31" s="125"/>
      <c r="S31" s="127"/>
      <c r="T31" s="127"/>
      <c r="U31" s="127"/>
      <c r="V31" s="127"/>
    </row>
    <row r="32" spans="1:22" s="128" customFormat="1" ht="51.75" customHeight="1" x14ac:dyDescent="0.2">
      <c r="A32" s="19" t="s">
        <v>68</v>
      </c>
      <c r="B32" s="105" t="s">
        <v>362</v>
      </c>
      <c r="C32" s="25" t="s">
        <v>565</v>
      </c>
      <c r="D32" s="126"/>
      <c r="E32" s="126"/>
      <c r="F32" s="126"/>
      <c r="G32" s="126"/>
      <c r="H32" s="125"/>
      <c r="I32" s="125"/>
      <c r="J32" s="125"/>
      <c r="K32" s="125"/>
      <c r="L32" s="125"/>
      <c r="M32" s="125"/>
      <c r="N32" s="125"/>
      <c r="O32" s="125"/>
      <c r="P32" s="125"/>
      <c r="Q32" s="125"/>
      <c r="R32" s="125"/>
      <c r="S32" s="127"/>
      <c r="T32" s="127"/>
      <c r="U32" s="127"/>
      <c r="V32" s="127"/>
    </row>
    <row r="33" spans="1:22" s="128" customFormat="1" ht="101.25" customHeight="1" x14ac:dyDescent="0.2">
      <c r="A33" s="19" t="s">
        <v>67</v>
      </c>
      <c r="B33" s="105" t="s">
        <v>363</v>
      </c>
      <c r="C33" s="105" t="s">
        <v>566</v>
      </c>
      <c r="D33" s="126"/>
      <c r="E33" s="126"/>
      <c r="F33" s="126"/>
      <c r="G33" s="126"/>
      <c r="H33" s="125"/>
      <c r="I33" s="125"/>
      <c r="J33" s="125"/>
      <c r="K33" s="125"/>
      <c r="L33" s="125"/>
      <c r="M33" s="125"/>
      <c r="N33" s="125"/>
      <c r="O33" s="125"/>
      <c r="P33" s="125"/>
      <c r="Q33" s="125"/>
      <c r="R33" s="125"/>
      <c r="S33" s="127"/>
      <c r="T33" s="127"/>
      <c r="U33" s="127"/>
      <c r="V33" s="127"/>
    </row>
    <row r="34" spans="1:22" ht="111" customHeight="1" x14ac:dyDescent="0.25">
      <c r="A34" s="19" t="s">
        <v>377</v>
      </c>
      <c r="B34" s="30" t="s">
        <v>364</v>
      </c>
      <c r="C34" s="20" t="s">
        <v>542</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567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548</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567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48"/>
      <c r="B39" s="349"/>
      <c r="C39" s="350"/>
      <c r="D39" s="18"/>
      <c r="E39" s="18"/>
      <c r="F39" s="18"/>
      <c r="G39" s="18"/>
      <c r="H39" s="18"/>
      <c r="I39" s="18"/>
      <c r="J39" s="18"/>
      <c r="K39" s="18"/>
      <c r="L39" s="18"/>
      <c r="M39" s="18"/>
      <c r="N39" s="18"/>
      <c r="O39" s="18"/>
      <c r="P39" s="18"/>
      <c r="Q39" s="18"/>
      <c r="R39" s="18"/>
      <c r="S39" s="18"/>
      <c r="T39" s="18"/>
      <c r="U39" s="18"/>
      <c r="V39" s="18"/>
    </row>
    <row r="40" spans="1:22" ht="63" x14ac:dyDescent="0.25">
      <c r="A40" s="19" t="s">
        <v>369</v>
      </c>
      <c r="B40" s="30" t="s">
        <v>420</v>
      </c>
      <c r="C40" s="20" t="s">
        <v>612</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8" t="s">
        <v>542</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417</v>
      </c>
      <c r="C42" s="30" t="s">
        <v>542</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546</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548</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6" t="s">
        <v>542</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116" t="s">
        <v>437</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48"/>
      <c r="B47" s="349"/>
      <c r="C47" s="350"/>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08"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419</v>
      </c>
      <c r="C49" s="208"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08" t="str">
        <f>CONCATENATE(ROUND('6.2. Паспорт фин осв ввод'!AF24,2)," млн.руб.")</f>
        <v>7,92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419</v>
      </c>
      <c r="C51" s="208" t="str">
        <f>CONCATENATE(ROUND('6.2. Паспорт фин осв ввод'!AF30,2)," млн.руб.")</f>
        <v>6,6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21" t="str">
        <f>'1. паспорт местоположение'!A5:C5</f>
        <v>Год раскрытия информации: 2021 год</v>
      </c>
      <c r="B4" s="421"/>
      <c r="C4" s="421"/>
      <c r="D4" s="421"/>
      <c r="E4" s="421"/>
      <c r="F4" s="421"/>
      <c r="G4" s="421"/>
      <c r="H4" s="421"/>
      <c r="I4" s="421"/>
      <c r="J4" s="421"/>
      <c r="K4" s="421"/>
      <c r="L4" s="421"/>
      <c r="M4" s="421"/>
      <c r="N4" s="421"/>
      <c r="O4" s="421"/>
      <c r="P4" s="421"/>
      <c r="Q4" s="421"/>
      <c r="R4" s="421"/>
      <c r="S4" s="421"/>
      <c r="T4" s="421"/>
      <c r="U4" s="421"/>
      <c r="V4" s="421"/>
      <c r="W4" s="421"/>
      <c r="X4" s="421"/>
      <c r="Y4" s="421"/>
      <c r="Z4" s="421"/>
      <c r="AA4" s="421"/>
      <c r="AB4" s="421"/>
      <c r="AC4" s="421"/>
    </row>
    <row r="5" spans="1:29" ht="18.75" x14ac:dyDescent="0.3">
      <c r="A5" s="44"/>
      <c r="B5" s="44"/>
      <c r="C5" s="44"/>
      <c r="D5" s="44"/>
      <c r="E5" s="44"/>
      <c r="F5" s="44"/>
      <c r="L5" s="44"/>
      <c r="M5" s="44"/>
      <c r="T5" s="44"/>
      <c r="U5" s="44"/>
      <c r="AC5" s="14"/>
    </row>
    <row r="6" spans="1:29" ht="18.75" x14ac:dyDescent="0.25">
      <c r="A6" s="355" t="s">
        <v>7</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22" t="str">
        <f>'1. паспорт местоположение'!A9:C9</f>
        <v xml:space="preserve">Акционерное общество "Западная энергетическая компания" </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row>
    <row r="9" spans="1:29" ht="18.75" customHeight="1" x14ac:dyDescent="0.25">
      <c r="A9" s="352" t="s">
        <v>6</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22" t="str">
        <f>'1. паспорт местоположение'!A12:C12</f>
        <v>J_19-08</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row>
    <row r="12" spans="1:29" x14ac:dyDescent="0.25">
      <c r="A12" s="352" t="s">
        <v>5</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23" t="str">
        <f>'1. паспорт местоположение'!A15:C15</f>
        <v>Реконструкция ТП-4  15/0,4кВ п.Северный, Багратионовского р-на</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row>
    <row r="15" spans="1:29" ht="15.75" customHeight="1" x14ac:dyDescent="0.25">
      <c r="A15" s="352" t="s">
        <v>4</v>
      </c>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row>
    <row r="16" spans="1:29"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29" t="s">
        <v>393</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25" t="s">
        <v>183</v>
      </c>
      <c r="B20" s="425" t="s">
        <v>182</v>
      </c>
      <c r="C20" s="420" t="s">
        <v>181</v>
      </c>
      <c r="D20" s="420"/>
      <c r="E20" s="428" t="s">
        <v>180</v>
      </c>
      <c r="F20" s="428"/>
      <c r="G20" s="425" t="s">
        <v>423</v>
      </c>
      <c r="H20" s="431" t="s">
        <v>424</v>
      </c>
      <c r="I20" s="432"/>
      <c r="J20" s="432"/>
      <c r="K20" s="432"/>
      <c r="L20" s="431" t="s">
        <v>425</v>
      </c>
      <c r="M20" s="432"/>
      <c r="N20" s="432"/>
      <c r="O20" s="432"/>
      <c r="P20" s="431" t="s">
        <v>426</v>
      </c>
      <c r="Q20" s="432"/>
      <c r="R20" s="432"/>
      <c r="S20" s="432"/>
      <c r="T20" s="431" t="s">
        <v>439</v>
      </c>
      <c r="U20" s="432"/>
      <c r="V20" s="432"/>
      <c r="W20" s="432"/>
      <c r="X20" s="431" t="s">
        <v>440</v>
      </c>
      <c r="Y20" s="432"/>
      <c r="Z20" s="432"/>
      <c r="AA20" s="432"/>
      <c r="AB20" s="430" t="s">
        <v>179</v>
      </c>
      <c r="AC20" s="430"/>
      <c r="AD20" s="65"/>
      <c r="AE20" s="65"/>
      <c r="AF20" s="65"/>
    </row>
    <row r="21" spans="1:32" ht="99.75" customHeight="1" x14ac:dyDescent="0.25">
      <c r="A21" s="426"/>
      <c r="B21" s="426"/>
      <c r="C21" s="420"/>
      <c r="D21" s="420"/>
      <c r="E21" s="428"/>
      <c r="F21" s="428"/>
      <c r="G21" s="426"/>
      <c r="H21" s="420" t="s">
        <v>2</v>
      </c>
      <c r="I21" s="420"/>
      <c r="J21" s="420" t="s">
        <v>9</v>
      </c>
      <c r="K21" s="420"/>
      <c r="L21" s="420" t="s">
        <v>2</v>
      </c>
      <c r="M21" s="420"/>
      <c r="N21" s="420" t="s">
        <v>9</v>
      </c>
      <c r="O21" s="420"/>
      <c r="P21" s="420" t="s">
        <v>2</v>
      </c>
      <c r="Q21" s="420"/>
      <c r="R21" s="420" t="s">
        <v>178</v>
      </c>
      <c r="S21" s="420"/>
      <c r="T21" s="420" t="s">
        <v>2</v>
      </c>
      <c r="U21" s="420"/>
      <c r="V21" s="420" t="s">
        <v>178</v>
      </c>
      <c r="W21" s="420"/>
      <c r="X21" s="420" t="s">
        <v>2</v>
      </c>
      <c r="Y21" s="420"/>
      <c r="Z21" s="420" t="s">
        <v>178</v>
      </c>
      <c r="AA21" s="420"/>
      <c r="AB21" s="430"/>
      <c r="AC21" s="430"/>
    </row>
    <row r="22" spans="1:32" ht="89.25" customHeight="1" x14ac:dyDescent="0.25">
      <c r="A22" s="427"/>
      <c r="B22" s="427"/>
      <c r="C22" s="62" t="s">
        <v>2</v>
      </c>
      <c r="D22" s="62" t="s">
        <v>178</v>
      </c>
      <c r="E22" s="64" t="s">
        <v>438</v>
      </c>
      <c r="F22" s="64" t="s">
        <v>483</v>
      </c>
      <c r="G22" s="427"/>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2" t="s">
        <v>9</v>
      </c>
    </row>
    <row r="23" spans="1:32" ht="19.5" customHeight="1" x14ac:dyDescent="0.25">
      <c r="A23" s="55">
        <v>1</v>
      </c>
      <c r="B23" s="55">
        <v>2</v>
      </c>
      <c r="C23" s="55">
        <v>3</v>
      </c>
      <c r="D23" s="55">
        <v>4</v>
      </c>
      <c r="E23" s="55">
        <v>5</v>
      </c>
      <c r="F23" s="55">
        <v>6</v>
      </c>
      <c r="G23" s="104">
        <v>7</v>
      </c>
      <c r="H23" s="104">
        <v>8</v>
      </c>
      <c r="I23" s="104">
        <v>9</v>
      </c>
      <c r="J23" s="104">
        <v>10</v>
      </c>
      <c r="K23" s="104">
        <v>11</v>
      </c>
      <c r="L23" s="124">
        <v>12</v>
      </c>
      <c r="M23" s="124">
        <v>13</v>
      </c>
      <c r="N23" s="124">
        <v>14</v>
      </c>
      <c r="O23" s="124">
        <v>15</v>
      </c>
      <c r="P23" s="124">
        <v>16</v>
      </c>
      <c r="Q23" s="124">
        <v>17</v>
      </c>
      <c r="R23" s="124">
        <v>18</v>
      </c>
      <c r="S23" s="124">
        <v>19</v>
      </c>
      <c r="T23" s="104">
        <v>12</v>
      </c>
      <c r="U23" s="104">
        <v>13</v>
      </c>
      <c r="V23" s="104">
        <v>14</v>
      </c>
      <c r="W23" s="104">
        <v>15</v>
      </c>
      <c r="X23" s="104">
        <v>16</v>
      </c>
      <c r="Y23" s="104">
        <v>17</v>
      </c>
      <c r="Z23" s="104">
        <v>18</v>
      </c>
      <c r="AA23" s="104">
        <v>19</v>
      </c>
      <c r="AB23" s="104">
        <v>20</v>
      </c>
      <c r="AC23" s="121">
        <f t="shared" ref="AC23" si="0">AB23+1</f>
        <v>21</v>
      </c>
    </row>
    <row r="24" spans="1:32" ht="47.25" customHeight="1" x14ac:dyDescent="0.25">
      <c r="A24" s="60">
        <v>1</v>
      </c>
      <c r="B24" s="59" t="s">
        <v>177</v>
      </c>
      <c r="C24" s="117">
        <f>SUM(C25:C29)</f>
        <v>294.53059319620257</v>
      </c>
      <c r="D24" s="117">
        <v>0</v>
      </c>
      <c r="E24" s="117">
        <f>SUM(E25:E29)</f>
        <v>294.53059319620257</v>
      </c>
      <c r="F24" s="117">
        <f>SUM(F25:F29)</f>
        <v>293.97652119620255</v>
      </c>
      <c r="G24" s="117">
        <f t="shared" ref="G24" si="1">SUM(G25:G29)</f>
        <v>0</v>
      </c>
      <c r="H24" s="117">
        <f t="shared" ref="H24:M24" si="2">SUM(H25:H29)</f>
        <v>0.55407200000000001</v>
      </c>
      <c r="I24" s="117">
        <f t="shared" si="2"/>
        <v>0</v>
      </c>
      <c r="J24" s="117">
        <f t="shared" si="2"/>
        <v>0.55407200000000001</v>
      </c>
      <c r="K24" s="117">
        <f t="shared" si="2"/>
        <v>0</v>
      </c>
      <c r="L24" s="117">
        <f t="shared" si="2"/>
        <v>160.58748429999991</v>
      </c>
      <c r="M24" s="117">
        <f t="shared" si="2"/>
        <v>128.46998823999991</v>
      </c>
      <c r="N24" s="117">
        <f t="shared" ref="N24" si="3">SUM(N25:N29)</f>
        <v>134.10904273</v>
      </c>
      <c r="O24" s="117">
        <f t="shared" ref="O24:AA24" si="4">SUM(O25:O29)</f>
        <v>101.99154667000002</v>
      </c>
      <c r="P24" s="117">
        <f t="shared" si="4"/>
        <v>133.38903689620324</v>
      </c>
      <c r="Q24" s="117">
        <f t="shared" si="4"/>
        <v>0</v>
      </c>
      <c r="R24" s="117">
        <f t="shared" si="4"/>
        <v>0</v>
      </c>
      <c r="S24" s="117">
        <f t="shared" si="4"/>
        <v>0</v>
      </c>
      <c r="T24" s="117">
        <f t="shared" si="4"/>
        <v>0</v>
      </c>
      <c r="U24" s="117">
        <f t="shared" si="4"/>
        <v>0</v>
      </c>
      <c r="V24" s="117">
        <f t="shared" si="4"/>
        <v>0</v>
      </c>
      <c r="W24" s="117">
        <f t="shared" si="4"/>
        <v>0</v>
      </c>
      <c r="X24" s="117">
        <f t="shared" si="4"/>
        <v>0</v>
      </c>
      <c r="Y24" s="117">
        <f t="shared" si="4"/>
        <v>0</v>
      </c>
      <c r="Z24" s="117">
        <f t="shared" si="4"/>
        <v>0</v>
      </c>
      <c r="AA24" s="117">
        <f t="shared" si="4"/>
        <v>0</v>
      </c>
      <c r="AB24" s="123">
        <f t="shared" ref="AB24:AB64" si="5">SUM(H24,L24,P24,T24,X24)</f>
        <v>294.53059319620314</v>
      </c>
      <c r="AC24" s="123">
        <f>J24+N24+R24+V24+Z24</f>
        <v>134.66311472999999</v>
      </c>
    </row>
    <row r="25" spans="1:32" ht="24" customHeight="1" x14ac:dyDescent="0.25">
      <c r="A25" s="57" t="s">
        <v>176</v>
      </c>
      <c r="B25" s="33" t="s">
        <v>175</v>
      </c>
      <c r="C25" s="117">
        <v>0</v>
      </c>
      <c r="D25" s="117">
        <v>0</v>
      </c>
      <c r="E25" s="117">
        <f>C25</f>
        <v>0</v>
      </c>
      <c r="F25" s="117">
        <f>E25-G25-H25</f>
        <v>0</v>
      </c>
      <c r="G25" s="119">
        <v>0</v>
      </c>
      <c r="H25" s="119">
        <v>0</v>
      </c>
      <c r="I25" s="119">
        <v>0</v>
      </c>
      <c r="J25" s="119">
        <v>0</v>
      </c>
      <c r="K25" s="119">
        <v>0</v>
      </c>
      <c r="L25" s="119">
        <f>F25</f>
        <v>0</v>
      </c>
      <c r="M25" s="119">
        <v>0</v>
      </c>
      <c r="N25" s="119">
        <f t="shared" ref="N25:N27" si="6">F25</f>
        <v>0</v>
      </c>
      <c r="O25" s="119">
        <v>0</v>
      </c>
      <c r="P25" s="119">
        <v>0</v>
      </c>
      <c r="Q25" s="119">
        <v>0</v>
      </c>
      <c r="R25" s="119">
        <v>0</v>
      </c>
      <c r="S25" s="119">
        <v>0</v>
      </c>
      <c r="T25" s="119">
        <v>0</v>
      </c>
      <c r="U25" s="119">
        <v>0</v>
      </c>
      <c r="V25" s="119">
        <v>0</v>
      </c>
      <c r="W25" s="119">
        <v>0</v>
      </c>
      <c r="X25" s="119">
        <v>0</v>
      </c>
      <c r="Y25" s="119">
        <v>0</v>
      </c>
      <c r="Z25" s="119">
        <v>0</v>
      </c>
      <c r="AA25" s="119">
        <v>0</v>
      </c>
      <c r="AB25" s="123">
        <f t="shared" si="5"/>
        <v>0</v>
      </c>
      <c r="AC25" s="123">
        <f t="shared" ref="AC25:AC64" si="7">J25+N25+R25+V25+Z25</f>
        <v>0</v>
      </c>
    </row>
    <row r="26" spans="1:32" x14ac:dyDescent="0.25">
      <c r="A26" s="57" t="s">
        <v>174</v>
      </c>
      <c r="B26" s="33" t="s">
        <v>173</v>
      </c>
      <c r="C26" s="117">
        <v>0</v>
      </c>
      <c r="D26" s="117">
        <v>0</v>
      </c>
      <c r="E26" s="117">
        <f>C26</f>
        <v>0</v>
      </c>
      <c r="F26" s="117">
        <f>E26-G26-H26</f>
        <v>0</v>
      </c>
      <c r="G26" s="119">
        <v>0</v>
      </c>
      <c r="H26" s="119">
        <v>0</v>
      </c>
      <c r="I26" s="119">
        <v>0</v>
      </c>
      <c r="J26" s="119">
        <v>0</v>
      </c>
      <c r="K26" s="119">
        <v>0</v>
      </c>
      <c r="L26" s="119">
        <f>F26</f>
        <v>0</v>
      </c>
      <c r="M26" s="119">
        <v>0</v>
      </c>
      <c r="N26" s="119">
        <f t="shared" si="6"/>
        <v>0</v>
      </c>
      <c r="O26" s="119">
        <v>0</v>
      </c>
      <c r="P26" s="119">
        <v>0</v>
      </c>
      <c r="Q26" s="119">
        <v>0</v>
      </c>
      <c r="R26" s="119">
        <v>0</v>
      </c>
      <c r="S26" s="119">
        <v>0</v>
      </c>
      <c r="T26" s="119">
        <v>0</v>
      </c>
      <c r="U26" s="119">
        <v>0</v>
      </c>
      <c r="V26" s="119">
        <v>0</v>
      </c>
      <c r="W26" s="119">
        <v>0</v>
      </c>
      <c r="X26" s="119">
        <v>0</v>
      </c>
      <c r="Y26" s="119">
        <v>0</v>
      </c>
      <c r="Z26" s="119">
        <v>0</v>
      </c>
      <c r="AA26" s="119">
        <v>0</v>
      </c>
      <c r="AB26" s="123">
        <f t="shared" si="5"/>
        <v>0</v>
      </c>
      <c r="AC26" s="123">
        <f t="shared" si="7"/>
        <v>0</v>
      </c>
    </row>
    <row r="27" spans="1:32" ht="31.5" x14ac:dyDescent="0.25">
      <c r="A27" s="57" t="s">
        <v>172</v>
      </c>
      <c r="B27" s="33" t="s">
        <v>356</v>
      </c>
      <c r="C27" s="117">
        <v>0</v>
      </c>
      <c r="D27" s="117">
        <v>0</v>
      </c>
      <c r="E27" s="117">
        <f>C27</f>
        <v>0</v>
      </c>
      <c r="F27" s="117">
        <f>E27-G27-H27</f>
        <v>0</v>
      </c>
      <c r="G27" s="119">
        <v>0</v>
      </c>
      <c r="H27" s="119">
        <v>0</v>
      </c>
      <c r="I27" s="119">
        <v>0</v>
      </c>
      <c r="J27" s="119">
        <v>0</v>
      </c>
      <c r="K27" s="119">
        <v>0</v>
      </c>
      <c r="L27" s="119">
        <f>F27</f>
        <v>0</v>
      </c>
      <c r="M27" s="119">
        <v>0</v>
      </c>
      <c r="N27" s="119">
        <f t="shared" si="6"/>
        <v>0</v>
      </c>
      <c r="O27" s="119">
        <v>0</v>
      </c>
      <c r="P27" s="119">
        <v>0</v>
      </c>
      <c r="Q27" s="119">
        <v>0</v>
      </c>
      <c r="R27" s="119">
        <v>0</v>
      </c>
      <c r="S27" s="119">
        <v>0</v>
      </c>
      <c r="T27" s="119">
        <v>0</v>
      </c>
      <c r="U27" s="119">
        <v>0</v>
      </c>
      <c r="V27" s="119">
        <v>0</v>
      </c>
      <c r="W27" s="119">
        <v>0</v>
      </c>
      <c r="X27" s="119">
        <v>0</v>
      </c>
      <c r="Y27" s="119">
        <v>0</v>
      </c>
      <c r="Z27" s="119">
        <v>0</v>
      </c>
      <c r="AA27" s="119">
        <v>0</v>
      </c>
      <c r="AB27" s="123">
        <f t="shared" si="5"/>
        <v>0</v>
      </c>
      <c r="AC27" s="123">
        <f t="shared" si="7"/>
        <v>0</v>
      </c>
      <c r="AF27" s="118"/>
    </row>
    <row r="28" spans="1:32" x14ac:dyDescent="0.25">
      <c r="A28" s="57" t="s">
        <v>171</v>
      </c>
      <c r="B28" s="33" t="s">
        <v>170</v>
      </c>
      <c r="C28" s="117">
        <f>C30*1.18</f>
        <v>294.53059319620257</v>
      </c>
      <c r="D28" s="117">
        <v>0</v>
      </c>
      <c r="E28" s="117">
        <f>C28</f>
        <v>294.53059319620257</v>
      </c>
      <c r="F28" s="117">
        <f>E28-G28-H28</f>
        <v>293.97652119620255</v>
      </c>
      <c r="G28" s="119">
        <v>0</v>
      </c>
      <c r="H28" s="119">
        <v>0.55407200000000001</v>
      </c>
      <c r="I28" s="119">
        <v>0</v>
      </c>
      <c r="J28" s="119">
        <v>0.55407200000000001</v>
      </c>
      <c r="K28" s="119">
        <v>0</v>
      </c>
      <c r="L28" s="119">
        <v>160.58748429999991</v>
      </c>
      <c r="M28" s="119">
        <v>128.46998823999991</v>
      </c>
      <c r="N28" s="119">
        <v>134.10904273</v>
      </c>
      <c r="O28" s="119">
        <v>101.99154667000002</v>
      </c>
      <c r="P28" s="119">
        <v>133.38903689620324</v>
      </c>
      <c r="Q28" s="119">
        <v>0</v>
      </c>
      <c r="R28" s="119">
        <v>0</v>
      </c>
      <c r="S28" s="119">
        <v>0</v>
      </c>
      <c r="T28" s="119">
        <v>0</v>
      </c>
      <c r="U28" s="119">
        <v>0</v>
      </c>
      <c r="V28" s="119">
        <v>0</v>
      </c>
      <c r="W28" s="119">
        <v>0</v>
      </c>
      <c r="X28" s="119">
        <v>0</v>
      </c>
      <c r="Y28" s="119">
        <v>0</v>
      </c>
      <c r="Z28" s="119">
        <v>0</v>
      </c>
      <c r="AA28" s="119">
        <v>0</v>
      </c>
      <c r="AB28" s="123">
        <f t="shared" si="5"/>
        <v>294.53059319620314</v>
      </c>
      <c r="AC28" s="123">
        <f t="shared" si="7"/>
        <v>134.66311472999999</v>
      </c>
    </row>
    <row r="29" spans="1:32" x14ac:dyDescent="0.25">
      <c r="A29" s="57" t="s">
        <v>169</v>
      </c>
      <c r="B29" s="61" t="s">
        <v>168</v>
      </c>
      <c r="C29" s="117">
        <v>0</v>
      </c>
      <c r="D29" s="117">
        <v>0</v>
      </c>
      <c r="E29" s="117">
        <f>C29</f>
        <v>0</v>
      </c>
      <c r="F29" s="117">
        <f>E29-G29-H29</f>
        <v>0</v>
      </c>
      <c r="G29" s="119">
        <v>0</v>
      </c>
      <c r="H29" s="119">
        <v>0</v>
      </c>
      <c r="I29" s="119">
        <v>0</v>
      </c>
      <c r="J29" s="119">
        <v>0</v>
      </c>
      <c r="K29" s="119">
        <v>0</v>
      </c>
      <c r="L29" s="119">
        <f>F29</f>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23">
        <f t="shared" si="5"/>
        <v>0</v>
      </c>
      <c r="AC29" s="123">
        <f t="shared" si="7"/>
        <v>0</v>
      </c>
      <c r="AF29" s="118"/>
    </row>
    <row r="30" spans="1:32" ht="47.25" x14ac:dyDescent="0.25">
      <c r="A30" s="60" t="s">
        <v>61</v>
      </c>
      <c r="B30" s="59" t="s">
        <v>167</v>
      </c>
      <c r="C30" s="117">
        <f>SUM(C31:C34)</f>
        <v>249.60219762390051</v>
      </c>
      <c r="D30" s="117">
        <v>0</v>
      </c>
      <c r="E30" s="117">
        <f>SUM(E31:E34)</f>
        <v>249.60219762390051</v>
      </c>
      <c r="F30" s="117">
        <f>SUM(F31:F34)</f>
        <v>249.13264508152764</v>
      </c>
      <c r="G30" s="117">
        <f t="shared" ref="G30" si="8">SUM(G31:G34)</f>
        <v>0</v>
      </c>
      <c r="H30" s="117">
        <f>SUM(H31:H34)</f>
        <v>0.46955254237288102</v>
      </c>
      <c r="I30" s="117">
        <f>SUM(I31:I34)</f>
        <v>0</v>
      </c>
      <c r="J30" s="117">
        <f>SUM(J31:J34)</f>
        <v>0.46955254237288102</v>
      </c>
      <c r="K30" s="117">
        <f>SUM(K31:K34)</f>
        <v>0</v>
      </c>
      <c r="L30" s="117">
        <f>145.62859444541</f>
        <v>145.62859444540999</v>
      </c>
      <c r="M30" s="117">
        <v>145.6285944454101</v>
      </c>
      <c r="N30" s="117">
        <v>94.271501650000005</v>
      </c>
      <c r="O30" s="117">
        <v>94.27150164999999</v>
      </c>
      <c r="P30" s="117">
        <v>103.504050636118</v>
      </c>
      <c r="Q30" s="117">
        <f t="shared" ref="Q30:AA30" si="9">SUM(Q31:Q34)</f>
        <v>0</v>
      </c>
      <c r="R30" s="117">
        <f t="shared" si="9"/>
        <v>0</v>
      </c>
      <c r="S30" s="117">
        <f t="shared" si="9"/>
        <v>0</v>
      </c>
      <c r="T30" s="117">
        <f t="shared" si="9"/>
        <v>0</v>
      </c>
      <c r="U30" s="117">
        <f t="shared" si="9"/>
        <v>0</v>
      </c>
      <c r="V30" s="117">
        <f t="shared" si="9"/>
        <v>0</v>
      </c>
      <c r="W30" s="117">
        <f t="shared" si="9"/>
        <v>0</v>
      </c>
      <c r="X30" s="117">
        <f t="shared" si="9"/>
        <v>0</v>
      </c>
      <c r="Y30" s="117">
        <f t="shared" si="9"/>
        <v>0</v>
      </c>
      <c r="Z30" s="117">
        <f t="shared" si="9"/>
        <v>0</v>
      </c>
      <c r="AA30" s="117">
        <f t="shared" si="9"/>
        <v>0</v>
      </c>
      <c r="AB30" s="123">
        <f t="shared" si="5"/>
        <v>249.60219762390085</v>
      </c>
      <c r="AC30" s="123">
        <f t="shared" si="7"/>
        <v>94.741054192372886</v>
      </c>
      <c r="AE30" s="118"/>
    </row>
    <row r="31" spans="1:32" x14ac:dyDescent="0.25">
      <c r="A31" s="60" t="s">
        <v>166</v>
      </c>
      <c r="B31" s="33" t="s">
        <v>165</v>
      </c>
      <c r="C31" s="117">
        <f>4.7144209*1.41456447846*0.7</f>
        <v>4.6681966391545968</v>
      </c>
      <c r="D31" s="117">
        <v>0</v>
      </c>
      <c r="E31" s="117">
        <f>C31</f>
        <v>4.6681966391545968</v>
      </c>
      <c r="F31" s="117">
        <f>E31-G31-H31</f>
        <v>4.6681966391545968</v>
      </c>
      <c r="G31" s="119">
        <v>0</v>
      </c>
      <c r="H31" s="119">
        <v>0</v>
      </c>
      <c r="I31" s="119">
        <v>0</v>
      </c>
      <c r="J31" s="119">
        <v>0</v>
      </c>
      <c r="K31" s="119">
        <v>0</v>
      </c>
      <c r="L31" s="119">
        <f>F31</f>
        <v>4.6681966391545968</v>
      </c>
      <c r="M31" s="119">
        <v>4.6681966391545968</v>
      </c>
      <c r="N31" s="119">
        <v>0</v>
      </c>
      <c r="O31" s="119">
        <v>0</v>
      </c>
      <c r="P31" s="119">
        <v>0</v>
      </c>
      <c r="Q31" s="119">
        <v>0</v>
      </c>
      <c r="R31" s="119">
        <v>0</v>
      </c>
      <c r="S31" s="119">
        <v>0</v>
      </c>
      <c r="T31" s="119">
        <v>0</v>
      </c>
      <c r="U31" s="119">
        <v>0</v>
      </c>
      <c r="V31" s="119">
        <v>0</v>
      </c>
      <c r="W31" s="119">
        <v>0</v>
      </c>
      <c r="X31" s="119">
        <v>0</v>
      </c>
      <c r="Y31" s="119">
        <v>0</v>
      </c>
      <c r="Z31" s="119">
        <v>0</v>
      </c>
      <c r="AA31" s="119">
        <v>0</v>
      </c>
      <c r="AB31" s="123">
        <f t="shared" si="5"/>
        <v>4.6681966391545968</v>
      </c>
      <c r="AC31" s="123">
        <f t="shared" si="7"/>
        <v>0</v>
      </c>
    </row>
    <row r="32" spans="1:32" ht="31.5" x14ac:dyDescent="0.25">
      <c r="A32" s="60" t="s">
        <v>164</v>
      </c>
      <c r="B32" s="33" t="s">
        <v>163</v>
      </c>
      <c r="C32" s="117">
        <f>22.591709*1.41456447846*0.7</f>
        <v>22.370200341373565</v>
      </c>
      <c r="D32" s="117">
        <v>0</v>
      </c>
      <c r="E32" s="117">
        <f>C32</f>
        <v>22.370200341373565</v>
      </c>
      <c r="F32" s="117">
        <f>E32-G32-H32</f>
        <v>22.370200341373565</v>
      </c>
      <c r="G32" s="119">
        <v>0</v>
      </c>
      <c r="H32" s="119">
        <v>0</v>
      </c>
      <c r="I32" s="119">
        <v>0</v>
      </c>
      <c r="J32" s="119">
        <v>0</v>
      </c>
      <c r="K32" s="119">
        <v>0</v>
      </c>
      <c r="L32" s="119">
        <f>F32-P32</f>
        <v>13.076330611391265</v>
      </c>
      <c r="M32" s="119">
        <v>13.076330611391265</v>
      </c>
      <c r="N32" s="119">
        <v>1.979398</v>
      </c>
      <c r="O32" s="119">
        <v>1.979398</v>
      </c>
      <c r="P32" s="119">
        <f>F32*(P30/F30)</f>
        <v>9.2938697299822994</v>
      </c>
      <c r="Q32" s="119">
        <v>0</v>
      </c>
      <c r="R32" s="119">
        <v>0</v>
      </c>
      <c r="S32" s="119">
        <v>0</v>
      </c>
      <c r="T32" s="119">
        <v>0</v>
      </c>
      <c r="U32" s="119">
        <v>0</v>
      </c>
      <c r="V32" s="119">
        <v>0</v>
      </c>
      <c r="W32" s="119">
        <v>0</v>
      </c>
      <c r="X32" s="119">
        <v>0</v>
      </c>
      <c r="Y32" s="119">
        <v>0</v>
      </c>
      <c r="Z32" s="119">
        <v>0</v>
      </c>
      <c r="AA32" s="119">
        <v>0</v>
      </c>
      <c r="AB32" s="123">
        <f t="shared" si="5"/>
        <v>22.370200341373565</v>
      </c>
      <c r="AC32" s="123">
        <f t="shared" si="7"/>
        <v>1.979398</v>
      </c>
    </row>
    <row r="33" spans="1:29" x14ac:dyDescent="0.25">
      <c r="A33" s="60" t="s">
        <v>162</v>
      </c>
      <c r="B33" s="33" t="s">
        <v>161</v>
      </c>
      <c r="C33" s="120">
        <f>210.6058062*1.41456447846*0.7</f>
        <v>208.54084468556556</v>
      </c>
      <c r="D33" s="120">
        <v>0</v>
      </c>
      <c r="E33" s="117">
        <f>C33</f>
        <v>208.54084468556556</v>
      </c>
      <c r="F33" s="117">
        <f>E33-G33-H33</f>
        <v>208.54084468556556</v>
      </c>
      <c r="G33" s="119">
        <v>0</v>
      </c>
      <c r="H33" s="119">
        <v>0</v>
      </c>
      <c r="I33" s="119">
        <v>0</v>
      </c>
      <c r="J33" s="119">
        <v>0</v>
      </c>
      <c r="K33" s="119">
        <v>0</v>
      </c>
      <c r="L33" s="119">
        <f>F33-P33</f>
        <v>121.90096599375441</v>
      </c>
      <c r="M33" s="119">
        <v>121.90096599375441</v>
      </c>
      <c r="N33" s="119">
        <v>91.699434690000004</v>
      </c>
      <c r="O33" s="119">
        <v>91.699434690000004</v>
      </c>
      <c r="P33" s="119">
        <f>F33*(P30/F30)</f>
        <v>86.639878691811148</v>
      </c>
      <c r="Q33" s="119">
        <v>0</v>
      </c>
      <c r="R33" s="119">
        <v>0</v>
      </c>
      <c r="S33" s="119">
        <v>0</v>
      </c>
      <c r="T33" s="119">
        <v>0</v>
      </c>
      <c r="U33" s="119">
        <v>0</v>
      </c>
      <c r="V33" s="119">
        <v>0</v>
      </c>
      <c r="W33" s="119">
        <v>0</v>
      </c>
      <c r="X33" s="119">
        <v>0</v>
      </c>
      <c r="Y33" s="119">
        <v>0</v>
      </c>
      <c r="Z33" s="119">
        <v>0</v>
      </c>
      <c r="AA33" s="119">
        <v>0</v>
      </c>
      <c r="AB33" s="123">
        <f t="shared" si="5"/>
        <v>208.54084468556556</v>
      </c>
      <c r="AC33" s="123">
        <f t="shared" si="7"/>
        <v>91.699434690000004</v>
      </c>
    </row>
    <row r="34" spans="1:29" x14ac:dyDescent="0.25">
      <c r="A34" s="60" t="s">
        <v>160</v>
      </c>
      <c r="B34" s="33" t="s">
        <v>159</v>
      </c>
      <c r="C34" s="117">
        <f>14.1618106*1.41456447846*0.7</f>
        <v>14.022955957806809</v>
      </c>
      <c r="D34" s="117">
        <v>0</v>
      </c>
      <c r="E34" s="117">
        <f>C34</f>
        <v>14.022955957806809</v>
      </c>
      <c r="F34" s="117">
        <f>E34-G34-H34</f>
        <v>13.553403415433928</v>
      </c>
      <c r="G34" s="119">
        <v>0</v>
      </c>
      <c r="H34" s="119">
        <v>0.46955254237288102</v>
      </c>
      <c r="I34" s="119">
        <v>0</v>
      </c>
      <c r="J34" s="119">
        <v>0.46955254237288102</v>
      </c>
      <c r="K34" s="119">
        <v>0</v>
      </c>
      <c r="L34" s="119">
        <f>L30-L31-L32-L33</f>
        <v>5.9831012011097187</v>
      </c>
      <c r="M34" s="119">
        <v>5.9831012011097187</v>
      </c>
      <c r="N34" s="119">
        <v>0.59266895999999991</v>
      </c>
      <c r="O34" s="119">
        <v>0.59266895999999991</v>
      </c>
      <c r="P34" s="119">
        <f>P30-P31-P32-P33</f>
        <v>7.570302214324542</v>
      </c>
      <c r="Q34" s="119">
        <v>0</v>
      </c>
      <c r="R34" s="119">
        <v>0</v>
      </c>
      <c r="S34" s="119">
        <v>0</v>
      </c>
      <c r="T34" s="119">
        <v>0</v>
      </c>
      <c r="U34" s="119">
        <v>0</v>
      </c>
      <c r="V34" s="119">
        <v>0</v>
      </c>
      <c r="W34" s="119">
        <v>0</v>
      </c>
      <c r="X34" s="119">
        <v>0</v>
      </c>
      <c r="Y34" s="119">
        <v>0</v>
      </c>
      <c r="Z34" s="119">
        <v>0</v>
      </c>
      <c r="AA34" s="119">
        <v>0</v>
      </c>
      <c r="AB34" s="123">
        <f t="shared" si="5"/>
        <v>14.022955957807142</v>
      </c>
      <c r="AC34" s="123">
        <f t="shared" si="7"/>
        <v>1.0622215023728809</v>
      </c>
    </row>
    <row r="35" spans="1:29"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23">
        <f t="shared" si="5"/>
        <v>0</v>
      </c>
      <c r="AC35" s="123">
        <f t="shared" si="7"/>
        <v>0</v>
      </c>
    </row>
    <row r="36" spans="1:29" ht="31.5" x14ac:dyDescent="0.25">
      <c r="A36" s="57" t="s">
        <v>157</v>
      </c>
      <c r="B36" s="56" t="s">
        <v>156</v>
      </c>
      <c r="C36" s="117">
        <v>0</v>
      </c>
      <c r="D36" s="117">
        <v>0</v>
      </c>
      <c r="E36" s="117">
        <v>0</v>
      </c>
      <c r="F36" s="117">
        <v>0</v>
      </c>
      <c r="G36" s="119">
        <v>0</v>
      </c>
      <c r="H36" s="119">
        <v>0</v>
      </c>
      <c r="I36" s="119">
        <v>0</v>
      </c>
      <c r="J36" s="119">
        <v>0</v>
      </c>
      <c r="K36" s="119">
        <v>0</v>
      </c>
      <c r="L36" s="119">
        <v>0</v>
      </c>
      <c r="M36" s="119">
        <v>0</v>
      </c>
      <c r="N36" s="119">
        <v>0</v>
      </c>
      <c r="O36" s="119">
        <v>0</v>
      </c>
      <c r="P36" s="119">
        <v>0</v>
      </c>
      <c r="Q36" s="119">
        <v>0</v>
      </c>
      <c r="R36" s="119">
        <v>0</v>
      </c>
      <c r="S36" s="119">
        <v>0</v>
      </c>
      <c r="T36" s="119">
        <v>0</v>
      </c>
      <c r="U36" s="119">
        <v>0</v>
      </c>
      <c r="V36" s="119">
        <v>0</v>
      </c>
      <c r="W36" s="119">
        <v>0</v>
      </c>
      <c r="X36" s="119">
        <v>0</v>
      </c>
      <c r="Y36" s="119">
        <v>0</v>
      </c>
      <c r="Z36" s="119">
        <v>0</v>
      </c>
      <c r="AA36" s="119">
        <v>0</v>
      </c>
      <c r="AB36" s="123">
        <f t="shared" si="5"/>
        <v>0</v>
      </c>
      <c r="AC36" s="123">
        <f t="shared" si="7"/>
        <v>0</v>
      </c>
    </row>
    <row r="37" spans="1:29" x14ac:dyDescent="0.25">
      <c r="A37" s="57" t="s">
        <v>155</v>
      </c>
      <c r="B37" s="56" t="s">
        <v>145</v>
      </c>
      <c r="C37" s="117">
        <v>80</v>
      </c>
      <c r="D37" s="117">
        <v>0</v>
      </c>
      <c r="E37" s="117">
        <f>C37</f>
        <v>80</v>
      </c>
      <c r="F37" s="117">
        <f>E37-G37-H37</f>
        <v>80</v>
      </c>
      <c r="G37" s="119">
        <v>0</v>
      </c>
      <c r="H37" s="119">
        <v>0</v>
      </c>
      <c r="I37" s="119">
        <v>0</v>
      </c>
      <c r="J37" s="119">
        <v>0</v>
      </c>
      <c r="K37" s="119">
        <v>0</v>
      </c>
      <c r="L37" s="119">
        <v>0</v>
      </c>
      <c r="M37" s="119">
        <v>0</v>
      </c>
      <c r="N37" s="119">
        <v>0</v>
      </c>
      <c r="O37" s="119">
        <v>0</v>
      </c>
      <c r="P37" s="119">
        <f t="shared" ref="P37:P42" si="10">F37</f>
        <v>80</v>
      </c>
      <c r="Q37" s="119">
        <v>0</v>
      </c>
      <c r="R37" s="119">
        <v>0</v>
      </c>
      <c r="S37" s="119">
        <v>0</v>
      </c>
      <c r="T37" s="119">
        <v>0</v>
      </c>
      <c r="U37" s="119">
        <v>0</v>
      </c>
      <c r="V37" s="119">
        <v>0</v>
      </c>
      <c r="W37" s="119">
        <v>0</v>
      </c>
      <c r="X37" s="119">
        <v>0</v>
      </c>
      <c r="Y37" s="119">
        <v>0</v>
      </c>
      <c r="Z37" s="119">
        <v>0</v>
      </c>
      <c r="AA37" s="119">
        <v>0</v>
      </c>
      <c r="AB37" s="123">
        <f t="shared" si="5"/>
        <v>80</v>
      </c>
      <c r="AC37" s="123">
        <f t="shared" si="7"/>
        <v>0</v>
      </c>
    </row>
    <row r="38" spans="1:29" x14ac:dyDescent="0.25">
      <c r="A38" s="57" t="s">
        <v>154</v>
      </c>
      <c r="B38" s="56" t="s">
        <v>143</v>
      </c>
      <c r="C38" s="117">
        <v>0</v>
      </c>
      <c r="D38" s="117">
        <v>0</v>
      </c>
      <c r="E38" s="117">
        <v>0</v>
      </c>
      <c r="F38" s="117">
        <v>0</v>
      </c>
      <c r="G38" s="119">
        <v>0</v>
      </c>
      <c r="H38" s="119">
        <v>0</v>
      </c>
      <c r="I38" s="119">
        <v>0</v>
      </c>
      <c r="J38" s="119">
        <v>0</v>
      </c>
      <c r="K38" s="119">
        <v>0</v>
      </c>
      <c r="L38" s="119">
        <v>0</v>
      </c>
      <c r="M38" s="119">
        <v>0</v>
      </c>
      <c r="N38" s="119">
        <v>0</v>
      </c>
      <c r="O38" s="119">
        <v>0</v>
      </c>
      <c r="P38" s="119">
        <f t="shared" si="10"/>
        <v>0</v>
      </c>
      <c r="Q38" s="119">
        <v>0</v>
      </c>
      <c r="R38" s="119">
        <v>0</v>
      </c>
      <c r="S38" s="119">
        <v>0</v>
      </c>
      <c r="T38" s="119">
        <v>0</v>
      </c>
      <c r="U38" s="119">
        <v>0</v>
      </c>
      <c r="V38" s="119">
        <v>0</v>
      </c>
      <c r="W38" s="119">
        <v>0</v>
      </c>
      <c r="X38" s="119">
        <v>0</v>
      </c>
      <c r="Y38" s="119">
        <v>0</v>
      </c>
      <c r="Z38" s="119">
        <v>0</v>
      </c>
      <c r="AA38" s="119">
        <v>0</v>
      </c>
      <c r="AB38" s="123">
        <f t="shared" si="5"/>
        <v>0</v>
      </c>
      <c r="AC38" s="123">
        <f t="shared" si="7"/>
        <v>0</v>
      </c>
    </row>
    <row r="39" spans="1:29" ht="31.5" x14ac:dyDescent="0.25">
      <c r="A39" s="57" t="s">
        <v>153</v>
      </c>
      <c r="B39" s="33" t="s">
        <v>141</v>
      </c>
      <c r="C39" s="117">
        <v>0</v>
      </c>
      <c r="D39" s="117">
        <v>0</v>
      </c>
      <c r="E39" s="117">
        <v>0</v>
      </c>
      <c r="F39" s="117">
        <v>0</v>
      </c>
      <c r="G39" s="119">
        <v>0</v>
      </c>
      <c r="H39" s="119">
        <v>0</v>
      </c>
      <c r="I39" s="119">
        <v>0</v>
      </c>
      <c r="J39" s="119">
        <v>0</v>
      </c>
      <c r="K39" s="119">
        <v>0</v>
      </c>
      <c r="L39" s="119">
        <v>0</v>
      </c>
      <c r="M39" s="119">
        <v>0</v>
      </c>
      <c r="N39" s="119">
        <v>0</v>
      </c>
      <c r="O39" s="119">
        <v>0</v>
      </c>
      <c r="P39" s="119">
        <f t="shared" si="10"/>
        <v>0</v>
      </c>
      <c r="Q39" s="119">
        <v>0</v>
      </c>
      <c r="R39" s="119">
        <v>0</v>
      </c>
      <c r="S39" s="119">
        <v>0</v>
      </c>
      <c r="T39" s="119">
        <v>0</v>
      </c>
      <c r="U39" s="119">
        <v>0</v>
      </c>
      <c r="V39" s="119">
        <v>0</v>
      </c>
      <c r="W39" s="119">
        <v>0</v>
      </c>
      <c r="X39" s="119">
        <v>0</v>
      </c>
      <c r="Y39" s="119">
        <v>0</v>
      </c>
      <c r="Z39" s="119">
        <v>0</v>
      </c>
      <c r="AA39" s="119">
        <v>0</v>
      </c>
      <c r="AB39" s="123">
        <f t="shared" si="5"/>
        <v>0</v>
      </c>
      <c r="AC39" s="123">
        <f t="shared" si="7"/>
        <v>0</v>
      </c>
    </row>
    <row r="40" spans="1:29" ht="31.5" x14ac:dyDescent="0.25">
      <c r="A40" s="57" t="s">
        <v>152</v>
      </c>
      <c r="B40" s="33" t="s">
        <v>139</v>
      </c>
      <c r="C40" s="117">
        <v>0</v>
      </c>
      <c r="D40" s="117">
        <v>0</v>
      </c>
      <c r="E40" s="117">
        <v>0</v>
      </c>
      <c r="F40" s="117">
        <v>0</v>
      </c>
      <c r="G40" s="119">
        <v>0</v>
      </c>
      <c r="H40" s="119">
        <v>0</v>
      </c>
      <c r="I40" s="119">
        <v>0</v>
      </c>
      <c r="J40" s="119">
        <v>0</v>
      </c>
      <c r="K40" s="119">
        <v>0</v>
      </c>
      <c r="L40" s="119">
        <v>0</v>
      </c>
      <c r="M40" s="119">
        <v>0</v>
      </c>
      <c r="N40" s="119">
        <v>0</v>
      </c>
      <c r="O40" s="119">
        <v>0</v>
      </c>
      <c r="P40" s="119">
        <f t="shared" si="10"/>
        <v>0</v>
      </c>
      <c r="Q40" s="119">
        <v>0</v>
      </c>
      <c r="R40" s="119">
        <v>0</v>
      </c>
      <c r="S40" s="119">
        <v>0</v>
      </c>
      <c r="T40" s="119">
        <v>0</v>
      </c>
      <c r="U40" s="119">
        <v>0</v>
      </c>
      <c r="V40" s="119">
        <v>0</v>
      </c>
      <c r="W40" s="119">
        <v>0</v>
      </c>
      <c r="X40" s="119">
        <v>0</v>
      </c>
      <c r="Y40" s="119">
        <v>0</v>
      </c>
      <c r="Z40" s="119">
        <v>0</v>
      </c>
      <c r="AA40" s="119">
        <v>0</v>
      </c>
      <c r="AB40" s="123">
        <f t="shared" si="5"/>
        <v>0</v>
      </c>
      <c r="AC40" s="123">
        <f t="shared" si="7"/>
        <v>0</v>
      </c>
    </row>
    <row r="41" spans="1:29" x14ac:dyDescent="0.25">
      <c r="A41" s="57" t="s">
        <v>151</v>
      </c>
      <c r="B41" s="33" t="s">
        <v>137</v>
      </c>
      <c r="C41" s="117">
        <v>0</v>
      </c>
      <c r="D41" s="117">
        <v>0</v>
      </c>
      <c r="E41" s="117">
        <v>0</v>
      </c>
      <c r="F41" s="117">
        <v>0</v>
      </c>
      <c r="G41" s="119">
        <v>0</v>
      </c>
      <c r="H41" s="119">
        <v>0</v>
      </c>
      <c r="I41" s="119">
        <v>0</v>
      </c>
      <c r="J41" s="119">
        <v>0</v>
      </c>
      <c r="K41" s="119">
        <v>0</v>
      </c>
      <c r="L41" s="119">
        <v>0</v>
      </c>
      <c r="M41" s="119">
        <v>0</v>
      </c>
      <c r="N41" s="119">
        <v>0</v>
      </c>
      <c r="O41" s="119">
        <v>0</v>
      </c>
      <c r="P41" s="119">
        <f t="shared" si="10"/>
        <v>0</v>
      </c>
      <c r="Q41" s="119">
        <v>0</v>
      </c>
      <c r="R41" s="119">
        <v>0</v>
      </c>
      <c r="S41" s="119">
        <v>0</v>
      </c>
      <c r="T41" s="119">
        <v>0</v>
      </c>
      <c r="U41" s="119">
        <v>0</v>
      </c>
      <c r="V41" s="119">
        <v>0</v>
      </c>
      <c r="W41" s="119">
        <v>0</v>
      </c>
      <c r="X41" s="119">
        <v>0</v>
      </c>
      <c r="Y41" s="119">
        <v>0</v>
      </c>
      <c r="Z41" s="119">
        <v>0</v>
      </c>
      <c r="AA41" s="119">
        <v>0</v>
      </c>
      <c r="AB41" s="123">
        <f t="shared" si="5"/>
        <v>0</v>
      </c>
      <c r="AC41" s="123">
        <f t="shared" si="7"/>
        <v>0</v>
      </c>
    </row>
    <row r="42" spans="1:29" ht="18.75" x14ac:dyDescent="0.25">
      <c r="A42" s="57" t="s">
        <v>150</v>
      </c>
      <c r="B42" s="56" t="s">
        <v>530</v>
      </c>
      <c r="C42" s="117">
        <v>34</v>
      </c>
      <c r="D42" s="117">
        <v>0</v>
      </c>
      <c r="E42" s="117">
        <v>34</v>
      </c>
      <c r="F42" s="117">
        <v>34</v>
      </c>
      <c r="G42" s="119">
        <v>0</v>
      </c>
      <c r="H42" s="119">
        <v>0</v>
      </c>
      <c r="I42" s="119">
        <v>0</v>
      </c>
      <c r="J42" s="119">
        <v>0</v>
      </c>
      <c r="K42" s="119">
        <v>0</v>
      </c>
      <c r="L42" s="119">
        <v>0</v>
      </c>
      <c r="M42" s="119">
        <v>0</v>
      </c>
      <c r="N42" s="119">
        <v>0</v>
      </c>
      <c r="O42" s="119">
        <v>0</v>
      </c>
      <c r="P42" s="119">
        <f t="shared" si="10"/>
        <v>34</v>
      </c>
      <c r="Q42" s="119">
        <v>0</v>
      </c>
      <c r="R42" s="119">
        <v>0</v>
      </c>
      <c r="S42" s="119">
        <v>0</v>
      </c>
      <c r="T42" s="119">
        <v>0</v>
      </c>
      <c r="U42" s="119">
        <v>0</v>
      </c>
      <c r="V42" s="119">
        <v>0</v>
      </c>
      <c r="W42" s="119">
        <v>0</v>
      </c>
      <c r="X42" s="119">
        <v>0</v>
      </c>
      <c r="Y42" s="119">
        <v>0</v>
      </c>
      <c r="Z42" s="119">
        <v>0</v>
      </c>
      <c r="AA42" s="119">
        <v>0</v>
      </c>
      <c r="AB42" s="123">
        <f t="shared" si="5"/>
        <v>34</v>
      </c>
      <c r="AC42" s="123">
        <f t="shared" si="7"/>
        <v>0</v>
      </c>
    </row>
    <row r="43" spans="1:29"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23">
        <f t="shared" si="5"/>
        <v>0</v>
      </c>
      <c r="AC43" s="123">
        <f t="shared" si="7"/>
        <v>0</v>
      </c>
    </row>
    <row r="44" spans="1:29" x14ac:dyDescent="0.25">
      <c r="A44" s="57" t="s">
        <v>148</v>
      </c>
      <c r="B44" s="33" t="s">
        <v>147</v>
      </c>
      <c r="C44" s="117">
        <v>0</v>
      </c>
      <c r="D44" s="117">
        <v>0</v>
      </c>
      <c r="E44" s="117">
        <v>0</v>
      </c>
      <c r="F44" s="117">
        <v>0</v>
      </c>
      <c r="G44" s="119">
        <v>0</v>
      </c>
      <c r="H44" s="119">
        <v>0</v>
      </c>
      <c r="I44" s="119">
        <v>0</v>
      </c>
      <c r="J44" s="119">
        <v>0</v>
      </c>
      <c r="K44" s="119">
        <v>0</v>
      </c>
      <c r="L44" s="119">
        <v>0</v>
      </c>
      <c r="M44" s="119">
        <v>0</v>
      </c>
      <c r="N44" s="119">
        <v>0</v>
      </c>
      <c r="O44" s="119">
        <v>0</v>
      </c>
      <c r="P44" s="119">
        <f t="shared" ref="P44:P50" si="11">F44</f>
        <v>0</v>
      </c>
      <c r="Q44" s="119">
        <v>0</v>
      </c>
      <c r="R44" s="119">
        <v>0</v>
      </c>
      <c r="S44" s="119">
        <v>0</v>
      </c>
      <c r="T44" s="119">
        <v>0</v>
      </c>
      <c r="U44" s="119">
        <v>0</v>
      </c>
      <c r="V44" s="119">
        <v>0</v>
      </c>
      <c r="W44" s="119">
        <v>0</v>
      </c>
      <c r="X44" s="119">
        <v>0</v>
      </c>
      <c r="Y44" s="119">
        <v>0</v>
      </c>
      <c r="Z44" s="119">
        <v>0</v>
      </c>
      <c r="AA44" s="119">
        <v>0</v>
      </c>
      <c r="AB44" s="123">
        <f t="shared" si="5"/>
        <v>0</v>
      </c>
      <c r="AC44" s="123">
        <f t="shared" si="7"/>
        <v>0</v>
      </c>
    </row>
    <row r="45" spans="1:29" x14ac:dyDescent="0.25">
      <c r="A45" s="57" t="s">
        <v>146</v>
      </c>
      <c r="B45" s="33" t="s">
        <v>145</v>
      </c>
      <c r="C45" s="117">
        <f>C37</f>
        <v>80</v>
      </c>
      <c r="D45" s="117">
        <v>0</v>
      </c>
      <c r="E45" s="117">
        <f>C45</f>
        <v>80</v>
      </c>
      <c r="F45" s="117">
        <f>E45-G45-H45</f>
        <v>80</v>
      </c>
      <c r="G45" s="119">
        <v>0</v>
      </c>
      <c r="H45" s="119">
        <v>0</v>
      </c>
      <c r="I45" s="119">
        <v>0</v>
      </c>
      <c r="J45" s="119">
        <v>0</v>
      </c>
      <c r="K45" s="119">
        <v>0</v>
      </c>
      <c r="L45" s="119">
        <v>0</v>
      </c>
      <c r="M45" s="119">
        <v>0</v>
      </c>
      <c r="N45" s="119">
        <v>0</v>
      </c>
      <c r="O45" s="119">
        <v>0</v>
      </c>
      <c r="P45" s="119">
        <f t="shared" si="11"/>
        <v>80</v>
      </c>
      <c r="Q45" s="119">
        <v>0</v>
      </c>
      <c r="R45" s="119">
        <v>0</v>
      </c>
      <c r="S45" s="119">
        <v>0</v>
      </c>
      <c r="T45" s="119">
        <v>0</v>
      </c>
      <c r="U45" s="119">
        <v>0</v>
      </c>
      <c r="V45" s="119">
        <v>0</v>
      </c>
      <c r="W45" s="119">
        <v>0</v>
      </c>
      <c r="X45" s="119">
        <v>0</v>
      </c>
      <c r="Y45" s="119">
        <v>0</v>
      </c>
      <c r="Z45" s="119">
        <v>0</v>
      </c>
      <c r="AA45" s="119">
        <v>0</v>
      </c>
      <c r="AB45" s="123">
        <f t="shared" si="5"/>
        <v>80</v>
      </c>
      <c r="AC45" s="123">
        <f t="shared" si="7"/>
        <v>0</v>
      </c>
    </row>
    <row r="46" spans="1:29" x14ac:dyDescent="0.25">
      <c r="A46" s="57" t="s">
        <v>144</v>
      </c>
      <c r="B46" s="33" t="s">
        <v>143</v>
      </c>
      <c r="C46" s="117">
        <v>0</v>
      </c>
      <c r="D46" s="117">
        <v>0</v>
      </c>
      <c r="E46" s="117">
        <v>0</v>
      </c>
      <c r="F46" s="117">
        <v>0</v>
      </c>
      <c r="G46" s="119">
        <v>0</v>
      </c>
      <c r="H46" s="119">
        <v>0</v>
      </c>
      <c r="I46" s="119">
        <v>0</v>
      </c>
      <c r="J46" s="119">
        <v>0</v>
      </c>
      <c r="K46" s="119">
        <v>0</v>
      </c>
      <c r="L46" s="119">
        <v>0</v>
      </c>
      <c r="M46" s="119">
        <v>0</v>
      </c>
      <c r="N46" s="119">
        <v>0</v>
      </c>
      <c r="O46" s="119">
        <v>0</v>
      </c>
      <c r="P46" s="119">
        <f t="shared" si="11"/>
        <v>0</v>
      </c>
      <c r="Q46" s="119">
        <v>0</v>
      </c>
      <c r="R46" s="119">
        <v>0</v>
      </c>
      <c r="S46" s="119">
        <v>0</v>
      </c>
      <c r="T46" s="119">
        <v>0</v>
      </c>
      <c r="U46" s="119">
        <v>0</v>
      </c>
      <c r="V46" s="119">
        <v>0</v>
      </c>
      <c r="W46" s="119">
        <v>0</v>
      </c>
      <c r="X46" s="119">
        <v>0</v>
      </c>
      <c r="Y46" s="119">
        <v>0</v>
      </c>
      <c r="Z46" s="119">
        <v>0</v>
      </c>
      <c r="AA46" s="119">
        <v>0</v>
      </c>
      <c r="AB46" s="123">
        <f t="shared" si="5"/>
        <v>0</v>
      </c>
      <c r="AC46" s="123">
        <f t="shared" si="7"/>
        <v>0</v>
      </c>
    </row>
    <row r="47" spans="1:29" ht="31.5" x14ac:dyDescent="0.25">
      <c r="A47" s="57" t="s">
        <v>142</v>
      </c>
      <c r="B47" s="33" t="s">
        <v>141</v>
      </c>
      <c r="C47" s="117">
        <v>0</v>
      </c>
      <c r="D47" s="117">
        <v>0</v>
      </c>
      <c r="E47" s="117">
        <v>0</v>
      </c>
      <c r="F47" s="117">
        <v>0</v>
      </c>
      <c r="G47" s="119">
        <v>0</v>
      </c>
      <c r="H47" s="119">
        <v>0</v>
      </c>
      <c r="I47" s="119">
        <v>0</v>
      </c>
      <c r="J47" s="119">
        <v>0</v>
      </c>
      <c r="K47" s="119">
        <v>0</v>
      </c>
      <c r="L47" s="119">
        <v>0</v>
      </c>
      <c r="M47" s="119">
        <v>0</v>
      </c>
      <c r="N47" s="119">
        <v>0</v>
      </c>
      <c r="O47" s="119">
        <v>0</v>
      </c>
      <c r="P47" s="119">
        <f t="shared" si="11"/>
        <v>0</v>
      </c>
      <c r="Q47" s="119">
        <v>0</v>
      </c>
      <c r="R47" s="119">
        <v>0</v>
      </c>
      <c r="S47" s="119">
        <v>0</v>
      </c>
      <c r="T47" s="119">
        <v>0</v>
      </c>
      <c r="U47" s="119">
        <v>0</v>
      </c>
      <c r="V47" s="119">
        <v>0</v>
      </c>
      <c r="W47" s="119">
        <v>0</v>
      </c>
      <c r="X47" s="119">
        <v>0</v>
      </c>
      <c r="Y47" s="119">
        <v>0</v>
      </c>
      <c r="Z47" s="119">
        <v>0</v>
      </c>
      <c r="AA47" s="119">
        <v>0</v>
      </c>
      <c r="AB47" s="123">
        <f t="shared" si="5"/>
        <v>0</v>
      </c>
      <c r="AC47" s="123">
        <f t="shared" si="7"/>
        <v>0</v>
      </c>
    </row>
    <row r="48" spans="1:29" ht="31.5" x14ac:dyDescent="0.25">
      <c r="A48" s="57" t="s">
        <v>140</v>
      </c>
      <c r="B48" s="33" t="s">
        <v>139</v>
      </c>
      <c r="C48" s="117">
        <v>0</v>
      </c>
      <c r="D48" s="117">
        <v>0</v>
      </c>
      <c r="E48" s="117">
        <v>0</v>
      </c>
      <c r="F48" s="117">
        <v>0</v>
      </c>
      <c r="G48" s="119">
        <v>0</v>
      </c>
      <c r="H48" s="119">
        <v>0</v>
      </c>
      <c r="I48" s="119">
        <v>0</v>
      </c>
      <c r="J48" s="119">
        <v>0</v>
      </c>
      <c r="K48" s="119">
        <v>0</v>
      </c>
      <c r="L48" s="119">
        <v>0</v>
      </c>
      <c r="M48" s="119">
        <v>0</v>
      </c>
      <c r="N48" s="119">
        <v>0</v>
      </c>
      <c r="O48" s="119">
        <v>0</v>
      </c>
      <c r="P48" s="119">
        <f t="shared" si="11"/>
        <v>0</v>
      </c>
      <c r="Q48" s="119">
        <v>0</v>
      </c>
      <c r="R48" s="119">
        <v>0</v>
      </c>
      <c r="S48" s="119">
        <v>0</v>
      </c>
      <c r="T48" s="119">
        <v>0</v>
      </c>
      <c r="U48" s="119">
        <v>0</v>
      </c>
      <c r="V48" s="119">
        <v>0</v>
      </c>
      <c r="W48" s="119">
        <v>0</v>
      </c>
      <c r="X48" s="119">
        <v>0</v>
      </c>
      <c r="Y48" s="119">
        <v>0</v>
      </c>
      <c r="Z48" s="119">
        <v>0</v>
      </c>
      <c r="AA48" s="119">
        <v>0</v>
      </c>
      <c r="AB48" s="123">
        <f t="shared" si="5"/>
        <v>0</v>
      </c>
      <c r="AC48" s="123">
        <f t="shared" si="7"/>
        <v>0</v>
      </c>
    </row>
    <row r="49" spans="1:29" x14ac:dyDescent="0.25">
      <c r="A49" s="57" t="s">
        <v>138</v>
      </c>
      <c r="B49" s="33" t="s">
        <v>137</v>
      </c>
      <c r="C49" s="117">
        <v>0</v>
      </c>
      <c r="D49" s="117">
        <v>0</v>
      </c>
      <c r="E49" s="117">
        <v>0</v>
      </c>
      <c r="F49" s="117">
        <v>0</v>
      </c>
      <c r="G49" s="119">
        <v>0</v>
      </c>
      <c r="H49" s="119">
        <v>0</v>
      </c>
      <c r="I49" s="119">
        <v>0</v>
      </c>
      <c r="J49" s="119">
        <v>0</v>
      </c>
      <c r="K49" s="119">
        <v>0</v>
      </c>
      <c r="L49" s="119">
        <v>0</v>
      </c>
      <c r="M49" s="119">
        <v>0</v>
      </c>
      <c r="N49" s="119">
        <v>0</v>
      </c>
      <c r="O49" s="119">
        <v>0</v>
      </c>
      <c r="P49" s="119">
        <f t="shared" si="11"/>
        <v>0</v>
      </c>
      <c r="Q49" s="119">
        <v>0</v>
      </c>
      <c r="R49" s="119">
        <v>0</v>
      </c>
      <c r="S49" s="119">
        <v>0</v>
      </c>
      <c r="T49" s="119">
        <v>0</v>
      </c>
      <c r="U49" s="119">
        <v>0</v>
      </c>
      <c r="V49" s="119">
        <v>0</v>
      </c>
      <c r="W49" s="119">
        <v>0</v>
      </c>
      <c r="X49" s="119">
        <v>0</v>
      </c>
      <c r="Y49" s="119">
        <v>0</v>
      </c>
      <c r="Z49" s="119">
        <v>0</v>
      </c>
      <c r="AA49" s="119">
        <v>0</v>
      </c>
      <c r="AB49" s="123">
        <f t="shared" si="5"/>
        <v>0</v>
      </c>
      <c r="AC49" s="123">
        <f t="shared" si="7"/>
        <v>0</v>
      </c>
    </row>
    <row r="50" spans="1:29" ht="18.75" x14ac:dyDescent="0.25">
      <c r="A50" s="57" t="s">
        <v>136</v>
      </c>
      <c r="B50" s="56" t="s">
        <v>530</v>
      </c>
      <c r="C50" s="117">
        <v>34</v>
      </c>
      <c r="D50" s="117">
        <v>0</v>
      </c>
      <c r="E50" s="117">
        <v>34</v>
      </c>
      <c r="F50" s="117">
        <v>34</v>
      </c>
      <c r="G50" s="119">
        <v>0</v>
      </c>
      <c r="H50" s="119">
        <v>0</v>
      </c>
      <c r="I50" s="119">
        <v>0</v>
      </c>
      <c r="J50" s="119">
        <v>0</v>
      </c>
      <c r="K50" s="119">
        <v>0</v>
      </c>
      <c r="L50" s="119">
        <v>0</v>
      </c>
      <c r="M50" s="119">
        <v>0</v>
      </c>
      <c r="N50" s="119">
        <v>0</v>
      </c>
      <c r="O50" s="119">
        <v>0</v>
      </c>
      <c r="P50" s="119">
        <f t="shared" si="11"/>
        <v>34</v>
      </c>
      <c r="Q50" s="119">
        <v>0</v>
      </c>
      <c r="R50" s="119">
        <v>0</v>
      </c>
      <c r="S50" s="119">
        <v>0</v>
      </c>
      <c r="T50" s="119">
        <v>0</v>
      </c>
      <c r="U50" s="119">
        <v>0</v>
      </c>
      <c r="V50" s="119">
        <v>0</v>
      </c>
      <c r="W50" s="119">
        <v>0</v>
      </c>
      <c r="X50" s="119">
        <v>0</v>
      </c>
      <c r="Y50" s="119">
        <v>0</v>
      </c>
      <c r="Z50" s="119">
        <v>0</v>
      </c>
      <c r="AA50" s="119">
        <v>0</v>
      </c>
      <c r="AB50" s="123">
        <f t="shared" si="5"/>
        <v>34</v>
      </c>
      <c r="AC50" s="123">
        <f t="shared" si="7"/>
        <v>0</v>
      </c>
    </row>
    <row r="51" spans="1:29"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7">
        <v>0</v>
      </c>
      <c r="U51" s="117">
        <v>0</v>
      </c>
      <c r="V51" s="117">
        <v>0</v>
      </c>
      <c r="W51" s="117">
        <v>0</v>
      </c>
      <c r="X51" s="117">
        <v>0</v>
      </c>
      <c r="Y51" s="117">
        <v>0</v>
      </c>
      <c r="Z51" s="117">
        <v>0</v>
      </c>
      <c r="AA51" s="117">
        <v>0</v>
      </c>
      <c r="AB51" s="123">
        <f t="shared" si="5"/>
        <v>0</v>
      </c>
      <c r="AC51" s="123">
        <f t="shared" si="7"/>
        <v>0</v>
      </c>
    </row>
    <row r="52" spans="1:29" x14ac:dyDescent="0.25">
      <c r="A52" s="57" t="s">
        <v>134</v>
      </c>
      <c r="B52" s="33" t="s">
        <v>133</v>
      </c>
      <c r="C52" s="117">
        <f>C30</f>
        <v>249.60219762390051</v>
      </c>
      <c r="D52" s="117">
        <v>0</v>
      </c>
      <c r="E52" s="117">
        <f>C52</f>
        <v>249.60219762390051</v>
      </c>
      <c r="F52" s="117">
        <f>E52-G52-H52</f>
        <v>249.60219762390051</v>
      </c>
      <c r="G52" s="119">
        <v>0</v>
      </c>
      <c r="H52" s="119">
        <v>0</v>
      </c>
      <c r="I52" s="119">
        <v>0</v>
      </c>
      <c r="J52" s="119">
        <v>0</v>
      </c>
      <c r="K52" s="119">
        <v>0</v>
      </c>
      <c r="L52" s="119">
        <v>0</v>
      </c>
      <c r="M52" s="119">
        <v>0</v>
      </c>
      <c r="N52" s="119">
        <v>0</v>
      </c>
      <c r="O52" s="119">
        <v>0</v>
      </c>
      <c r="P52" s="119">
        <f t="shared" ref="P52:P57" si="12">F52</f>
        <v>249.60219762390051</v>
      </c>
      <c r="Q52" s="119">
        <v>0</v>
      </c>
      <c r="R52" s="119">
        <v>0</v>
      </c>
      <c r="S52" s="119">
        <v>0</v>
      </c>
      <c r="T52" s="119">
        <v>0</v>
      </c>
      <c r="U52" s="119">
        <v>0</v>
      </c>
      <c r="V52" s="119">
        <v>0</v>
      </c>
      <c r="W52" s="119">
        <v>0</v>
      </c>
      <c r="X52" s="119">
        <v>0</v>
      </c>
      <c r="Y52" s="119">
        <v>0</v>
      </c>
      <c r="Z52" s="119">
        <v>0</v>
      </c>
      <c r="AA52" s="119">
        <v>0</v>
      </c>
      <c r="AB52" s="123">
        <f t="shared" si="5"/>
        <v>249.60219762390051</v>
      </c>
      <c r="AC52" s="123">
        <f t="shared" si="7"/>
        <v>0</v>
      </c>
    </row>
    <row r="53" spans="1:29" x14ac:dyDescent="0.25">
      <c r="A53" s="57" t="s">
        <v>132</v>
      </c>
      <c r="B53" s="33" t="s">
        <v>126</v>
      </c>
      <c r="C53" s="117">
        <v>0</v>
      </c>
      <c r="D53" s="117">
        <v>0</v>
      </c>
      <c r="E53" s="117">
        <f>C53</f>
        <v>0</v>
      </c>
      <c r="F53" s="117">
        <f>E53-G53-H53</f>
        <v>0</v>
      </c>
      <c r="G53" s="119">
        <v>0</v>
      </c>
      <c r="H53" s="119">
        <v>0</v>
      </c>
      <c r="I53" s="119">
        <v>0</v>
      </c>
      <c r="J53" s="119">
        <v>0</v>
      </c>
      <c r="K53" s="119">
        <v>0</v>
      </c>
      <c r="L53" s="119">
        <v>0</v>
      </c>
      <c r="M53" s="119">
        <v>0</v>
      </c>
      <c r="N53" s="119">
        <v>0</v>
      </c>
      <c r="O53" s="119">
        <v>0</v>
      </c>
      <c r="P53" s="119">
        <f t="shared" si="12"/>
        <v>0</v>
      </c>
      <c r="Q53" s="119">
        <v>0</v>
      </c>
      <c r="R53" s="119">
        <v>0</v>
      </c>
      <c r="S53" s="119">
        <v>0</v>
      </c>
      <c r="T53" s="119">
        <v>0</v>
      </c>
      <c r="U53" s="119">
        <v>0</v>
      </c>
      <c r="V53" s="119">
        <v>0</v>
      </c>
      <c r="W53" s="119">
        <v>0</v>
      </c>
      <c r="X53" s="119">
        <v>0</v>
      </c>
      <c r="Y53" s="119">
        <v>0</v>
      </c>
      <c r="Z53" s="119">
        <v>0</v>
      </c>
      <c r="AA53" s="119">
        <v>0</v>
      </c>
      <c r="AB53" s="123">
        <f t="shared" si="5"/>
        <v>0</v>
      </c>
      <c r="AC53" s="123">
        <f t="shared" si="7"/>
        <v>0</v>
      </c>
    </row>
    <row r="54" spans="1:29" x14ac:dyDescent="0.25">
      <c r="A54" s="57" t="s">
        <v>131</v>
      </c>
      <c r="B54" s="56" t="s">
        <v>125</v>
      </c>
      <c r="C54" s="117">
        <f>C45</f>
        <v>80</v>
      </c>
      <c r="D54" s="117">
        <v>0</v>
      </c>
      <c r="E54" s="117">
        <f>C54</f>
        <v>80</v>
      </c>
      <c r="F54" s="117">
        <f>E54-G54-H54</f>
        <v>80</v>
      </c>
      <c r="G54" s="119">
        <v>0</v>
      </c>
      <c r="H54" s="119">
        <v>0</v>
      </c>
      <c r="I54" s="119">
        <v>0</v>
      </c>
      <c r="J54" s="119">
        <v>0</v>
      </c>
      <c r="K54" s="119">
        <v>0</v>
      </c>
      <c r="L54" s="119">
        <v>0</v>
      </c>
      <c r="M54" s="119">
        <v>0</v>
      </c>
      <c r="N54" s="119">
        <v>0</v>
      </c>
      <c r="O54" s="119">
        <v>0</v>
      </c>
      <c r="P54" s="119">
        <f t="shared" si="12"/>
        <v>80</v>
      </c>
      <c r="Q54" s="119">
        <v>0</v>
      </c>
      <c r="R54" s="119">
        <v>0</v>
      </c>
      <c r="S54" s="119">
        <v>0</v>
      </c>
      <c r="T54" s="119">
        <v>0</v>
      </c>
      <c r="U54" s="119">
        <v>0</v>
      </c>
      <c r="V54" s="119">
        <v>0</v>
      </c>
      <c r="W54" s="119">
        <v>0</v>
      </c>
      <c r="X54" s="119">
        <v>0</v>
      </c>
      <c r="Y54" s="119">
        <v>0</v>
      </c>
      <c r="Z54" s="119">
        <v>0</v>
      </c>
      <c r="AA54" s="119">
        <v>0</v>
      </c>
      <c r="AB54" s="123">
        <f t="shared" si="5"/>
        <v>80</v>
      </c>
      <c r="AC54" s="123">
        <f t="shared" si="7"/>
        <v>0</v>
      </c>
    </row>
    <row r="55" spans="1:29" x14ac:dyDescent="0.25">
      <c r="A55" s="57" t="s">
        <v>130</v>
      </c>
      <c r="B55" s="56" t="s">
        <v>124</v>
      </c>
      <c r="C55" s="117">
        <v>0</v>
      </c>
      <c r="D55" s="117">
        <v>0</v>
      </c>
      <c r="E55" s="117">
        <v>0</v>
      </c>
      <c r="F55" s="117">
        <v>0</v>
      </c>
      <c r="G55" s="119">
        <v>0</v>
      </c>
      <c r="H55" s="119">
        <v>0</v>
      </c>
      <c r="I55" s="119">
        <v>0</v>
      </c>
      <c r="J55" s="119">
        <v>0</v>
      </c>
      <c r="K55" s="119">
        <v>0</v>
      </c>
      <c r="L55" s="119">
        <v>0</v>
      </c>
      <c r="M55" s="119">
        <v>0</v>
      </c>
      <c r="N55" s="119">
        <v>0</v>
      </c>
      <c r="O55" s="119">
        <v>0</v>
      </c>
      <c r="P55" s="119">
        <f t="shared" si="12"/>
        <v>0</v>
      </c>
      <c r="Q55" s="119">
        <v>0</v>
      </c>
      <c r="R55" s="119">
        <v>0</v>
      </c>
      <c r="S55" s="119">
        <v>0</v>
      </c>
      <c r="T55" s="119">
        <v>0</v>
      </c>
      <c r="U55" s="119">
        <v>0</v>
      </c>
      <c r="V55" s="119">
        <v>0</v>
      </c>
      <c r="W55" s="119">
        <v>0</v>
      </c>
      <c r="X55" s="119">
        <v>0</v>
      </c>
      <c r="Y55" s="119">
        <v>0</v>
      </c>
      <c r="Z55" s="119">
        <v>0</v>
      </c>
      <c r="AA55" s="119">
        <v>0</v>
      </c>
      <c r="AB55" s="123">
        <f t="shared" si="5"/>
        <v>0</v>
      </c>
      <c r="AC55" s="123">
        <f t="shared" si="7"/>
        <v>0</v>
      </c>
    </row>
    <row r="56" spans="1:29" x14ac:dyDescent="0.25">
      <c r="A56" s="57" t="s">
        <v>129</v>
      </c>
      <c r="B56" s="56" t="s">
        <v>123</v>
      </c>
      <c r="C56" s="117">
        <v>0</v>
      </c>
      <c r="D56" s="117">
        <v>0</v>
      </c>
      <c r="E56" s="117">
        <v>0</v>
      </c>
      <c r="F56" s="117">
        <v>0</v>
      </c>
      <c r="G56" s="119">
        <v>0</v>
      </c>
      <c r="H56" s="119">
        <v>0</v>
      </c>
      <c r="I56" s="119">
        <v>0</v>
      </c>
      <c r="J56" s="119">
        <v>0</v>
      </c>
      <c r="K56" s="119">
        <v>0</v>
      </c>
      <c r="L56" s="119">
        <v>0</v>
      </c>
      <c r="M56" s="119">
        <v>0</v>
      </c>
      <c r="N56" s="119">
        <v>0</v>
      </c>
      <c r="O56" s="119">
        <v>0</v>
      </c>
      <c r="P56" s="119">
        <f t="shared" si="12"/>
        <v>0</v>
      </c>
      <c r="Q56" s="119">
        <v>0</v>
      </c>
      <c r="R56" s="119">
        <v>0</v>
      </c>
      <c r="S56" s="119">
        <v>0</v>
      </c>
      <c r="T56" s="119">
        <v>0</v>
      </c>
      <c r="U56" s="119">
        <v>0</v>
      </c>
      <c r="V56" s="119">
        <v>0</v>
      </c>
      <c r="W56" s="119">
        <v>0</v>
      </c>
      <c r="X56" s="119">
        <v>0</v>
      </c>
      <c r="Y56" s="119">
        <v>0</v>
      </c>
      <c r="Z56" s="119">
        <v>0</v>
      </c>
      <c r="AA56" s="119">
        <v>0</v>
      </c>
      <c r="AB56" s="123">
        <f t="shared" si="5"/>
        <v>0</v>
      </c>
      <c r="AC56" s="123">
        <f t="shared" si="7"/>
        <v>0</v>
      </c>
    </row>
    <row r="57" spans="1:29" ht="18.75" x14ac:dyDescent="0.25">
      <c r="A57" s="57" t="s">
        <v>128</v>
      </c>
      <c r="B57" s="56" t="s">
        <v>530</v>
      </c>
      <c r="C57" s="117">
        <v>34</v>
      </c>
      <c r="D57" s="117">
        <v>0</v>
      </c>
      <c r="E57" s="117">
        <v>34</v>
      </c>
      <c r="F57" s="117">
        <v>34</v>
      </c>
      <c r="G57" s="119">
        <v>0</v>
      </c>
      <c r="H57" s="119">
        <v>0</v>
      </c>
      <c r="I57" s="119">
        <v>0</v>
      </c>
      <c r="J57" s="119">
        <v>0</v>
      </c>
      <c r="K57" s="119">
        <v>0</v>
      </c>
      <c r="L57" s="119">
        <v>0</v>
      </c>
      <c r="M57" s="119">
        <v>0</v>
      </c>
      <c r="N57" s="119">
        <v>0</v>
      </c>
      <c r="O57" s="119">
        <v>0</v>
      </c>
      <c r="P57" s="119">
        <f t="shared" si="12"/>
        <v>34</v>
      </c>
      <c r="Q57" s="119">
        <v>0</v>
      </c>
      <c r="R57" s="119">
        <v>0</v>
      </c>
      <c r="S57" s="119">
        <v>0</v>
      </c>
      <c r="T57" s="119">
        <v>0</v>
      </c>
      <c r="U57" s="119">
        <v>0</v>
      </c>
      <c r="V57" s="119">
        <v>0</v>
      </c>
      <c r="W57" s="119">
        <v>0</v>
      </c>
      <c r="X57" s="119">
        <v>0</v>
      </c>
      <c r="Y57" s="119">
        <v>0</v>
      </c>
      <c r="Z57" s="119">
        <v>0</v>
      </c>
      <c r="AA57" s="119">
        <v>0</v>
      </c>
      <c r="AB57" s="123">
        <f t="shared" si="5"/>
        <v>34</v>
      </c>
      <c r="AC57" s="123">
        <f t="shared" si="7"/>
        <v>0</v>
      </c>
    </row>
    <row r="58" spans="1:29" ht="36.75" customHeight="1" x14ac:dyDescent="0.25">
      <c r="A58" s="60" t="s">
        <v>56</v>
      </c>
      <c r="B58" s="71"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23">
        <f t="shared" si="5"/>
        <v>0</v>
      </c>
      <c r="AC58" s="123">
        <f t="shared" si="7"/>
        <v>0</v>
      </c>
    </row>
    <row r="59" spans="1:29"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23">
        <f t="shared" si="5"/>
        <v>0</v>
      </c>
      <c r="AC59" s="123">
        <f t="shared" si="7"/>
        <v>0</v>
      </c>
    </row>
    <row r="60" spans="1:29" x14ac:dyDescent="0.25">
      <c r="A60" s="57" t="s">
        <v>201</v>
      </c>
      <c r="B60" s="58" t="s">
        <v>147</v>
      </c>
      <c r="C60" s="117">
        <v>0</v>
      </c>
      <c r="D60" s="117">
        <v>0</v>
      </c>
      <c r="E60" s="117">
        <v>0</v>
      </c>
      <c r="F60" s="117">
        <v>0</v>
      </c>
      <c r="G60" s="119">
        <v>0</v>
      </c>
      <c r="H60" s="119">
        <v>0</v>
      </c>
      <c r="I60" s="119">
        <v>0</v>
      </c>
      <c r="J60" s="119">
        <v>0</v>
      </c>
      <c r="K60" s="119">
        <v>0</v>
      </c>
      <c r="L60" s="119">
        <v>0</v>
      </c>
      <c r="M60" s="119">
        <v>0</v>
      </c>
      <c r="N60" s="119">
        <v>0</v>
      </c>
      <c r="O60" s="119">
        <v>0</v>
      </c>
      <c r="P60" s="119">
        <v>0</v>
      </c>
      <c r="Q60" s="119">
        <v>0</v>
      </c>
      <c r="R60" s="119">
        <v>0</v>
      </c>
      <c r="S60" s="119">
        <v>0</v>
      </c>
      <c r="T60" s="119">
        <v>0</v>
      </c>
      <c r="U60" s="119">
        <v>0</v>
      </c>
      <c r="V60" s="119">
        <v>0</v>
      </c>
      <c r="W60" s="119">
        <v>0</v>
      </c>
      <c r="X60" s="119">
        <v>0</v>
      </c>
      <c r="Y60" s="119">
        <v>0</v>
      </c>
      <c r="Z60" s="119">
        <v>0</v>
      </c>
      <c r="AA60" s="119">
        <v>0</v>
      </c>
      <c r="AB60" s="123">
        <f t="shared" si="5"/>
        <v>0</v>
      </c>
      <c r="AC60" s="123">
        <f t="shared" si="7"/>
        <v>0</v>
      </c>
    </row>
    <row r="61" spans="1:29" x14ac:dyDescent="0.25">
      <c r="A61" s="57" t="s">
        <v>202</v>
      </c>
      <c r="B61" s="58" t="s">
        <v>145</v>
      </c>
      <c r="C61" s="117">
        <v>0</v>
      </c>
      <c r="D61" s="117">
        <v>0</v>
      </c>
      <c r="E61" s="117">
        <v>0</v>
      </c>
      <c r="F61" s="117">
        <v>0</v>
      </c>
      <c r="G61" s="119">
        <v>0</v>
      </c>
      <c r="H61" s="119">
        <v>0</v>
      </c>
      <c r="I61" s="119">
        <v>0</v>
      </c>
      <c r="J61" s="119">
        <v>0</v>
      </c>
      <c r="K61" s="119">
        <v>0</v>
      </c>
      <c r="L61" s="119">
        <v>0</v>
      </c>
      <c r="M61" s="119">
        <v>0</v>
      </c>
      <c r="N61" s="119">
        <v>0</v>
      </c>
      <c r="O61" s="119">
        <v>0</v>
      </c>
      <c r="P61" s="119">
        <v>0</v>
      </c>
      <c r="Q61" s="119">
        <v>0</v>
      </c>
      <c r="R61" s="119">
        <v>0</v>
      </c>
      <c r="S61" s="119">
        <v>0</v>
      </c>
      <c r="T61" s="119">
        <v>0</v>
      </c>
      <c r="U61" s="119">
        <v>0</v>
      </c>
      <c r="V61" s="119">
        <v>0</v>
      </c>
      <c r="W61" s="119">
        <v>0</v>
      </c>
      <c r="X61" s="119">
        <v>0</v>
      </c>
      <c r="Y61" s="119">
        <v>0</v>
      </c>
      <c r="Z61" s="119">
        <v>0</v>
      </c>
      <c r="AA61" s="119">
        <v>0</v>
      </c>
      <c r="AB61" s="123">
        <f t="shared" si="5"/>
        <v>0</v>
      </c>
      <c r="AC61" s="123">
        <f t="shared" si="7"/>
        <v>0</v>
      </c>
    </row>
    <row r="62" spans="1:29" x14ac:dyDescent="0.25">
      <c r="A62" s="57" t="s">
        <v>203</v>
      </c>
      <c r="B62" s="58" t="s">
        <v>143</v>
      </c>
      <c r="C62" s="117">
        <v>0</v>
      </c>
      <c r="D62" s="117">
        <v>0</v>
      </c>
      <c r="E62" s="117">
        <v>0</v>
      </c>
      <c r="F62" s="117">
        <v>0</v>
      </c>
      <c r="G62" s="119">
        <v>0</v>
      </c>
      <c r="H62" s="119">
        <v>0</v>
      </c>
      <c r="I62" s="119">
        <v>0</v>
      </c>
      <c r="J62" s="119">
        <v>0</v>
      </c>
      <c r="K62" s="119">
        <v>0</v>
      </c>
      <c r="L62" s="119">
        <v>0</v>
      </c>
      <c r="M62" s="119">
        <v>0</v>
      </c>
      <c r="N62" s="119">
        <v>0</v>
      </c>
      <c r="O62" s="119">
        <v>0</v>
      </c>
      <c r="P62" s="119">
        <v>0</v>
      </c>
      <c r="Q62" s="119">
        <v>0</v>
      </c>
      <c r="R62" s="119">
        <v>0</v>
      </c>
      <c r="S62" s="119">
        <v>0</v>
      </c>
      <c r="T62" s="119">
        <v>0</v>
      </c>
      <c r="U62" s="119">
        <v>0</v>
      </c>
      <c r="V62" s="119">
        <v>0</v>
      </c>
      <c r="W62" s="119">
        <v>0</v>
      </c>
      <c r="X62" s="119">
        <v>0</v>
      </c>
      <c r="Y62" s="119">
        <v>0</v>
      </c>
      <c r="Z62" s="119">
        <v>0</v>
      </c>
      <c r="AA62" s="119">
        <v>0</v>
      </c>
      <c r="AB62" s="123">
        <f t="shared" si="5"/>
        <v>0</v>
      </c>
      <c r="AC62" s="123">
        <f t="shared" si="7"/>
        <v>0</v>
      </c>
    </row>
    <row r="63" spans="1:29" x14ac:dyDescent="0.25">
      <c r="A63" s="57" t="s">
        <v>204</v>
      </c>
      <c r="B63" s="58" t="s">
        <v>206</v>
      </c>
      <c r="C63" s="117">
        <v>0</v>
      </c>
      <c r="D63" s="117">
        <v>0</v>
      </c>
      <c r="E63" s="117">
        <v>0</v>
      </c>
      <c r="F63" s="117">
        <v>0</v>
      </c>
      <c r="G63" s="119">
        <v>0</v>
      </c>
      <c r="H63" s="119">
        <v>0</v>
      </c>
      <c r="I63" s="119">
        <v>0</v>
      </c>
      <c r="J63" s="119">
        <v>0</v>
      </c>
      <c r="K63" s="119">
        <v>0</v>
      </c>
      <c r="L63" s="119">
        <v>0</v>
      </c>
      <c r="M63" s="119">
        <v>0</v>
      </c>
      <c r="N63" s="119">
        <v>0</v>
      </c>
      <c r="O63" s="119">
        <v>0</v>
      </c>
      <c r="P63" s="119">
        <v>0</v>
      </c>
      <c r="Q63" s="119">
        <v>0</v>
      </c>
      <c r="R63" s="119">
        <v>0</v>
      </c>
      <c r="S63" s="119">
        <v>0</v>
      </c>
      <c r="T63" s="119">
        <v>0</v>
      </c>
      <c r="U63" s="119">
        <v>0</v>
      </c>
      <c r="V63" s="119">
        <v>0</v>
      </c>
      <c r="W63" s="119">
        <v>0</v>
      </c>
      <c r="X63" s="119">
        <v>0</v>
      </c>
      <c r="Y63" s="119">
        <v>0</v>
      </c>
      <c r="Z63" s="119">
        <v>0</v>
      </c>
      <c r="AA63" s="119">
        <v>0</v>
      </c>
      <c r="AB63" s="123">
        <f t="shared" si="5"/>
        <v>0</v>
      </c>
      <c r="AC63" s="123">
        <f t="shared" si="7"/>
        <v>0</v>
      </c>
    </row>
    <row r="64" spans="1:29" ht="18.75" x14ac:dyDescent="0.25">
      <c r="A64" s="57" t="s">
        <v>205</v>
      </c>
      <c r="B64" s="56" t="s">
        <v>122</v>
      </c>
      <c r="C64" s="117">
        <v>0</v>
      </c>
      <c r="D64" s="117">
        <v>0</v>
      </c>
      <c r="E64" s="117">
        <v>0</v>
      </c>
      <c r="F64" s="117">
        <v>0</v>
      </c>
      <c r="G64" s="119">
        <v>0</v>
      </c>
      <c r="H64" s="119">
        <v>0</v>
      </c>
      <c r="I64" s="119">
        <v>0</v>
      </c>
      <c r="J64" s="119">
        <v>0</v>
      </c>
      <c r="K64" s="119">
        <v>0</v>
      </c>
      <c r="L64" s="119">
        <v>0</v>
      </c>
      <c r="M64" s="119">
        <v>0</v>
      </c>
      <c r="N64" s="119">
        <v>0</v>
      </c>
      <c r="O64" s="119">
        <v>0</v>
      </c>
      <c r="P64" s="119">
        <v>0</v>
      </c>
      <c r="Q64" s="119">
        <v>0</v>
      </c>
      <c r="R64" s="119">
        <v>0</v>
      </c>
      <c r="S64" s="119">
        <v>0</v>
      </c>
      <c r="T64" s="119">
        <v>0</v>
      </c>
      <c r="U64" s="119">
        <v>0</v>
      </c>
      <c r="V64" s="119">
        <v>0</v>
      </c>
      <c r="W64" s="119">
        <v>0</v>
      </c>
      <c r="X64" s="119">
        <v>0</v>
      </c>
      <c r="Y64" s="119">
        <v>0</v>
      </c>
      <c r="Z64" s="119">
        <v>0</v>
      </c>
      <c r="AA64" s="119">
        <v>0</v>
      </c>
      <c r="AB64" s="123">
        <f t="shared" si="5"/>
        <v>0</v>
      </c>
      <c r="AC64" s="123">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35"/>
      <c r="C66" s="435"/>
      <c r="D66" s="435"/>
      <c r="E66" s="435"/>
      <c r="F66" s="435"/>
      <c r="G66" s="435"/>
      <c r="H66" s="435"/>
      <c r="I66" s="435"/>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36"/>
      <c r="C68" s="436"/>
      <c r="D68" s="436"/>
      <c r="E68" s="436"/>
      <c r="F68" s="436"/>
      <c r="G68" s="436"/>
      <c r="H68" s="436"/>
      <c r="I68" s="436"/>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35"/>
      <c r="C70" s="435"/>
      <c r="D70" s="435"/>
      <c r="E70" s="435"/>
      <c r="F70" s="435"/>
      <c r="G70" s="435"/>
      <c r="H70" s="435"/>
      <c r="I70" s="435"/>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35"/>
      <c r="C72" s="435"/>
      <c r="D72" s="435"/>
      <c r="E72" s="435"/>
      <c r="F72" s="435"/>
      <c r="G72" s="435"/>
      <c r="H72" s="435"/>
      <c r="I72" s="435"/>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36"/>
      <c r="C73" s="436"/>
      <c r="D73" s="436"/>
      <c r="E73" s="436"/>
      <c r="F73" s="436"/>
      <c r="G73" s="436"/>
      <c r="H73" s="436"/>
      <c r="I73" s="436"/>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35"/>
      <c r="C74" s="435"/>
      <c r="D74" s="435"/>
      <c r="E74" s="435"/>
      <c r="F74" s="435"/>
      <c r="G74" s="435"/>
      <c r="H74" s="435"/>
      <c r="I74" s="435"/>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33"/>
      <c r="C75" s="433"/>
      <c r="D75" s="433"/>
      <c r="E75" s="433"/>
      <c r="F75" s="433"/>
      <c r="G75" s="433"/>
      <c r="H75" s="433"/>
      <c r="I75" s="433"/>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34"/>
      <c r="C77" s="434"/>
      <c r="D77" s="434"/>
      <c r="E77" s="434"/>
      <c r="F77" s="434"/>
      <c r="G77" s="434"/>
      <c r="H77" s="434"/>
      <c r="I77" s="434"/>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59" priority="26" operator="notEqual">
      <formula>0</formula>
    </cfRule>
  </conditionalFormatting>
  <conditionalFormatting sqref="AB24:AB64">
    <cfRule type="cellIs" dxfId="58" priority="25" operator="notEqual">
      <formula>0</formula>
    </cfRule>
  </conditionalFormatting>
  <conditionalFormatting sqref="I34 K25:M29 K46:K49 K55:K56 K51:M51 K58:M64 Q44:Q50 M46:M50 L45:L50 Q52:Q57 L52:M57 O52:O57 O35:Q43 O44:O50 O58:Q64 O51:Q51 O25:Q29 P31:Q34 K31:M44">
    <cfRule type="cellIs" dxfId="57" priority="24" operator="notEqual">
      <formula>0</formula>
    </cfRule>
  </conditionalFormatting>
  <conditionalFormatting sqref="G30:I30 K30:M30 O30:Y30">
    <cfRule type="cellIs" dxfId="56" priority="23" operator="notEqual">
      <formula>0</formula>
    </cfRule>
  </conditionalFormatting>
  <conditionalFormatting sqref="E45:I45">
    <cfRule type="cellIs" dxfId="55" priority="22" operator="notEqual">
      <formula>0</formula>
    </cfRule>
  </conditionalFormatting>
  <conditionalFormatting sqref="K45 M45">
    <cfRule type="cellIs" dxfId="54" priority="21" operator="notEqual">
      <formula>0</formula>
    </cfRule>
  </conditionalFormatting>
  <conditionalFormatting sqref="E52:I54">
    <cfRule type="cellIs" dxfId="53" priority="20" operator="notEqual">
      <formula>0</formula>
    </cfRule>
  </conditionalFormatting>
  <conditionalFormatting sqref="K52:K54">
    <cfRule type="cellIs" dxfId="52" priority="19" operator="notEqual">
      <formula>0</formula>
    </cfRule>
  </conditionalFormatting>
  <conditionalFormatting sqref="K50">
    <cfRule type="cellIs" dxfId="51" priority="17" operator="notEqual">
      <formula>0</formula>
    </cfRule>
  </conditionalFormatting>
  <conditionalFormatting sqref="K57">
    <cfRule type="cellIs" dxfId="50" priority="15" operator="notEqual">
      <formula>0</formula>
    </cfRule>
  </conditionalFormatting>
  <conditionalFormatting sqref="P44:P50">
    <cfRule type="cellIs" dxfId="49" priority="14" operator="notEqual">
      <formula>0</formula>
    </cfRule>
  </conditionalFormatting>
  <conditionalFormatting sqref="P52:P57">
    <cfRule type="cellIs" dxfId="48" priority="13" operator="notEqual">
      <formula>0</formula>
    </cfRule>
  </conditionalFormatting>
  <conditionalFormatting sqref="D24:D64">
    <cfRule type="cellIs" dxfId="47" priority="12" operator="notEqual">
      <formula>0</formula>
    </cfRule>
  </conditionalFormatting>
  <conditionalFormatting sqref="Z31:AA64 Z24:AA29">
    <cfRule type="cellIs" dxfId="46" priority="11" operator="notEqual">
      <formula>0</formula>
    </cfRule>
  </conditionalFormatting>
  <conditionalFormatting sqref="Z30:AA30">
    <cfRule type="cellIs" dxfId="45" priority="10" operator="notEqual">
      <formula>0</formula>
    </cfRule>
  </conditionalFormatting>
  <conditionalFormatting sqref="J55:J64 J46:J51 J31:J44 J24:J29">
    <cfRule type="cellIs" dxfId="44" priority="9" operator="notEqual">
      <formula>0</formula>
    </cfRule>
  </conditionalFormatting>
  <conditionalFormatting sqref="J30">
    <cfRule type="cellIs" dxfId="43" priority="8" operator="notEqual">
      <formula>0</formula>
    </cfRule>
  </conditionalFormatting>
  <conditionalFormatting sqref="J45">
    <cfRule type="cellIs" dxfId="42" priority="7" operator="notEqual">
      <formula>0</formula>
    </cfRule>
  </conditionalFormatting>
  <conditionalFormatting sqref="J52:J54">
    <cfRule type="cellIs" dxfId="41" priority="6" operator="notEqual">
      <formula>0</formula>
    </cfRule>
  </conditionalFormatting>
  <conditionalFormatting sqref="AC24:AC64">
    <cfRule type="cellIs" dxfId="40" priority="5" operator="notEqual">
      <formula>0</formula>
    </cfRule>
  </conditionalFormatting>
  <conditionalFormatting sqref="N24">
    <cfRule type="cellIs" dxfId="39" priority="4" operator="notEqual">
      <formula>0</formula>
    </cfRule>
  </conditionalFormatting>
  <conditionalFormatting sqref="N25:N29 N31:N64">
    <cfRule type="cellIs" dxfId="38" priority="3" operator="notEqual">
      <formula>0</formula>
    </cfRule>
  </conditionalFormatting>
  <conditionalFormatting sqref="N30">
    <cfRule type="cellIs" dxfId="37" priority="2" operator="notEqual">
      <formula>0</formula>
    </cfRule>
  </conditionalFormatting>
  <conditionalFormatting sqref="O31:O34">
    <cfRule type="cellIs" dxfId="3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opLeftCell="A14" zoomScale="70" zoomScaleNormal="70" zoomScaleSheetLayoutView="70" workbookViewId="0">
      <selection activeCell="E28" sqref="E28"/>
    </sheetView>
  </sheetViews>
  <sheetFormatPr defaultColWidth="9.140625" defaultRowHeight="15.75" x14ac:dyDescent="0.25"/>
  <cols>
    <col min="1" max="1" width="9.140625" style="44"/>
    <col min="2" max="2" width="57.85546875" style="44" customWidth="1"/>
    <col min="3" max="3" width="13" style="44" customWidth="1"/>
    <col min="4" max="4" width="17.85546875" style="44" customWidth="1"/>
    <col min="5" max="6" width="19" style="44" customWidth="1"/>
    <col min="7" max="10" width="12" style="44" hidden="1" customWidth="1"/>
    <col min="11" max="11" width="15.85546875" style="44" customWidth="1"/>
    <col min="12" max="19" width="9.28515625" style="44" customWidth="1"/>
    <col min="20" max="21" width="8" style="44" customWidth="1"/>
    <col min="22" max="23" width="8.5703125" style="44" customWidth="1"/>
    <col min="24" max="25" width="8" style="44" customWidth="1"/>
    <col min="26" max="27" width="8.5703125" style="44" customWidth="1"/>
    <col min="28" max="29" width="10.7109375" style="44" customWidth="1"/>
    <col min="30" max="31" width="8.5703125" style="44" customWidth="1"/>
    <col min="32" max="32" width="13.140625" style="44" customWidth="1"/>
    <col min="33" max="33" width="18.5703125" style="44" customWidth="1"/>
    <col min="34" max="16384" width="9.140625" style="44"/>
  </cols>
  <sheetData>
    <row r="1" spans="1:33" ht="18.75" x14ac:dyDescent="0.25">
      <c r="AG1" s="337" t="s">
        <v>66</v>
      </c>
    </row>
    <row r="2" spans="1:33" ht="18.75" x14ac:dyDescent="0.3">
      <c r="AG2" s="338" t="s">
        <v>8</v>
      </c>
    </row>
    <row r="3" spans="1:33" ht="18.75" x14ac:dyDescent="0.3">
      <c r="AG3" s="338" t="s">
        <v>65</v>
      </c>
    </row>
    <row r="4" spans="1:33" ht="18.75" customHeight="1" x14ac:dyDescent="0.25">
      <c r="A4" s="351" t="str">
        <f>'6.1. Паспорт сетевой график'!A5:K5</f>
        <v>Год раскрытия информации: 2021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row>
    <row r="5" spans="1:33" ht="18.75" x14ac:dyDescent="0.3">
      <c r="AG5" s="338"/>
    </row>
    <row r="6" spans="1:33" ht="18.75" x14ac:dyDescent="0.25">
      <c r="A6" s="438" t="s">
        <v>7</v>
      </c>
      <c r="B6" s="438"/>
      <c r="C6" s="438"/>
      <c r="D6" s="438"/>
      <c r="E6" s="438"/>
      <c r="F6" s="438"/>
      <c r="G6" s="438"/>
      <c r="H6" s="438"/>
      <c r="I6" s="438"/>
      <c r="J6" s="438"/>
      <c r="K6" s="438"/>
      <c r="L6" s="438"/>
      <c r="M6" s="438"/>
      <c r="N6" s="438"/>
      <c r="O6" s="438"/>
      <c r="P6" s="438"/>
      <c r="Q6" s="438"/>
      <c r="R6" s="438"/>
      <c r="S6" s="438"/>
      <c r="T6" s="438"/>
      <c r="U6" s="438"/>
      <c r="V6" s="438"/>
      <c r="W6" s="438"/>
      <c r="X6" s="438"/>
      <c r="Y6" s="438"/>
      <c r="Z6" s="438"/>
      <c r="AA6" s="438"/>
      <c r="AB6" s="438"/>
      <c r="AC6" s="438"/>
      <c r="AD6" s="438"/>
      <c r="AE6" s="438"/>
      <c r="AF6" s="438"/>
      <c r="AG6" s="438"/>
    </row>
    <row r="7" spans="1:33" ht="18.75" x14ac:dyDescent="0.25">
      <c r="A7" s="339"/>
      <c r="B7" s="339"/>
      <c r="C7" s="339"/>
      <c r="D7" s="339"/>
      <c r="E7" s="339"/>
      <c r="F7" s="339"/>
      <c r="G7" s="339"/>
      <c r="H7" s="339"/>
      <c r="I7" s="339"/>
      <c r="J7" s="339"/>
      <c r="K7" s="339"/>
      <c r="L7" s="340"/>
      <c r="M7" s="340"/>
      <c r="N7" s="340"/>
      <c r="O7" s="340"/>
      <c r="P7" s="340"/>
      <c r="Q7" s="340"/>
      <c r="R7" s="340"/>
      <c r="S7" s="340"/>
      <c r="T7" s="340"/>
      <c r="U7" s="340"/>
      <c r="V7" s="340"/>
      <c r="W7" s="340"/>
      <c r="X7" s="340"/>
      <c r="Y7" s="340"/>
      <c r="Z7" s="340"/>
      <c r="AA7" s="340"/>
      <c r="AB7" s="340"/>
      <c r="AC7" s="340"/>
      <c r="AD7" s="340"/>
      <c r="AE7" s="340"/>
      <c r="AF7" s="340"/>
      <c r="AG7" s="340"/>
    </row>
    <row r="8" spans="1:33" x14ac:dyDescent="0.25">
      <c r="A8" s="439" t="str">
        <f>'6.1. Паспорт сетевой график'!A9</f>
        <v xml:space="preserve">Акционерное общество "Западная энергетическая компания"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c r="AD8" s="439"/>
      <c r="AE8" s="439"/>
      <c r="AF8" s="439"/>
      <c r="AG8" s="439"/>
    </row>
    <row r="9" spans="1:33" ht="18.75" customHeight="1" x14ac:dyDescent="0.25">
      <c r="A9" s="437" t="s">
        <v>6</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row>
    <row r="10" spans="1:33" ht="18.75" x14ac:dyDescent="0.25">
      <c r="A10" s="339"/>
      <c r="B10" s="339"/>
      <c r="C10" s="339"/>
      <c r="D10" s="339"/>
      <c r="E10" s="339"/>
      <c r="F10" s="339"/>
      <c r="G10" s="339"/>
      <c r="H10" s="339"/>
      <c r="I10" s="339"/>
      <c r="J10" s="339"/>
      <c r="K10" s="339"/>
      <c r="L10" s="340"/>
      <c r="M10" s="340"/>
      <c r="N10" s="340"/>
      <c r="O10" s="340"/>
      <c r="P10" s="340"/>
      <c r="Q10" s="340"/>
      <c r="R10" s="340"/>
      <c r="S10" s="340"/>
      <c r="T10" s="340"/>
      <c r="U10" s="340"/>
      <c r="V10" s="340"/>
      <c r="W10" s="340"/>
      <c r="X10" s="340"/>
      <c r="Y10" s="340"/>
      <c r="Z10" s="340"/>
      <c r="AA10" s="340"/>
      <c r="AB10" s="340"/>
      <c r="AC10" s="340"/>
      <c r="AD10" s="340"/>
      <c r="AE10" s="340"/>
      <c r="AF10" s="340"/>
      <c r="AG10" s="340"/>
    </row>
    <row r="11" spans="1:33" x14ac:dyDescent="0.25">
      <c r="A11" s="439" t="str">
        <f>'6.1. Паспорт сетевой график'!A12</f>
        <v>J_19-08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c r="AD11" s="439"/>
      <c r="AE11" s="439"/>
      <c r="AF11" s="439"/>
      <c r="AG11" s="439"/>
    </row>
    <row r="12" spans="1:33" x14ac:dyDescent="0.25">
      <c r="A12" s="437" t="s">
        <v>5</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7"/>
      <c r="AF12" s="437"/>
      <c r="AG12" s="437"/>
    </row>
    <row r="13" spans="1:33" ht="16.5" customHeight="1" x14ac:dyDescent="0.3">
      <c r="A13" s="160"/>
      <c r="B13" s="160"/>
      <c r="C13" s="160"/>
      <c r="D13" s="160"/>
      <c r="E13" s="160"/>
      <c r="F13" s="160"/>
      <c r="G13" s="160"/>
      <c r="H13" s="160"/>
      <c r="I13" s="160"/>
      <c r="J13" s="160"/>
      <c r="K13" s="160"/>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40" t="str">
        <f>'6.1. Паспорт сетевой график'!A15</f>
        <v>Реконструкция ТП-4  15/0,4кВ п.Северный, Багратионовского р-на</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row>
    <row r="15" spans="1:33" ht="15.75" customHeight="1" x14ac:dyDescent="0.25">
      <c r="A15" s="437" t="s">
        <v>4</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c r="AD15" s="437"/>
      <c r="AE15" s="437"/>
      <c r="AF15" s="437"/>
      <c r="AG15" s="437"/>
    </row>
    <row r="16" spans="1:33" x14ac:dyDescent="0.25">
      <c r="A16" s="424"/>
      <c r="B16" s="424"/>
      <c r="C16" s="424"/>
      <c r="D16" s="424"/>
      <c r="E16" s="424"/>
      <c r="F16" s="424"/>
      <c r="G16" s="424"/>
      <c r="H16" s="424"/>
      <c r="I16" s="424"/>
      <c r="J16" s="424"/>
      <c r="K16" s="424"/>
      <c r="L16" s="424"/>
      <c r="M16" s="424"/>
      <c r="N16" s="424"/>
      <c r="O16" s="424"/>
      <c r="P16" s="424"/>
      <c r="Q16" s="424"/>
      <c r="R16" s="424"/>
      <c r="S16" s="424"/>
      <c r="T16" s="424"/>
      <c r="U16" s="424"/>
      <c r="V16" s="424"/>
      <c r="W16" s="424"/>
      <c r="X16" s="424"/>
      <c r="Y16" s="424"/>
      <c r="Z16" s="424"/>
      <c r="AA16" s="424"/>
      <c r="AB16" s="424"/>
      <c r="AC16" s="424"/>
      <c r="AD16" s="424"/>
      <c r="AE16" s="424"/>
      <c r="AF16" s="424"/>
      <c r="AG16" s="424"/>
    </row>
    <row r="18" spans="1:36" x14ac:dyDescent="0.25">
      <c r="A18" s="429" t="s">
        <v>393</v>
      </c>
      <c r="B18" s="429"/>
      <c r="C18" s="429"/>
      <c r="D18" s="429"/>
      <c r="E18" s="429"/>
      <c r="F18" s="429"/>
      <c r="G18" s="429"/>
      <c r="H18" s="429"/>
      <c r="I18" s="429"/>
      <c r="J18" s="429"/>
      <c r="K18" s="429"/>
      <c r="L18" s="429"/>
      <c r="M18" s="429"/>
      <c r="N18" s="429"/>
      <c r="O18" s="429"/>
      <c r="P18" s="429"/>
      <c r="Q18" s="429"/>
      <c r="R18" s="429"/>
      <c r="S18" s="429"/>
      <c r="T18" s="429"/>
      <c r="U18" s="429"/>
      <c r="V18" s="429"/>
      <c r="W18" s="429"/>
      <c r="X18" s="429"/>
      <c r="Y18" s="429"/>
      <c r="Z18" s="429"/>
      <c r="AA18" s="429"/>
      <c r="AB18" s="429"/>
      <c r="AC18" s="429"/>
      <c r="AD18" s="429"/>
      <c r="AE18" s="429"/>
      <c r="AF18" s="429"/>
      <c r="AG18" s="429"/>
    </row>
    <row r="19" spans="1:36" ht="49.5" hidden="1" customHeight="1" x14ac:dyDescent="0.25">
      <c r="E19" s="64" t="s">
        <v>555</v>
      </c>
      <c r="F19" s="64" t="s">
        <v>556</v>
      </c>
      <c r="K19" s="64" t="s">
        <v>557</v>
      </c>
      <c r="L19" s="44" t="s">
        <v>558</v>
      </c>
      <c r="P19" s="44" t="s">
        <v>559</v>
      </c>
      <c r="T19" s="44" t="s">
        <v>560</v>
      </c>
    </row>
    <row r="20" spans="1:36" ht="33" customHeight="1" x14ac:dyDescent="0.25">
      <c r="A20" s="425" t="s">
        <v>183</v>
      </c>
      <c r="B20" s="425" t="s">
        <v>182</v>
      </c>
      <c r="C20" s="420" t="s">
        <v>181</v>
      </c>
      <c r="D20" s="420"/>
      <c r="E20" s="441" t="s">
        <v>180</v>
      </c>
      <c r="F20" s="441"/>
      <c r="G20" s="425" t="s">
        <v>535</v>
      </c>
      <c r="H20" s="425" t="s">
        <v>536</v>
      </c>
      <c r="I20" s="425" t="s">
        <v>537</v>
      </c>
      <c r="J20" s="425" t="s">
        <v>538</v>
      </c>
      <c r="K20" s="425" t="s">
        <v>619</v>
      </c>
      <c r="L20" s="431">
        <v>2020</v>
      </c>
      <c r="M20" s="432"/>
      <c r="N20" s="432"/>
      <c r="O20" s="442"/>
      <c r="P20" s="431">
        <v>2021</v>
      </c>
      <c r="Q20" s="432"/>
      <c r="R20" s="432"/>
      <c r="S20" s="442"/>
      <c r="T20" s="431">
        <v>2022</v>
      </c>
      <c r="U20" s="432"/>
      <c r="V20" s="432"/>
      <c r="W20" s="442"/>
      <c r="X20" s="431">
        <v>2023</v>
      </c>
      <c r="Y20" s="432"/>
      <c r="Z20" s="432"/>
      <c r="AA20" s="442"/>
      <c r="AB20" s="431">
        <v>2024</v>
      </c>
      <c r="AC20" s="432"/>
      <c r="AD20" s="432"/>
      <c r="AE20" s="432"/>
      <c r="AF20" s="430" t="s">
        <v>179</v>
      </c>
      <c r="AG20" s="430"/>
      <c r="AH20" s="341"/>
      <c r="AI20" s="341"/>
      <c r="AJ20" s="341"/>
    </row>
    <row r="21" spans="1:36" ht="99.75" customHeight="1" x14ac:dyDescent="0.25">
      <c r="A21" s="426"/>
      <c r="B21" s="426"/>
      <c r="C21" s="420"/>
      <c r="D21" s="420"/>
      <c r="E21" s="441"/>
      <c r="F21" s="441"/>
      <c r="G21" s="426"/>
      <c r="H21" s="426"/>
      <c r="I21" s="426"/>
      <c r="J21" s="426"/>
      <c r="K21" s="426"/>
      <c r="L21" s="420" t="s">
        <v>2</v>
      </c>
      <c r="M21" s="420"/>
      <c r="N21" s="420" t="s">
        <v>540</v>
      </c>
      <c r="O21" s="420"/>
      <c r="P21" s="420" t="s">
        <v>2</v>
      </c>
      <c r="Q21" s="420"/>
      <c r="R21" s="420" t="s">
        <v>540</v>
      </c>
      <c r="S21" s="420"/>
      <c r="T21" s="420" t="s">
        <v>2</v>
      </c>
      <c r="U21" s="420"/>
      <c r="V21" s="420" t="s">
        <v>178</v>
      </c>
      <c r="W21" s="420"/>
      <c r="X21" s="420" t="s">
        <v>2</v>
      </c>
      <c r="Y21" s="420"/>
      <c r="Z21" s="420" t="s">
        <v>178</v>
      </c>
      <c r="AA21" s="420"/>
      <c r="AB21" s="420" t="s">
        <v>2</v>
      </c>
      <c r="AC21" s="420"/>
      <c r="AD21" s="420" t="s">
        <v>178</v>
      </c>
      <c r="AE21" s="420"/>
      <c r="AF21" s="430"/>
      <c r="AG21" s="430"/>
    </row>
    <row r="22" spans="1:36" ht="89.25" customHeight="1" x14ac:dyDescent="0.25">
      <c r="A22" s="427"/>
      <c r="B22" s="427"/>
      <c r="C22" s="332" t="s">
        <v>2</v>
      </c>
      <c r="D22" s="332" t="s">
        <v>178</v>
      </c>
      <c r="E22" s="64" t="s">
        <v>552</v>
      </c>
      <c r="F22" s="64" t="s">
        <v>634</v>
      </c>
      <c r="G22" s="427"/>
      <c r="H22" s="427"/>
      <c r="I22" s="427"/>
      <c r="J22" s="427"/>
      <c r="K22" s="427"/>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32" t="s">
        <v>576</v>
      </c>
      <c r="AG22" s="332" t="s">
        <v>541</v>
      </c>
    </row>
    <row r="23" spans="1:36" ht="19.5" customHeight="1" x14ac:dyDescent="0.25">
      <c r="A23" s="331">
        <v>1</v>
      </c>
      <c r="B23" s="331">
        <v>2</v>
      </c>
      <c r="C23" s="331">
        <v>3</v>
      </c>
      <c r="D23" s="331">
        <v>4</v>
      </c>
      <c r="E23" s="331">
        <v>5</v>
      </c>
      <c r="F23" s="331">
        <v>6</v>
      </c>
      <c r="G23" s="331"/>
      <c r="H23" s="331"/>
      <c r="I23" s="331"/>
      <c r="J23" s="331">
        <v>16</v>
      </c>
      <c r="K23" s="331">
        <v>7</v>
      </c>
      <c r="L23" s="331">
        <v>8</v>
      </c>
      <c r="M23" s="331">
        <v>9</v>
      </c>
      <c r="N23" s="331">
        <v>10</v>
      </c>
      <c r="O23" s="331">
        <v>11</v>
      </c>
      <c r="P23" s="331">
        <v>12</v>
      </c>
      <c r="Q23" s="331">
        <v>13</v>
      </c>
      <c r="R23" s="331">
        <v>14</v>
      </c>
      <c r="S23" s="331">
        <v>15</v>
      </c>
      <c r="T23" s="331">
        <v>16</v>
      </c>
      <c r="U23" s="331">
        <v>17</v>
      </c>
      <c r="V23" s="331">
        <v>18</v>
      </c>
      <c r="W23" s="331">
        <v>19</v>
      </c>
      <c r="X23" s="331">
        <v>20</v>
      </c>
      <c r="Y23" s="331">
        <v>21</v>
      </c>
      <c r="Z23" s="331">
        <v>22</v>
      </c>
      <c r="AA23" s="331">
        <v>23</v>
      </c>
      <c r="AB23" s="331">
        <v>24</v>
      </c>
      <c r="AC23" s="331">
        <v>25</v>
      </c>
      <c r="AD23" s="331">
        <v>26</v>
      </c>
      <c r="AE23" s="331">
        <v>27</v>
      </c>
      <c r="AF23" s="331">
        <v>28</v>
      </c>
      <c r="AG23" s="331">
        <v>29</v>
      </c>
    </row>
    <row r="24" spans="1:36" ht="47.25" customHeight="1" x14ac:dyDescent="0.25">
      <c r="A24" s="60">
        <v>1</v>
      </c>
      <c r="B24" s="59" t="s">
        <v>177</v>
      </c>
      <c r="C24" s="117">
        <v>7.922016953411986</v>
      </c>
      <c r="D24" s="117">
        <v>7.922016953411986</v>
      </c>
      <c r="E24" s="117">
        <v>7.922016953411986</v>
      </c>
      <c r="F24" s="117">
        <v>7.922016953411986</v>
      </c>
      <c r="G24" s="117">
        <v>0</v>
      </c>
      <c r="H24" s="117">
        <v>0</v>
      </c>
      <c r="I24" s="117">
        <v>0</v>
      </c>
      <c r="J24" s="117">
        <v>0</v>
      </c>
      <c r="K24" s="117">
        <v>0</v>
      </c>
      <c r="L24" s="117">
        <v>0</v>
      </c>
      <c r="M24" s="117">
        <v>0</v>
      </c>
      <c r="N24" s="117">
        <v>0</v>
      </c>
      <c r="O24" s="117">
        <v>0</v>
      </c>
      <c r="P24" s="117">
        <v>0</v>
      </c>
      <c r="Q24" s="117">
        <v>0</v>
      </c>
      <c r="R24" s="117">
        <v>0</v>
      </c>
      <c r="S24" s="117">
        <v>0</v>
      </c>
      <c r="T24" s="117">
        <v>7.922016953411986</v>
      </c>
      <c r="U24" s="117">
        <v>0</v>
      </c>
      <c r="V24" s="117">
        <v>7.922016953411986</v>
      </c>
      <c r="W24" s="117">
        <v>0</v>
      </c>
      <c r="X24" s="117">
        <v>0</v>
      </c>
      <c r="Y24" s="117">
        <v>0</v>
      </c>
      <c r="Z24" s="117">
        <v>0</v>
      </c>
      <c r="AA24" s="117">
        <v>0</v>
      </c>
      <c r="AB24" s="117">
        <v>0</v>
      </c>
      <c r="AC24" s="117">
        <v>0</v>
      </c>
      <c r="AD24" s="117">
        <v>0</v>
      </c>
      <c r="AE24" s="117">
        <v>0</v>
      </c>
      <c r="AF24" s="117">
        <v>7.922016953411986</v>
      </c>
      <c r="AG24" s="117">
        <v>7.922016953411986</v>
      </c>
    </row>
    <row r="25" spans="1:36" ht="24" customHeight="1" x14ac:dyDescent="0.25">
      <c r="A25" s="57" t="s">
        <v>176</v>
      </c>
      <c r="B25" s="33" t="s">
        <v>175</v>
      </c>
      <c r="C25" s="117">
        <v>0</v>
      </c>
      <c r="D25" s="117">
        <v>0</v>
      </c>
      <c r="E25" s="117">
        <v>0</v>
      </c>
      <c r="F25" s="117">
        <v>0</v>
      </c>
      <c r="G25" s="117">
        <v>0</v>
      </c>
      <c r="H25" s="117">
        <v>0</v>
      </c>
      <c r="I25" s="117">
        <v>0</v>
      </c>
      <c r="J25" s="117">
        <v>0</v>
      </c>
      <c r="K25" s="119">
        <v>0</v>
      </c>
      <c r="L25" s="119">
        <v>0</v>
      </c>
      <c r="M25" s="119">
        <v>0</v>
      </c>
      <c r="N25" s="119">
        <v>0</v>
      </c>
      <c r="O25" s="119">
        <v>0</v>
      </c>
      <c r="P25" s="119">
        <v>0</v>
      </c>
      <c r="Q25" s="119">
        <v>0</v>
      </c>
      <c r="R25" s="119">
        <v>0</v>
      </c>
      <c r="S25" s="119">
        <v>0</v>
      </c>
      <c r="T25" s="117">
        <v>0</v>
      </c>
      <c r="U25" s="119">
        <v>0</v>
      </c>
      <c r="V25" s="117">
        <v>0</v>
      </c>
      <c r="W25" s="119">
        <v>0</v>
      </c>
      <c r="X25" s="119">
        <v>0</v>
      </c>
      <c r="Y25" s="119">
        <v>0</v>
      </c>
      <c r="Z25" s="119">
        <v>0</v>
      </c>
      <c r="AA25" s="119">
        <v>0</v>
      </c>
      <c r="AB25" s="119">
        <v>0</v>
      </c>
      <c r="AC25" s="119">
        <v>0</v>
      </c>
      <c r="AD25" s="119">
        <v>0</v>
      </c>
      <c r="AE25" s="119">
        <v>0</v>
      </c>
      <c r="AF25" s="117">
        <v>0</v>
      </c>
      <c r="AG25" s="117">
        <v>0</v>
      </c>
    </row>
    <row r="26" spans="1:36" x14ac:dyDescent="0.25">
      <c r="A26" s="57" t="s">
        <v>174</v>
      </c>
      <c r="B26" s="33" t="s">
        <v>173</v>
      </c>
      <c r="C26" s="117">
        <v>0</v>
      </c>
      <c r="D26" s="117">
        <v>0</v>
      </c>
      <c r="E26" s="117">
        <v>0</v>
      </c>
      <c r="F26" s="117">
        <v>0</v>
      </c>
      <c r="G26" s="117">
        <v>0</v>
      </c>
      <c r="H26" s="117">
        <v>0</v>
      </c>
      <c r="I26" s="117">
        <v>0</v>
      </c>
      <c r="J26" s="117">
        <v>0</v>
      </c>
      <c r="K26" s="119">
        <v>0</v>
      </c>
      <c r="L26" s="119">
        <v>0</v>
      </c>
      <c r="M26" s="119">
        <v>0</v>
      </c>
      <c r="N26" s="119">
        <v>0</v>
      </c>
      <c r="O26" s="119">
        <v>0</v>
      </c>
      <c r="P26" s="119">
        <v>0</v>
      </c>
      <c r="Q26" s="119">
        <v>0</v>
      </c>
      <c r="R26" s="119">
        <v>0</v>
      </c>
      <c r="S26" s="119">
        <v>0</v>
      </c>
      <c r="T26" s="117">
        <v>0</v>
      </c>
      <c r="U26" s="119">
        <v>0</v>
      </c>
      <c r="V26" s="117">
        <v>0</v>
      </c>
      <c r="W26" s="119">
        <v>0</v>
      </c>
      <c r="X26" s="119">
        <v>0</v>
      </c>
      <c r="Y26" s="119">
        <v>0</v>
      </c>
      <c r="Z26" s="119">
        <v>0</v>
      </c>
      <c r="AA26" s="119">
        <v>0</v>
      </c>
      <c r="AB26" s="119">
        <v>0</v>
      </c>
      <c r="AC26" s="119">
        <v>0</v>
      </c>
      <c r="AD26" s="119">
        <v>0</v>
      </c>
      <c r="AE26" s="119">
        <v>0</v>
      </c>
      <c r="AF26" s="117">
        <v>0</v>
      </c>
      <c r="AG26" s="117">
        <v>0</v>
      </c>
    </row>
    <row r="27" spans="1:36" ht="31.5" x14ac:dyDescent="0.25">
      <c r="A27" s="57" t="s">
        <v>172</v>
      </c>
      <c r="B27" s="33" t="s">
        <v>356</v>
      </c>
      <c r="C27" s="117">
        <v>7.922016953411986</v>
      </c>
      <c r="D27" s="117">
        <v>7.922016953411986</v>
      </c>
      <c r="E27" s="117">
        <v>7.922016953411986</v>
      </c>
      <c r="F27" s="117">
        <v>7.922016953411986</v>
      </c>
      <c r="G27" s="117">
        <v>0</v>
      </c>
      <c r="H27" s="117">
        <v>0</v>
      </c>
      <c r="I27" s="117">
        <v>0</v>
      </c>
      <c r="J27" s="117">
        <v>0</v>
      </c>
      <c r="K27" s="119">
        <v>0</v>
      </c>
      <c r="L27" s="119">
        <v>0</v>
      </c>
      <c r="M27" s="119">
        <v>0</v>
      </c>
      <c r="N27" s="119">
        <v>0</v>
      </c>
      <c r="O27" s="119">
        <v>0</v>
      </c>
      <c r="P27" s="119">
        <v>0</v>
      </c>
      <c r="Q27" s="119">
        <v>0</v>
      </c>
      <c r="R27" s="119">
        <v>0</v>
      </c>
      <c r="S27" s="119">
        <v>0</v>
      </c>
      <c r="T27" s="117">
        <v>7.922016953411986</v>
      </c>
      <c r="U27" s="119">
        <v>0</v>
      </c>
      <c r="V27" s="117">
        <v>7.922016953411986</v>
      </c>
      <c r="W27" s="119">
        <v>0</v>
      </c>
      <c r="X27" s="119">
        <v>0</v>
      </c>
      <c r="Y27" s="119">
        <v>0</v>
      </c>
      <c r="Z27" s="119">
        <v>0</v>
      </c>
      <c r="AA27" s="119">
        <v>0</v>
      </c>
      <c r="AB27" s="119">
        <v>0</v>
      </c>
      <c r="AC27" s="119">
        <v>0</v>
      </c>
      <c r="AD27" s="119">
        <v>0</v>
      </c>
      <c r="AE27" s="119">
        <v>0</v>
      </c>
      <c r="AF27" s="117">
        <v>7.922016953411986</v>
      </c>
      <c r="AG27" s="117">
        <v>7.922016953411986</v>
      </c>
    </row>
    <row r="28" spans="1:36" x14ac:dyDescent="0.25">
      <c r="A28" s="57" t="s">
        <v>171</v>
      </c>
      <c r="B28" s="33" t="s">
        <v>543</v>
      </c>
      <c r="C28" s="117">
        <v>0</v>
      </c>
      <c r="D28" s="117">
        <v>0</v>
      </c>
      <c r="E28" s="117">
        <v>0</v>
      </c>
      <c r="F28" s="117">
        <v>0</v>
      </c>
      <c r="G28" s="117">
        <v>0</v>
      </c>
      <c r="H28" s="117">
        <v>0</v>
      </c>
      <c r="I28" s="117">
        <v>0</v>
      </c>
      <c r="J28" s="117">
        <v>0</v>
      </c>
      <c r="K28" s="119">
        <v>0</v>
      </c>
      <c r="L28" s="119">
        <v>0</v>
      </c>
      <c r="M28" s="119">
        <v>0</v>
      </c>
      <c r="N28" s="119">
        <v>0</v>
      </c>
      <c r="O28" s="119">
        <v>0</v>
      </c>
      <c r="P28" s="119">
        <v>0</v>
      </c>
      <c r="Q28" s="119">
        <v>0</v>
      </c>
      <c r="R28" s="119">
        <v>0</v>
      </c>
      <c r="S28" s="119">
        <v>0</v>
      </c>
      <c r="T28" s="117">
        <v>0</v>
      </c>
      <c r="U28" s="119">
        <v>0</v>
      </c>
      <c r="V28" s="117">
        <v>0</v>
      </c>
      <c r="W28" s="119">
        <v>0</v>
      </c>
      <c r="X28" s="119">
        <v>0</v>
      </c>
      <c r="Y28" s="119">
        <v>0</v>
      </c>
      <c r="Z28" s="119">
        <v>0</v>
      </c>
      <c r="AA28" s="119">
        <v>0</v>
      </c>
      <c r="AB28" s="119">
        <v>0</v>
      </c>
      <c r="AC28" s="119">
        <v>0</v>
      </c>
      <c r="AD28" s="119">
        <v>0</v>
      </c>
      <c r="AE28" s="119">
        <v>0</v>
      </c>
      <c r="AF28" s="117">
        <v>0</v>
      </c>
      <c r="AG28" s="117">
        <v>0</v>
      </c>
    </row>
    <row r="29" spans="1:36" x14ac:dyDescent="0.25">
      <c r="A29" s="57" t="s">
        <v>169</v>
      </c>
      <c r="B29" s="61" t="s">
        <v>168</v>
      </c>
      <c r="C29" s="117">
        <v>0</v>
      </c>
      <c r="D29" s="117">
        <v>0</v>
      </c>
      <c r="E29" s="117">
        <v>0</v>
      </c>
      <c r="F29" s="117">
        <v>0</v>
      </c>
      <c r="G29" s="117">
        <v>0</v>
      </c>
      <c r="H29" s="117">
        <v>0</v>
      </c>
      <c r="I29" s="117">
        <v>0</v>
      </c>
      <c r="J29" s="117">
        <v>0</v>
      </c>
      <c r="K29" s="119">
        <v>0</v>
      </c>
      <c r="L29" s="119">
        <v>0</v>
      </c>
      <c r="M29" s="119">
        <v>0</v>
      </c>
      <c r="N29" s="119">
        <v>0</v>
      </c>
      <c r="O29" s="119">
        <v>0</v>
      </c>
      <c r="P29" s="119">
        <v>0</v>
      </c>
      <c r="Q29" s="119">
        <v>0</v>
      </c>
      <c r="R29" s="119">
        <v>0</v>
      </c>
      <c r="S29" s="119">
        <v>0</v>
      </c>
      <c r="T29" s="119">
        <v>0</v>
      </c>
      <c r="U29" s="119">
        <v>0</v>
      </c>
      <c r="V29" s="119">
        <v>0</v>
      </c>
      <c r="W29" s="119">
        <v>0</v>
      </c>
      <c r="X29" s="119">
        <v>0</v>
      </c>
      <c r="Y29" s="119">
        <v>0</v>
      </c>
      <c r="Z29" s="119">
        <v>0</v>
      </c>
      <c r="AA29" s="119">
        <v>0</v>
      </c>
      <c r="AB29" s="119">
        <v>0</v>
      </c>
      <c r="AC29" s="119">
        <v>0</v>
      </c>
      <c r="AD29" s="119">
        <v>0</v>
      </c>
      <c r="AE29" s="119">
        <v>0</v>
      </c>
      <c r="AF29" s="117">
        <v>0</v>
      </c>
      <c r="AG29" s="117">
        <v>0</v>
      </c>
    </row>
    <row r="30" spans="1:36" s="342" customFormat="1" ht="47.25" x14ac:dyDescent="0.25">
      <c r="A30" s="60" t="s">
        <v>61</v>
      </c>
      <c r="B30" s="59" t="s">
        <v>167</v>
      </c>
      <c r="C30" s="117">
        <v>6.6016807945099885</v>
      </c>
      <c r="D30" s="117">
        <v>6.6016807945099885</v>
      </c>
      <c r="E30" s="117">
        <v>6.6016807945099885</v>
      </c>
      <c r="F30" s="117">
        <v>6.6016807945099885</v>
      </c>
      <c r="G30" s="117">
        <v>0</v>
      </c>
      <c r="H30" s="117">
        <v>0</v>
      </c>
      <c r="I30" s="117">
        <v>0</v>
      </c>
      <c r="J30" s="117">
        <v>0</v>
      </c>
      <c r="K30" s="117">
        <v>0</v>
      </c>
      <c r="L30" s="117">
        <v>0</v>
      </c>
      <c r="M30" s="117">
        <v>0</v>
      </c>
      <c r="N30" s="117">
        <v>0</v>
      </c>
      <c r="O30" s="117">
        <v>0</v>
      </c>
      <c r="P30" s="117">
        <v>0</v>
      </c>
      <c r="Q30" s="117">
        <v>0</v>
      </c>
      <c r="R30" s="117">
        <v>0</v>
      </c>
      <c r="S30" s="117">
        <v>0</v>
      </c>
      <c r="T30" s="117">
        <v>6.6016807945099885</v>
      </c>
      <c r="U30" s="117">
        <v>0</v>
      </c>
      <c r="V30" s="117">
        <v>6.6016807945099885</v>
      </c>
      <c r="W30" s="117">
        <v>0</v>
      </c>
      <c r="X30" s="117">
        <v>0</v>
      </c>
      <c r="Y30" s="117">
        <v>0</v>
      </c>
      <c r="Z30" s="117">
        <v>0</v>
      </c>
      <c r="AA30" s="117">
        <v>0</v>
      </c>
      <c r="AB30" s="117">
        <v>0</v>
      </c>
      <c r="AC30" s="117">
        <v>0</v>
      </c>
      <c r="AD30" s="117">
        <v>0</v>
      </c>
      <c r="AE30" s="117">
        <v>0</v>
      </c>
      <c r="AF30" s="117">
        <v>6.6016807945099885</v>
      </c>
      <c r="AG30" s="117">
        <v>6.6016807945099885</v>
      </c>
    </row>
    <row r="31" spans="1:36" x14ac:dyDescent="0.25">
      <c r="A31" s="60" t="s">
        <v>166</v>
      </c>
      <c r="B31" s="33" t="s">
        <v>165</v>
      </c>
      <c r="C31" s="117">
        <v>2.2577987373227999</v>
      </c>
      <c r="D31" s="117">
        <v>2.2577987373227999</v>
      </c>
      <c r="E31" s="117">
        <v>2.2577987373227999</v>
      </c>
      <c r="F31" s="117">
        <v>2.2577987373227999</v>
      </c>
      <c r="G31" s="117">
        <v>0</v>
      </c>
      <c r="H31" s="117">
        <v>0</v>
      </c>
      <c r="I31" s="117">
        <v>0</v>
      </c>
      <c r="J31" s="117">
        <v>0</v>
      </c>
      <c r="K31" s="119">
        <v>0</v>
      </c>
      <c r="L31" s="117">
        <v>2.2577987373227999</v>
      </c>
      <c r="M31" s="119">
        <v>0</v>
      </c>
      <c r="N31" s="117">
        <v>2.2577987373227999</v>
      </c>
      <c r="O31" s="119">
        <v>0</v>
      </c>
      <c r="P31" s="119">
        <v>0</v>
      </c>
      <c r="Q31" s="119">
        <v>0</v>
      </c>
      <c r="R31" s="117">
        <v>0</v>
      </c>
      <c r="S31" s="119">
        <v>0</v>
      </c>
      <c r="T31" s="117">
        <v>2.2577987373227999</v>
      </c>
      <c r="U31" s="119">
        <v>0</v>
      </c>
      <c r="V31" s="117">
        <v>2.2577987373227999</v>
      </c>
      <c r="W31" s="119">
        <v>0</v>
      </c>
      <c r="X31" s="119">
        <v>0</v>
      </c>
      <c r="Y31" s="119">
        <v>0</v>
      </c>
      <c r="Z31" s="119">
        <v>0</v>
      </c>
      <c r="AA31" s="119">
        <v>0</v>
      </c>
      <c r="AB31" s="119">
        <v>0</v>
      </c>
      <c r="AC31" s="119">
        <v>0</v>
      </c>
      <c r="AD31" s="119">
        <v>0</v>
      </c>
      <c r="AE31" s="119">
        <v>0</v>
      </c>
      <c r="AF31" s="117">
        <v>4.5155974746455998</v>
      </c>
      <c r="AG31" s="117">
        <v>4.5155974746455998</v>
      </c>
    </row>
    <row r="32" spans="1:36" ht="31.5" x14ac:dyDescent="0.25">
      <c r="A32" s="60" t="s">
        <v>164</v>
      </c>
      <c r="B32" s="33" t="s">
        <v>163</v>
      </c>
      <c r="C32" s="117">
        <v>0.86499925113456533</v>
      </c>
      <c r="D32" s="117">
        <v>0.86499925113456533</v>
      </c>
      <c r="E32" s="117">
        <v>0.86499925113456533</v>
      </c>
      <c r="F32" s="117">
        <v>0.86499925113456533</v>
      </c>
      <c r="G32" s="117">
        <v>0</v>
      </c>
      <c r="H32" s="117">
        <v>0</v>
      </c>
      <c r="I32" s="117">
        <v>0</v>
      </c>
      <c r="J32" s="117">
        <v>0</v>
      </c>
      <c r="K32" s="119">
        <v>0</v>
      </c>
      <c r="L32" s="117">
        <v>0</v>
      </c>
      <c r="M32" s="119">
        <v>0</v>
      </c>
      <c r="N32" s="117">
        <v>0</v>
      </c>
      <c r="O32" s="119">
        <v>0</v>
      </c>
      <c r="P32" s="119">
        <v>0</v>
      </c>
      <c r="Q32" s="119">
        <v>0</v>
      </c>
      <c r="R32" s="117">
        <v>0</v>
      </c>
      <c r="S32" s="119">
        <v>0</v>
      </c>
      <c r="T32" s="117">
        <v>0.86499925113456533</v>
      </c>
      <c r="U32" s="119">
        <v>0</v>
      </c>
      <c r="V32" s="117">
        <v>0.86499925113456533</v>
      </c>
      <c r="W32" s="119">
        <v>0</v>
      </c>
      <c r="X32" s="119">
        <v>0</v>
      </c>
      <c r="Y32" s="119">
        <v>0</v>
      </c>
      <c r="Z32" s="119">
        <v>0</v>
      </c>
      <c r="AA32" s="119">
        <v>0</v>
      </c>
      <c r="AB32" s="119">
        <v>0</v>
      </c>
      <c r="AC32" s="119">
        <v>0</v>
      </c>
      <c r="AD32" s="119">
        <v>0</v>
      </c>
      <c r="AE32" s="119">
        <v>0</v>
      </c>
      <c r="AF32" s="117">
        <v>0.86499925113456533</v>
      </c>
      <c r="AG32" s="117">
        <v>0.86499925113456533</v>
      </c>
    </row>
    <row r="33" spans="1:33" x14ac:dyDescent="0.25">
      <c r="A33" s="60" t="s">
        <v>162</v>
      </c>
      <c r="B33" s="33" t="s">
        <v>161</v>
      </c>
      <c r="C33" s="117">
        <v>3.4691116332378886</v>
      </c>
      <c r="D33" s="117">
        <v>3.4691116332378886</v>
      </c>
      <c r="E33" s="117">
        <v>3.4691116332378886</v>
      </c>
      <c r="F33" s="117">
        <v>3.4691116332378886</v>
      </c>
      <c r="G33" s="117">
        <v>0</v>
      </c>
      <c r="H33" s="117">
        <v>0</v>
      </c>
      <c r="I33" s="117">
        <v>0</v>
      </c>
      <c r="J33" s="117">
        <v>0</v>
      </c>
      <c r="K33" s="119">
        <v>0</v>
      </c>
      <c r="L33" s="117">
        <v>0</v>
      </c>
      <c r="M33" s="119">
        <v>0</v>
      </c>
      <c r="N33" s="117">
        <v>0</v>
      </c>
      <c r="O33" s="119">
        <v>0</v>
      </c>
      <c r="P33" s="119">
        <v>0</v>
      </c>
      <c r="Q33" s="119">
        <v>0</v>
      </c>
      <c r="R33" s="117">
        <v>0</v>
      </c>
      <c r="S33" s="119">
        <v>0</v>
      </c>
      <c r="T33" s="117">
        <v>3.4691116332378886</v>
      </c>
      <c r="U33" s="119">
        <v>0</v>
      </c>
      <c r="V33" s="117">
        <v>3.4691116332378886</v>
      </c>
      <c r="W33" s="119">
        <v>0</v>
      </c>
      <c r="X33" s="119">
        <v>0</v>
      </c>
      <c r="Y33" s="119">
        <v>0</v>
      </c>
      <c r="Z33" s="119">
        <v>0</v>
      </c>
      <c r="AA33" s="119">
        <v>0</v>
      </c>
      <c r="AB33" s="119">
        <v>0</v>
      </c>
      <c r="AC33" s="119">
        <v>0</v>
      </c>
      <c r="AD33" s="119">
        <v>0</v>
      </c>
      <c r="AE33" s="119">
        <v>0</v>
      </c>
      <c r="AF33" s="117">
        <v>3.4691116332378886</v>
      </c>
      <c r="AG33" s="117">
        <v>3.4691116332378886</v>
      </c>
    </row>
    <row r="34" spans="1:33" x14ac:dyDescent="0.25">
      <c r="A34" s="60" t="s">
        <v>160</v>
      </c>
      <c r="B34" s="33" t="s">
        <v>159</v>
      </c>
      <c r="C34" s="117">
        <v>9.7711728147350501E-3</v>
      </c>
      <c r="D34" s="117">
        <v>9.7711728147350501E-3</v>
      </c>
      <c r="E34" s="117">
        <v>9.7711728147350501E-3</v>
      </c>
      <c r="F34" s="117">
        <v>9.7711728147350501E-3</v>
      </c>
      <c r="G34" s="117">
        <v>0</v>
      </c>
      <c r="H34" s="117">
        <v>0</v>
      </c>
      <c r="I34" s="117">
        <v>0</v>
      </c>
      <c r="J34" s="117">
        <v>0</v>
      </c>
      <c r="K34" s="119">
        <v>0</v>
      </c>
      <c r="L34" s="117">
        <v>0</v>
      </c>
      <c r="M34" s="119">
        <v>0</v>
      </c>
      <c r="N34" s="117">
        <v>0</v>
      </c>
      <c r="O34" s="119">
        <v>0</v>
      </c>
      <c r="P34" s="119">
        <v>0</v>
      </c>
      <c r="Q34" s="119">
        <v>0</v>
      </c>
      <c r="R34" s="117">
        <v>0</v>
      </c>
      <c r="S34" s="119">
        <v>0</v>
      </c>
      <c r="T34" s="117">
        <v>9.7711728147350501E-3</v>
      </c>
      <c r="U34" s="119">
        <v>0</v>
      </c>
      <c r="V34" s="117">
        <v>9.7711728147350501E-3</v>
      </c>
      <c r="W34" s="119">
        <v>0</v>
      </c>
      <c r="X34" s="119">
        <v>0</v>
      </c>
      <c r="Y34" s="119">
        <v>0</v>
      </c>
      <c r="Z34" s="119">
        <v>0</v>
      </c>
      <c r="AA34" s="119">
        <v>0</v>
      </c>
      <c r="AB34" s="119">
        <v>0</v>
      </c>
      <c r="AC34" s="119">
        <v>0</v>
      </c>
      <c r="AD34" s="119">
        <v>0</v>
      </c>
      <c r="AE34" s="119">
        <v>0</v>
      </c>
      <c r="AF34" s="117">
        <v>9.7711728147350501E-3</v>
      </c>
      <c r="AG34" s="117">
        <v>9.7711728147350501E-3</v>
      </c>
    </row>
    <row r="35" spans="1:33" s="342" customFormat="1" ht="31.5" x14ac:dyDescent="0.25">
      <c r="A35" s="60" t="s">
        <v>60</v>
      </c>
      <c r="B35" s="59" t="s">
        <v>158</v>
      </c>
      <c r="C35" s="117">
        <v>0</v>
      </c>
      <c r="D35" s="117">
        <v>0</v>
      </c>
      <c r="E35" s="117">
        <v>0</v>
      </c>
      <c r="F35" s="117">
        <v>0</v>
      </c>
      <c r="G35" s="117">
        <v>0</v>
      </c>
      <c r="H35" s="117">
        <v>0</v>
      </c>
      <c r="I35" s="117">
        <v>0</v>
      </c>
      <c r="J35" s="117">
        <v>0</v>
      </c>
      <c r="K35" s="117">
        <v>0</v>
      </c>
      <c r="L35" s="117">
        <v>0</v>
      </c>
      <c r="M35" s="117">
        <v>0</v>
      </c>
      <c r="N35" s="117">
        <v>0</v>
      </c>
      <c r="O35" s="117">
        <v>0</v>
      </c>
      <c r="P35" s="117">
        <v>0</v>
      </c>
      <c r="Q35" s="117">
        <v>0</v>
      </c>
      <c r="R35" s="117">
        <v>0</v>
      </c>
      <c r="S35" s="117">
        <v>0</v>
      </c>
      <c r="T35" s="117">
        <v>0</v>
      </c>
      <c r="U35" s="117">
        <v>0</v>
      </c>
      <c r="V35" s="117">
        <v>0</v>
      </c>
      <c r="W35" s="117">
        <v>0</v>
      </c>
      <c r="X35" s="117">
        <v>0</v>
      </c>
      <c r="Y35" s="117">
        <v>0</v>
      </c>
      <c r="Z35" s="117">
        <v>0</v>
      </c>
      <c r="AA35" s="117">
        <v>0</v>
      </c>
      <c r="AB35" s="117">
        <v>0</v>
      </c>
      <c r="AC35" s="117">
        <v>0</v>
      </c>
      <c r="AD35" s="117">
        <v>0</v>
      </c>
      <c r="AE35" s="117">
        <v>0</v>
      </c>
      <c r="AF35" s="117">
        <v>0</v>
      </c>
      <c r="AG35" s="117">
        <v>0</v>
      </c>
    </row>
    <row r="36" spans="1:33" ht="31.5" x14ac:dyDescent="0.25">
      <c r="A36" s="57" t="s">
        <v>157</v>
      </c>
      <c r="B36" s="343" t="s">
        <v>156</v>
      </c>
      <c r="C36" s="117">
        <v>0</v>
      </c>
      <c r="D36" s="117">
        <v>0</v>
      </c>
      <c r="E36" s="117">
        <v>0</v>
      </c>
      <c r="F36" s="117">
        <v>0</v>
      </c>
      <c r="G36" s="117">
        <v>0</v>
      </c>
      <c r="H36" s="117">
        <v>0</v>
      </c>
      <c r="I36" s="117">
        <v>0</v>
      </c>
      <c r="J36" s="117">
        <v>0</v>
      </c>
      <c r="K36" s="119">
        <v>0</v>
      </c>
      <c r="L36" s="117">
        <v>0</v>
      </c>
      <c r="M36" s="119">
        <v>0</v>
      </c>
      <c r="N36" s="117">
        <v>0</v>
      </c>
      <c r="O36" s="119">
        <v>0</v>
      </c>
      <c r="P36" s="119">
        <v>0</v>
      </c>
      <c r="Q36" s="119">
        <v>0</v>
      </c>
      <c r="R36" s="117">
        <v>0</v>
      </c>
      <c r="S36" s="119">
        <v>0</v>
      </c>
      <c r="T36" s="119">
        <v>0</v>
      </c>
      <c r="U36" s="119">
        <v>0</v>
      </c>
      <c r="V36" s="119">
        <v>0</v>
      </c>
      <c r="W36" s="119">
        <v>0</v>
      </c>
      <c r="X36" s="119">
        <v>0</v>
      </c>
      <c r="Y36" s="119">
        <v>0</v>
      </c>
      <c r="Z36" s="119">
        <v>0</v>
      </c>
      <c r="AA36" s="119">
        <v>0</v>
      </c>
      <c r="AB36" s="117">
        <v>0</v>
      </c>
      <c r="AC36" s="119">
        <v>0</v>
      </c>
      <c r="AD36" s="119">
        <v>0</v>
      </c>
      <c r="AE36" s="119">
        <v>0</v>
      </c>
      <c r="AF36" s="117">
        <v>0</v>
      </c>
      <c r="AG36" s="117">
        <v>0</v>
      </c>
    </row>
    <row r="37" spans="1:33" x14ac:dyDescent="0.25">
      <c r="A37" s="57" t="s">
        <v>155</v>
      </c>
      <c r="B37" s="343" t="s">
        <v>145</v>
      </c>
      <c r="C37" s="117">
        <v>0.5</v>
      </c>
      <c r="D37" s="117">
        <v>0.5</v>
      </c>
      <c r="E37" s="117">
        <v>0.5</v>
      </c>
      <c r="F37" s="117">
        <v>0.5</v>
      </c>
      <c r="G37" s="117">
        <v>0</v>
      </c>
      <c r="H37" s="117">
        <v>0</v>
      </c>
      <c r="I37" s="117">
        <v>0</v>
      </c>
      <c r="J37" s="117">
        <v>0</v>
      </c>
      <c r="K37" s="119">
        <v>0</v>
      </c>
      <c r="L37" s="117">
        <v>0</v>
      </c>
      <c r="M37" s="119">
        <v>0</v>
      </c>
      <c r="N37" s="117">
        <v>0</v>
      </c>
      <c r="O37" s="119">
        <v>0</v>
      </c>
      <c r="P37" s="119">
        <v>0</v>
      </c>
      <c r="Q37" s="119">
        <v>0</v>
      </c>
      <c r="R37" s="117">
        <v>0</v>
      </c>
      <c r="S37" s="119">
        <v>0</v>
      </c>
      <c r="T37" s="119">
        <v>0.5</v>
      </c>
      <c r="U37" s="119">
        <v>0</v>
      </c>
      <c r="V37" s="119">
        <v>0.5</v>
      </c>
      <c r="W37" s="119">
        <v>0</v>
      </c>
      <c r="X37" s="119">
        <v>0</v>
      </c>
      <c r="Y37" s="119">
        <v>0</v>
      </c>
      <c r="Z37" s="119">
        <v>0</v>
      </c>
      <c r="AA37" s="119">
        <v>0</v>
      </c>
      <c r="AB37" s="117">
        <v>0</v>
      </c>
      <c r="AC37" s="119">
        <v>0</v>
      </c>
      <c r="AD37" s="119">
        <v>0</v>
      </c>
      <c r="AE37" s="119">
        <v>0</v>
      </c>
      <c r="AF37" s="117">
        <v>0.5</v>
      </c>
      <c r="AG37" s="117">
        <v>0.5</v>
      </c>
    </row>
    <row r="38" spans="1:33" x14ac:dyDescent="0.25">
      <c r="A38" s="57" t="s">
        <v>154</v>
      </c>
      <c r="B38" s="343" t="s">
        <v>143</v>
      </c>
      <c r="C38" s="117">
        <v>0</v>
      </c>
      <c r="D38" s="117">
        <v>0</v>
      </c>
      <c r="E38" s="117">
        <v>0</v>
      </c>
      <c r="F38" s="117">
        <v>0</v>
      </c>
      <c r="G38" s="117">
        <v>0</v>
      </c>
      <c r="H38" s="117">
        <v>0</v>
      </c>
      <c r="I38" s="117">
        <v>0</v>
      </c>
      <c r="J38" s="117">
        <v>0</v>
      </c>
      <c r="K38" s="119">
        <v>0</v>
      </c>
      <c r="L38" s="117">
        <v>0</v>
      </c>
      <c r="M38" s="119">
        <v>0</v>
      </c>
      <c r="N38" s="117">
        <v>0</v>
      </c>
      <c r="O38" s="119">
        <v>0</v>
      </c>
      <c r="P38" s="119">
        <v>0</v>
      </c>
      <c r="Q38" s="119">
        <v>0</v>
      </c>
      <c r="R38" s="117">
        <v>0</v>
      </c>
      <c r="S38" s="119">
        <v>0</v>
      </c>
      <c r="T38" s="119">
        <v>0</v>
      </c>
      <c r="U38" s="119">
        <v>0</v>
      </c>
      <c r="V38" s="119">
        <v>0</v>
      </c>
      <c r="W38" s="119">
        <v>0</v>
      </c>
      <c r="X38" s="119">
        <v>0</v>
      </c>
      <c r="Y38" s="119">
        <v>0</v>
      </c>
      <c r="Z38" s="119">
        <v>0</v>
      </c>
      <c r="AA38" s="119">
        <v>0</v>
      </c>
      <c r="AB38" s="117">
        <v>0</v>
      </c>
      <c r="AC38" s="119">
        <v>0</v>
      </c>
      <c r="AD38" s="119">
        <v>0</v>
      </c>
      <c r="AE38" s="119">
        <v>0</v>
      </c>
      <c r="AF38" s="117">
        <v>0</v>
      </c>
      <c r="AG38" s="117">
        <v>0</v>
      </c>
    </row>
    <row r="39" spans="1:33" ht="31.5" x14ac:dyDescent="0.25">
      <c r="A39" s="57" t="s">
        <v>153</v>
      </c>
      <c r="B39" s="33" t="s">
        <v>141</v>
      </c>
      <c r="C39" s="117">
        <v>0</v>
      </c>
      <c r="D39" s="117">
        <v>0</v>
      </c>
      <c r="E39" s="117">
        <v>0</v>
      </c>
      <c r="F39" s="117">
        <v>0</v>
      </c>
      <c r="G39" s="117">
        <v>0</v>
      </c>
      <c r="H39" s="117">
        <v>0</v>
      </c>
      <c r="I39" s="117">
        <v>0</v>
      </c>
      <c r="J39" s="117">
        <v>0</v>
      </c>
      <c r="K39" s="119">
        <v>0</v>
      </c>
      <c r="L39" s="117">
        <v>0</v>
      </c>
      <c r="M39" s="119">
        <v>0</v>
      </c>
      <c r="N39" s="117">
        <v>0</v>
      </c>
      <c r="O39" s="119">
        <v>0</v>
      </c>
      <c r="P39" s="119">
        <v>0</v>
      </c>
      <c r="Q39" s="119">
        <v>0</v>
      </c>
      <c r="R39" s="117">
        <v>0</v>
      </c>
      <c r="S39" s="119">
        <v>0</v>
      </c>
      <c r="T39" s="119">
        <v>0</v>
      </c>
      <c r="U39" s="119">
        <v>0</v>
      </c>
      <c r="V39" s="119">
        <v>0</v>
      </c>
      <c r="W39" s="119">
        <v>0</v>
      </c>
      <c r="X39" s="119">
        <v>0</v>
      </c>
      <c r="Y39" s="119">
        <v>0</v>
      </c>
      <c r="Z39" s="119">
        <v>0</v>
      </c>
      <c r="AA39" s="119">
        <v>0</v>
      </c>
      <c r="AB39" s="117">
        <v>0</v>
      </c>
      <c r="AC39" s="119">
        <v>0</v>
      </c>
      <c r="AD39" s="119">
        <v>0</v>
      </c>
      <c r="AE39" s="119">
        <v>0</v>
      </c>
      <c r="AF39" s="117">
        <v>0</v>
      </c>
      <c r="AG39" s="117">
        <v>0</v>
      </c>
    </row>
    <row r="40" spans="1:33" ht="31.5" x14ac:dyDescent="0.25">
      <c r="A40" s="57" t="s">
        <v>152</v>
      </c>
      <c r="B40" s="33" t="s">
        <v>139</v>
      </c>
      <c r="C40" s="117">
        <v>0</v>
      </c>
      <c r="D40" s="117">
        <v>0</v>
      </c>
      <c r="E40" s="117">
        <v>0</v>
      </c>
      <c r="F40" s="117">
        <v>0</v>
      </c>
      <c r="G40" s="117">
        <v>0</v>
      </c>
      <c r="H40" s="117">
        <v>0</v>
      </c>
      <c r="I40" s="117">
        <v>0</v>
      </c>
      <c r="J40" s="117">
        <v>0</v>
      </c>
      <c r="K40" s="119">
        <v>0</v>
      </c>
      <c r="L40" s="117">
        <v>0</v>
      </c>
      <c r="M40" s="119">
        <v>0</v>
      </c>
      <c r="N40" s="117">
        <v>0</v>
      </c>
      <c r="O40" s="119">
        <v>0</v>
      </c>
      <c r="P40" s="119">
        <v>0</v>
      </c>
      <c r="Q40" s="119">
        <v>0</v>
      </c>
      <c r="R40" s="117">
        <v>0</v>
      </c>
      <c r="S40" s="119">
        <v>0</v>
      </c>
      <c r="T40" s="119">
        <v>0</v>
      </c>
      <c r="U40" s="119">
        <v>0</v>
      </c>
      <c r="V40" s="119">
        <v>0</v>
      </c>
      <c r="W40" s="119">
        <v>0</v>
      </c>
      <c r="X40" s="119">
        <v>0</v>
      </c>
      <c r="Y40" s="119">
        <v>0</v>
      </c>
      <c r="Z40" s="119">
        <v>0</v>
      </c>
      <c r="AA40" s="119">
        <v>0</v>
      </c>
      <c r="AB40" s="117">
        <v>0</v>
      </c>
      <c r="AC40" s="119">
        <v>0</v>
      </c>
      <c r="AD40" s="119">
        <v>0</v>
      </c>
      <c r="AE40" s="119">
        <v>0</v>
      </c>
      <c r="AF40" s="117">
        <v>0</v>
      </c>
      <c r="AG40" s="117">
        <v>0</v>
      </c>
    </row>
    <row r="41" spans="1:33" x14ac:dyDescent="0.25">
      <c r="A41" s="57" t="s">
        <v>151</v>
      </c>
      <c r="B41" s="33" t="s">
        <v>137</v>
      </c>
      <c r="C41" s="117">
        <v>0</v>
      </c>
      <c r="D41" s="117">
        <v>0</v>
      </c>
      <c r="E41" s="117">
        <v>0</v>
      </c>
      <c r="F41" s="117">
        <v>0</v>
      </c>
      <c r="G41" s="117">
        <v>0</v>
      </c>
      <c r="H41" s="117">
        <v>0</v>
      </c>
      <c r="I41" s="117">
        <v>0</v>
      </c>
      <c r="J41" s="117">
        <v>0</v>
      </c>
      <c r="K41" s="119">
        <v>0</v>
      </c>
      <c r="L41" s="117">
        <v>0</v>
      </c>
      <c r="M41" s="119">
        <v>0</v>
      </c>
      <c r="N41" s="117">
        <v>0</v>
      </c>
      <c r="O41" s="119">
        <v>0</v>
      </c>
      <c r="P41" s="119">
        <v>0</v>
      </c>
      <c r="Q41" s="119">
        <v>0</v>
      </c>
      <c r="R41" s="117">
        <v>0</v>
      </c>
      <c r="S41" s="119">
        <v>0</v>
      </c>
      <c r="T41" s="119">
        <v>0</v>
      </c>
      <c r="U41" s="119">
        <v>0</v>
      </c>
      <c r="V41" s="119">
        <v>0</v>
      </c>
      <c r="W41" s="119">
        <v>0</v>
      </c>
      <c r="X41" s="119">
        <v>0</v>
      </c>
      <c r="Y41" s="119">
        <v>0</v>
      </c>
      <c r="Z41" s="119">
        <v>0</v>
      </c>
      <c r="AA41" s="119">
        <v>0</v>
      </c>
      <c r="AB41" s="117">
        <v>0</v>
      </c>
      <c r="AC41" s="119">
        <v>0</v>
      </c>
      <c r="AD41" s="119">
        <v>0</v>
      </c>
      <c r="AE41" s="119">
        <v>0</v>
      </c>
      <c r="AF41" s="117">
        <v>0</v>
      </c>
      <c r="AG41" s="117">
        <v>0</v>
      </c>
    </row>
    <row r="42" spans="1:33" ht="18.75" x14ac:dyDescent="0.25">
      <c r="A42" s="57" t="s">
        <v>150</v>
      </c>
      <c r="B42" s="343" t="s">
        <v>550</v>
      </c>
      <c r="C42" s="117">
        <v>5</v>
      </c>
      <c r="D42" s="117">
        <v>5</v>
      </c>
      <c r="E42" s="117">
        <v>5</v>
      </c>
      <c r="F42" s="117">
        <v>5</v>
      </c>
      <c r="G42" s="117">
        <v>0</v>
      </c>
      <c r="H42" s="117">
        <v>0</v>
      </c>
      <c r="I42" s="117">
        <v>0</v>
      </c>
      <c r="J42" s="117">
        <v>0</v>
      </c>
      <c r="K42" s="119">
        <v>0</v>
      </c>
      <c r="L42" s="117">
        <v>0</v>
      </c>
      <c r="M42" s="119">
        <v>0</v>
      </c>
      <c r="N42" s="117">
        <v>0</v>
      </c>
      <c r="O42" s="119">
        <v>0</v>
      </c>
      <c r="P42" s="119">
        <v>0</v>
      </c>
      <c r="Q42" s="119">
        <v>0</v>
      </c>
      <c r="R42" s="117">
        <v>0</v>
      </c>
      <c r="S42" s="119">
        <v>0</v>
      </c>
      <c r="T42" s="119">
        <v>5</v>
      </c>
      <c r="U42" s="119">
        <v>0</v>
      </c>
      <c r="V42" s="119">
        <v>5</v>
      </c>
      <c r="W42" s="119">
        <v>0</v>
      </c>
      <c r="X42" s="119">
        <v>0</v>
      </c>
      <c r="Y42" s="119">
        <v>0</v>
      </c>
      <c r="Z42" s="119">
        <v>0</v>
      </c>
      <c r="AA42" s="119">
        <v>0</v>
      </c>
      <c r="AB42" s="117">
        <v>0</v>
      </c>
      <c r="AC42" s="119">
        <v>0</v>
      </c>
      <c r="AD42" s="119">
        <v>0</v>
      </c>
      <c r="AE42" s="119">
        <v>0</v>
      </c>
      <c r="AF42" s="117">
        <v>5</v>
      </c>
      <c r="AG42" s="117">
        <v>5</v>
      </c>
    </row>
    <row r="43" spans="1:33" s="342" customFormat="1" x14ac:dyDescent="0.25">
      <c r="A43" s="60" t="s">
        <v>59</v>
      </c>
      <c r="B43" s="59" t="s">
        <v>149</v>
      </c>
      <c r="C43" s="117">
        <v>0</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9">
        <v>0</v>
      </c>
      <c r="U43" s="117">
        <v>0</v>
      </c>
      <c r="V43" s="119">
        <v>0</v>
      </c>
      <c r="W43" s="117">
        <v>0</v>
      </c>
      <c r="X43" s="117">
        <v>0</v>
      </c>
      <c r="Y43" s="117">
        <v>0</v>
      </c>
      <c r="Z43" s="117">
        <v>0</v>
      </c>
      <c r="AA43" s="117">
        <v>0</v>
      </c>
      <c r="AB43" s="117">
        <v>0</v>
      </c>
      <c r="AC43" s="117">
        <v>0</v>
      </c>
      <c r="AD43" s="117">
        <v>0</v>
      </c>
      <c r="AE43" s="117">
        <v>0</v>
      </c>
      <c r="AF43" s="117">
        <v>0</v>
      </c>
      <c r="AG43" s="117">
        <v>0</v>
      </c>
    </row>
    <row r="44" spans="1:33" x14ac:dyDescent="0.25">
      <c r="A44" s="57" t="s">
        <v>148</v>
      </c>
      <c r="B44" s="33" t="s">
        <v>147</v>
      </c>
      <c r="C44" s="117">
        <v>0</v>
      </c>
      <c r="D44" s="117">
        <v>0</v>
      </c>
      <c r="E44" s="117">
        <v>0</v>
      </c>
      <c r="F44" s="117">
        <v>0</v>
      </c>
      <c r="G44" s="117">
        <v>0</v>
      </c>
      <c r="H44" s="117">
        <v>0</v>
      </c>
      <c r="I44" s="117">
        <v>0</v>
      </c>
      <c r="J44" s="117">
        <v>0</v>
      </c>
      <c r="K44" s="119">
        <v>0</v>
      </c>
      <c r="L44" s="117">
        <v>0</v>
      </c>
      <c r="M44" s="119">
        <v>0</v>
      </c>
      <c r="N44" s="117">
        <v>0</v>
      </c>
      <c r="O44" s="119">
        <v>0</v>
      </c>
      <c r="P44" s="119">
        <v>0</v>
      </c>
      <c r="Q44" s="119">
        <v>0</v>
      </c>
      <c r="R44" s="117">
        <v>0</v>
      </c>
      <c r="S44" s="119">
        <v>0</v>
      </c>
      <c r="T44" s="119">
        <v>0</v>
      </c>
      <c r="U44" s="119">
        <v>0</v>
      </c>
      <c r="V44" s="119">
        <v>0</v>
      </c>
      <c r="W44" s="119">
        <v>0</v>
      </c>
      <c r="X44" s="119">
        <v>0</v>
      </c>
      <c r="Y44" s="119">
        <v>0</v>
      </c>
      <c r="Z44" s="119">
        <v>0</v>
      </c>
      <c r="AA44" s="119">
        <v>0</v>
      </c>
      <c r="AB44" s="117">
        <v>0</v>
      </c>
      <c r="AC44" s="119">
        <v>0</v>
      </c>
      <c r="AD44" s="119">
        <v>0</v>
      </c>
      <c r="AE44" s="119">
        <v>0</v>
      </c>
      <c r="AF44" s="117">
        <v>0</v>
      </c>
      <c r="AG44" s="117">
        <v>0</v>
      </c>
    </row>
    <row r="45" spans="1:33" x14ac:dyDescent="0.25">
      <c r="A45" s="57" t="s">
        <v>146</v>
      </c>
      <c r="B45" s="33" t="s">
        <v>145</v>
      </c>
      <c r="C45" s="117">
        <v>0.5</v>
      </c>
      <c r="D45" s="117">
        <v>0.5</v>
      </c>
      <c r="E45" s="117">
        <v>0.5</v>
      </c>
      <c r="F45" s="117">
        <v>0.5</v>
      </c>
      <c r="G45" s="117">
        <v>0</v>
      </c>
      <c r="H45" s="117">
        <v>0</v>
      </c>
      <c r="I45" s="117">
        <v>0</v>
      </c>
      <c r="J45" s="117">
        <v>0</v>
      </c>
      <c r="K45" s="119">
        <v>0</v>
      </c>
      <c r="L45" s="117">
        <v>0</v>
      </c>
      <c r="M45" s="119">
        <v>0</v>
      </c>
      <c r="N45" s="117">
        <v>0</v>
      </c>
      <c r="O45" s="119">
        <v>0</v>
      </c>
      <c r="P45" s="119">
        <v>0</v>
      </c>
      <c r="Q45" s="119">
        <v>0</v>
      </c>
      <c r="R45" s="117">
        <v>0</v>
      </c>
      <c r="S45" s="119">
        <v>0</v>
      </c>
      <c r="T45" s="119">
        <v>0.5</v>
      </c>
      <c r="U45" s="119">
        <v>0</v>
      </c>
      <c r="V45" s="119">
        <v>0.5</v>
      </c>
      <c r="W45" s="119">
        <v>0</v>
      </c>
      <c r="X45" s="119">
        <v>0</v>
      </c>
      <c r="Y45" s="119">
        <v>0</v>
      </c>
      <c r="Z45" s="119">
        <v>0</v>
      </c>
      <c r="AA45" s="119">
        <v>0</v>
      </c>
      <c r="AB45" s="117">
        <v>0</v>
      </c>
      <c r="AC45" s="119">
        <v>0</v>
      </c>
      <c r="AD45" s="119">
        <v>0</v>
      </c>
      <c r="AE45" s="119">
        <v>0</v>
      </c>
      <c r="AF45" s="117">
        <v>0.5</v>
      </c>
      <c r="AG45" s="117">
        <v>0.5</v>
      </c>
    </row>
    <row r="46" spans="1:33" x14ac:dyDescent="0.25">
      <c r="A46" s="57" t="s">
        <v>144</v>
      </c>
      <c r="B46" s="33" t="s">
        <v>143</v>
      </c>
      <c r="C46" s="117">
        <v>0</v>
      </c>
      <c r="D46" s="117">
        <v>0</v>
      </c>
      <c r="E46" s="117">
        <v>0</v>
      </c>
      <c r="F46" s="117">
        <v>0</v>
      </c>
      <c r="G46" s="117">
        <v>0</v>
      </c>
      <c r="H46" s="117">
        <v>0</v>
      </c>
      <c r="I46" s="117">
        <v>0</v>
      </c>
      <c r="J46" s="117">
        <v>0</v>
      </c>
      <c r="K46" s="119">
        <v>0</v>
      </c>
      <c r="L46" s="117">
        <v>0</v>
      </c>
      <c r="M46" s="119">
        <v>0</v>
      </c>
      <c r="N46" s="117">
        <v>0</v>
      </c>
      <c r="O46" s="119">
        <v>0</v>
      </c>
      <c r="P46" s="119">
        <v>0</v>
      </c>
      <c r="Q46" s="119">
        <v>0</v>
      </c>
      <c r="R46" s="117">
        <v>0</v>
      </c>
      <c r="S46" s="119">
        <v>0</v>
      </c>
      <c r="T46" s="119">
        <v>0</v>
      </c>
      <c r="U46" s="119">
        <v>0</v>
      </c>
      <c r="V46" s="119">
        <v>0</v>
      </c>
      <c r="W46" s="119">
        <v>0</v>
      </c>
      <c r="X46" s="119">
        <v>0</v>
      </c>
      <c r="Y46" s="119">
        <v>0</v>
      </c>
      <c r="Z46" s="119">
        <v>0</v>
      </c>
      <c r="AA46" s="119">
        <v>0</v>
      </c>
      <c r="AB46" s="117">
        <v>0</v>
      </c>
      <c r="AC46" s="119">
        <v>0</v>
      </c>
      <c r="AD46" s="119">
        <v>0</v>
      </c>
      <c r="AE46" s="119">
        <v>0</v>
      </c>
      <c r="AF46" s="117">
        <v>0</v>
      </c>
      <c r="AG46" s="117">
        <v>0</v>
      </c>
    </row>
    <row r="47" spans="1:33" ht="31.5" x14ac:dyDescent="0.25">
      <c r="A47" s="57" t="s">
        <v>142</v>
      </c>
      <c r="B47" s="33" t="s">
        <v>141</v>
      </c>
      <c r="C47" s="117">
        <v>0</v>
      </c>
      <c r="D47" s="117">
        <v>0</v>
      </c>
      <c r="E47" s="117">
        <v>0</v>
      </c>
      <c r="F47" s="117">
        <v>0</v>
      </c>
      <c r="G47" s="117">
        <v>0</v>
      </c>
      <c r="H47" s="117">
        <v>0</v>
      </c>
      <c r="I47" s="117">
        <v>0</v>
      </c>
      <c r="J47" s="117">
        <v>0</v>
      </c>
      <c r="K47" s="119">
        <v>0</v>
      </c>
      <c r="L47" s="117">
        <v>0</v>
      </c>
      <c r="M47" s="119">
        <v>0</v>
      </c>
      <c r="N47" s="117">
        <v>0</v>
      </c>
      <c r="O47" s="119">
        <v>0</v>
      </c>
      <c r="P47" s="119">
        <v>0</v>
      </c>
      <c r="Q47" s="119">
        <v>0</v>
      </c>
      <c r="R47" s="117">
        <v>0</v>
      </c>
      <c r="S47" s="119">
        <v>0</v>
      </c>
      <c r="T47" s="119">
        <v>0</v>
      </c>
      <c r="U47" s="119">
        <v>0</v>
      </c>
      <c r="V47" s="119">
        <v>0</v>
      </c>
      <c r="W47" s="119">
        <v>0</v>
      </c>
      <c r="X47" s="119">
        <v>0</v>
      </c>
      <c r="Y47" s="119">
        <v>0</v>
      </c>
      <c r="Z47" s="119">
        <v>0</v>
      </c>
      <c r="AA47" s="119">
        <v>0</v>
      </c>
      <c r="AB47" s="117">
        <v>0</v>
      </c>
      <c r="AC47" s="119">
        <v>0</v>
      </c>
      <c r="AD47" s="119">
        <v>0</v>
      </c>
      <c r="AE47" s="119">
        <v>0</v>
      </c>
      <c r="AF47" s="117">
        <v>0</v>
      </c>
      <c r="AG47" s="117">
        <v>0</v>
      </c>
    </row>
    <row r="48" spans="1:33" ht="31.5" x14ac:dyDescent="0.25">
      <c r="A48" s="57" t="s">
        <v>140</v>
      </c>
      <c r="B48" s="33" t="s">
        <v>139</v>
      </c>
      <c r="C48" s="117">
        <v>0</v>
      </c>
      <c r="D48" s="117">
        <v>0</v>
      </c>
      <c r="E48" s="117">
        <v>0</v>
      </c>
      <c r="F48" s="117">
        <v>0</v>
      </c>
      <c r="G48" s="117">
        <v>0</v>
      </c>
      <c r="H48" s="117">
        <v>0</v>
      </c>
      <c r="I48" s="117">
        <v>0</v>
      </c>
      <c r="J48" s="117">
        <v>0</v>
      </c>
      <c r="K48" s="119">
        <v>0</v>
      </c>
      <c r="L48" s="117">
        <v>0</v>
      </c>
      <c r="M48" s="119">
        <v>0</v>
      </c>
      <c r="N48" s="117">
        <v>0</v>
      </c>
      <c r="O48" s="119">
        <v>0</v>
      </c>
      <c r="P48" s="119">
        <v>0</v>
      </c>
      <c r="Q48" s="119">
        <v>0</v>
      </c>
      <c r="R48" s="117">
        <v>0</v>
      </c>
      <c r="S48" s="119">
        <v>0</v>
      </c>
      <c r="T48" s="119">
        <v>0</v>
      </c>
      <c r="U48" s="119">
        <v>0</v>
      </c>
      <c r="V48" s="119">
        <v>0</v>
      </c>
      <c r="W48" s="119">
        <v>0</v>
      </c>
      <c r="X48" s="119">
        <v>0</v>
      </c>
      <c r="Y48" s="119">
        <v>0</v>
      </c>
      <c r="Z48" s="119">
        <v>0</v>
      </c>
      <c r="AA48" s="119">
        <v>0</v>
      </c>
      <c r="AB48" s="117">
        <v>0</v>
      </c>
      <c r="AC48" s="119">
        <v>0</v>
      </c>
      <c r="AD48" s="119">
        <v>0</v>
      </c>
      <c r="AE48" s="119">
        <v>0</v>
      </c>
      <c r="AF48" s="117">
        <v>0</v>
      </c>
      <c r="AG48" s="117">
        <v>0</v>
      </c>
    </row>
    <row r="49" spans="1:33" x14ac:dyDescent="0.25">
      <c r="A49" s="57" t="s">
        <v>138</v>
      </c>
      <c r="B49" s="33" t="s">
        <v>137</v>
      </c>
      <c r="C49" s="117">
        <v>0</v>
      </c>
      <c r="D49" s="117">
        <v>0</v>
      </c>
      <c r="E49" s="117">
        <v>0</v>
      </c>
      <c r="F49" s="117">
        <v>0</v>
      </c>
      <c r="G49" s="117">
        <v>0</v>
      </c>
      <c r="H49" s="117">
        <v>0</v>
      </c>
      <c r="I49" s="117">
        <v>0</v>
      </c>
      <c r="J49" s="117">
        <v>0</v>
      </c>
      <c r="K49" s="119">
        <v>0</v>
      </c>
      <c r="L49" s="117">
        <v>0</v>
      </c>
      <c r="M49" s="119">
        <v>0</v>
      </c>
      <c r="N49" s="117">
        <v>0</v>
      </c>
      <c r="O49" s="119">
        <v>0</v>
      </c>
      <c r="P49" s="119">
        <v>0</v>
      </c>
      <c r="Q49" s="119">
        <v>0</v>
      </c>
      <c r="R49" s="117">
        <v>0</v>
      </c>
      <c r="S49" s="119">
        <v>0</v>
      </c>
      <c r="T49" s="119">
        <v>0</v>
      </c>
      <c r="U49" s="119">
        <v>0</v>
      </c>
      <c r="V49" s="119">
        <v>0</v>
      </c>
      <c r="W49" s="119">
        <v>0</v>
      </c>
      <c r="X49" s="119">
        <v>0</v>
      </c>
      <c r="Y49" s="119">
        <v>0</v>
      </c>
      <c r="Z49" s="119">
        <v>0</v>
      </c>
      <c r="AA49" s="119">
        <v>0</v>
      </c>
      <c r="AB49" s="117">
        <v>0</v>
      </c>
      <c r="AC49" s="119">
        <v>0</v>
      </c>
      <c r="AD49" s="119">
        <v>0</v>
      </c>
      <c r="AE49" s="119">
        <v>0</v>
      </c>
      <c r="AF49" s="117">
        <v>0</v>
      </c>
      <c r="AG49" s="117">
        <v>0</v>
      </c>
    </row>
    <row r="50" spans="1:33" ht="18.75" x14ac:dyDescent="0.25">
      <c r="A50" s="57" t="s">
        <v>136</v>
      </c>
      <c r="B50" s="343" t="s">
        <v>550</v>
      </c>
      <c r="C50" s="117">
        <v>5</v>
      </c>
      <c r="D50" s="117">
        <v>5</v>
      </c>
      <c r="E50" s="117">
        <v>5</v>
      </c>
      <c r="F50" s="117">
        <v>5</v>
      </c>
      <c r="G50" s="117">
        <v>0</v>
      </c>
      <c r="H50" s="117">
        <v>0</v>
      </c>
      <c r="I50" s="117">
        <v>0</v>
      </c>
      <c r="J50" s="117">
        <v>0</v>
      </c>
      <c r="K50" s="119">
        <v>0</v>
      </c>
      <c r="L50" s="117">
        <v>0</v>
      </c>
      <c r="M50" s="119">
        <v>0</v>
      </c>
      <c r="N50" s="117">
        <v>0</v>
      </c>
      <c r="O50" s="119">
        <v>0</v>
      </c>
      <c r="P50" s="119">
        <v>9</v>
      </c>
      <c r="Q50" s="119">
        <v>0</v>
      </c>
      <c r="R50" s="117">
        <v>0</v>
      </c>
      <c r="S50" s="119">
        <v>0</v>
      </c>
      <c r="T50" s="119">
        <v>5</v>
      </c>
      <c r="U50" s="119">
        <v>0</v>
      </c>
      <c r="V50" s="119">
        <v>5</v>
      </c>
      <c r="W50" s="119">
        <v>0</v>
      </c>
      <c r="X50" s="119">
        <v>0</v>
      </c>
      <c r="Y50" s="119">
        <v>0</v>
      </c>
      <c r="Z50" s="119">
        <v>0</v>
      </c>
      <c r="AA50" s="119">
        <v>0</v>
      </c>
      <c r="AB50" s="117">
        <v>0</v>
      </c>
      <c r="AC50" s="119">
        <v>0</v>
      </c>
      <c r="AD50" s="119">
        <v>0</v>
      </c>
      <c r="AE50" s="119">
        <v>0</v>
      </c>
      <c r="AF50" s="117">
        <v>14</v>
      </c>
      <c r="AG50" s="117">
        <v>5</v>
      </c>
    </row>
    <row r="51" spans="1:33" s="342" customFormat="1" ht="35.25" customHeight="1" x14ac:dyDescent="0.25">
      <c r="A51" s="60" t="s">
        <v>57</v>
      </c>
      <c r="B51" s="59" t="s">
        <v>135</v>
      </c>
      <c r="C51" s="117">
        <v>0</v>
      </c>
      <c r="D51" s="117">
        <v>0</v>
      </c>
      <c r="E51" s="117">
        <v>0</v>
      </c>
      <c r="F51" s="117">
        <v>0</v>
      </c>
      <c r="G51" s="117">
        <v>0</v>
      </c>
      <c r="H51" s="117">
        <v>0</v>
      </c>
      <c r="I51" s="117">
        <v>0</v>
      </c>
      <c r="J51" s="117">
        <v>0</v>
      </c>
      <c r="K51" s="117">
        <v>0</v>
      </c>
      <c r="L51" s="117">
        <v>0</v>
      </c>
      <c r="M51" s="117">
        <v>0</v>
      </c>
      <c r="N51" s="117">
        <v>0</v>
      </c>
      <c r="O51" s="117">
        <v>0</v>
      </c>
      <c r="P51" s="117">
        <v>0</v>
      </c>
      <c r="Q51" s="117">
        <v>0</v>
      </c>
      <c r="R51" s="117">
        <v>0</v>
      </c>
      <c r="S51" s="117">
        <v>0</v>
      </c>
      <c r="T51" s="119">
        <v>0</v>
      </c>
      <c r="U51" s="117">
        <v>0</v>
      </c>
      <c r="V51" s="119">
        <v>0</v>
      </c>
      <c r="W51" s="117">
        <v>0</v>
      </c>
      <c r="X51" s="117">
        <v>0</v>
      </c>
      <c r="Y51" s="117">
        <v>0</v>
      </c>
      <c r="Z51" s="117">
        <v>0</v>
      </c>
      <c r="AA51" s="117">
        <v>0</v>
      </c>
      <c r="AB51" s="117">
        <v>0</v>
      </c>
      <c r="AC51" s="117">
        <v>0</v>
      </c>
      <c r="AD51" s="117">
        <v>0</v>
      </c>
      <c r="AE51" s="117">
        <v>0</v>
      </c>
      <c r="AF51" s="117">
        <v>0</v>
      </c>
      <c r="AG51" s="117">
        <v>0</v>
      </c>
    </row>
    <row r="52" spans="1:33" x14ac:dyDescent="0.25">
      <c r="A52" s="57" t="s">
        <v>134</v>
      </c>
      <c r="B52" s="33" t="s">
        <v>133</v>
      </c>
      <c r="C52" s="117">
        <v>6.6016807945099885</v>
      </c>
      <c r="D52" s="117">
        <v>6.6016807945099885</v>
      </c>
      <c r="E52" s="117">
        <v>6.6016807945099885</v>
      </c>
      <c r="F52" s="117">
        <v>6.6016807945099885</v>
      </c>
      <c r="G52" s="117">
        <v>0</v>
      </c>
      <c r="H52" s="117">
        <v>0</v>
      </c>
      <c r="I52" s="117">
        <v>0</v>
      </c>
      <c r="J52" s="117">
        <v>0</v>
      </c>
      <c r="K52" s="119">
        <v>0</v>
      </c>
      <c r="L52" s="117">
        <v>0</v>
      </c>
      <c r="M52" s="119">
        <v>0</v>
      </c>
      <c r="N52" s="117">
        <v>0</v>
      </c>
      <c r="O52" s="119">
        <v>0</v>
      </c>
      <c r="P52" s="119">
        <v>0</v>
      </c>
      <c r="Q52" s="119">
        <v>0</v>
      </c>
      <c r="R52" s="117">
        <v>0</v>
      </c>
      <c r="S52" s="119">
        <v>0</v>
      </c>
      <c r="T52" s="119">
        <v>6.6016807945099885</v>
      </c>
      <c r="U52" s="119">
        <v>0</v>
      </c>
      <c r="V52" s="119">
        <v>6.6016807945099885</v>
      </c>
      <c r="W52" s="119">
        <v>0</v>
      </c>
      <c r="X52" s="119">
        <v>0</v>
      </c>
      <c r="Y52" s="119">
        <v>0</v>
      </c>
      <c r="Z52" s="119">
        <v>0</v>
      </c>
      <c r="AA52" s="119">
        <v>0</v>
      </c>
      <c r="AB52" s="117">
        <v>0</v>
      </c>
      <c r="AC52" s="119">
        <v>0</v>
      </c>
      <c r="AD52" s="119">
        <v>0</v>
      </c>
      <c r="AE52" s="119">
        <v>0</v>
      </c>
      <c r="AF52" s="117">
        <v>6.6016807945099885</v>
      </c>
      <c r="AG52" s="117">
        <v>6.6016807945099885</v>
      </c>
    </row>
    <row r="53" spans="1:33" x14ac:dyDescent="0.25">
      <c r="A53" s="57" t="s">
        <v>132</v>
      </c>
      <c r="B53" s="33" t="s">
        <v>126</v>
      </c>
      <c r="C53" s="117">
        <v>0</v>
      </c>
      <c r="D53" s="117">
        <v>0</v>
      </c>
      <c r="E53" s="117">
        <v>0</v>
      </c>
      <c r="F53" s="117">
        <v>0</v>
      </c>
      <c r="G53" s="117">
        <v>0</v>
      </c>
      <c r="H53" s="117">
        <v>0</v>
      </c>
      <c r="I53" s="117">
        <v>0</v>
      </c>
      <c r="J53" s="117">
        <v>0</v>
      </c>
      <c r="K53" s="119">
        <v>0</v>
      </c>
      <c r="L53" s="117">
        <v>0</v>
      </c>
      <c r="M53" s="119">
        <v>0</v>
      </c>
      <c r="N53" s="117">
        <v>0</v>
      </c>
      <c r="O53" s="119">
        <v>0</v>
      </c>
      <c r="P53" s="119">
        <v>0</v>
      </c>
      <c r="Q53" s="119">
        <v>0</v>
      </c>
      <c r="R53" s="117">
        <v>0</v>
      </c>
      <c r="S53" s="119">
        <v>0</v>
      </c>
      <c r="T53" s="119">
        <v>0</v>
      </c>
      <c r="U53" s="119">
        <v>0</v>
      </c>
      <c r="V53" s="119">
        <v>0</v>
      </c>
      <c r="W53" s="119">
        <v>0</v>
      </c>
      <c r="X53" s="119">
        <v>0</v>
      </c>
      <c r="Y53" s="119">
        <v>0</v>
      </c>
      <c r="Z53" s="119">
        <v>0</v>
      </c>
      <c r="AA53" s="119">
        <v>0</v>
      </c>
      <c r="AB53" s="117">
        <v>0</v>
      </c>
      <c r="AC53" s="119">
        <v>0</v>
      </c>
      <c r="AD53" s="119">
        <v>0</v>
      </c>
      <c r="AE53" s="119">
        <v>0</v>
      </c>
      <c r="AF53" s="117">
        <v>0</v>
      </c>
      <c r="AG53" s="117">
        <v>0</v>
      </c>
    </row>
    <row r="54" spans="1:33" x14ac:dyDescent="0.25">
      <c r="A54" s="57" t="s">
        <v>131</v>
      </c>
      <c r="B54" s="343" t="s">
        <v>125</v>
      </c>
      <c r="C54" s="117">
        <v>0.5</v>
      </c>
      <c r="D54" s="117">
        <v>0.5</v>
      </c>
      <c r="E54" s="117">
        <v>0.5</v>
      </c>
      <c r="F54" s="117">
        <v>0.5</v>
      </c>
      <c r="G54" s="117">
        <v>0</v>
      </c>
      <c r="H54" s="117">
        <v>0</v>
      </c>
      <c r="I54" s="117">
        <v>0</v>
      </c>
      <c r="J54" s="117">
        <v>0</v>
      </c>
      <c r="K54" s="119">
        <v>0</v>
      </c>
      <c r="L54" s="117">
        <v>0</v>
      </c>
      <c r="M54" s="119">
        <v>0</v>
      </c>
      <c r="N54" s="117">
        <v>0</v>
      </c>
      <c r="O54" s="119">
        <v>0</v>
      </c>
      <c r="P54" s="119">
        <v>0</v>
      </c>
      <c r="Q54" s="119">
        <v>0</v>
      </c>
      <c r="R54" s="117">
        <v>0</v>
      </c>
      <c r="S54" s="119">
        <v>0</v>
      </c>
      <c r="T54" s="119">
        <v>0.5</v>
      </c>
      <c r="U54" s="119">
        <v>0</v>
      </c>
      <c r="V54" s="119">
        <v>0.5</v>
      </c>
      <c r="W54" s="119">
        <v>0</v>
      </c>
      <c r="X54" s="119">
        <v>0</v>
      </c>
      <c r="Y54" s="119">
        <v>0</v>
      </c>
      <c r="Z54" s="119">
        <v>0</v>
      </c>
      <c r="AA54" s="119">
        <v>0</v>
      </c>
      <c r="AB54" s="117">
        <v>0</v>
      </c>
      <c r="AC54" s="119">
        <v>0</v>
      </c>
      <c r="AD54" s="119">
        <v>0</v>
      </c>
      <c r="AE54" s="119">
        <v>0</v>
      </c>
      <c r="AF54" s="117">
        <v>0.5</v>
      </c>
      <c r="AG54" s="117">
        <v>0.5</v>
      </c>
    </row>
    <row r="55" spans="1:33" x14ac:dyDescent="0.25">
      <c r="A55" s="57" t="s">
        <v>130</v>
      </c>
      <c r="B55" s="343" t="s">
        <v>124</v>
      </c>
      <c r="C55" s="117">
        <v>0</v>
      </c>
      <c r="D55" s="117">
        <v>0</v>
      </c>
      <c r="E55" s="117">
        <v>0</v>
      </c>
      <c r="F55" s="117">
        <v>0</v>
      </c>
      <c r="G55" s="117">
        <v>0</v>
      </c>
      <c r="H55" s="117">
        <v>0</v>
      </c>
      <c r="I55" s="117">
        <v>0</v>
      </c>
      <c r="J55" s="117">
        <v>0</v>
      </c>
      <c r="K55" s="119">
        <v>0</v>
      </c>
      <c r="L55" s="117">
        <v>0</v>
      </c>
      <c r="M55" s="119">
        <v>0</v>
      </c>
      <c r="N55" s="117">
        <v>0</v>
      </c>
      <c r="O55" s="119">
        <v>0</v>
      </c>
      <c r="P55" s="119">
        <v>0</v>
      </c>
      <c r="Q55" s="119">
        <v>0</v>
      </c>
      <c r="R55" s="117">
        <v>0</v>
      </c>
      <c r="S55" s="119">
        <v>0</v>
      </c>
      <c r="T55" s="119">
        <v>0</v>
      </c>
      <c r="U55" s="119">
        <v>0</v>
      </c>
      <c r="V55" s="119">
        <v>0</v>
      </c>
      <c r="W55" s="119">
        <v>0</v>
      </c>
      <c r="X55" s="119">
        <v>0</v>
      </c>
      <c r="Y55" s="119">
        <v>0</v>
      </c>
      <c r="Z55" s="119">
        <v>0</v>
      </c>
      <c r="AA55" s="119">
        <v>0</v>
      </c>
      <c r="AB55" s="117">
        <v>0</v>
      </c>
      <c r="AC55" s="119">
        <v>0</v>
      </c>
      <c r="AD55" s="119">
        <v>0</v>
      </c>
      <c r="AE55" s="119">
        <v>0</v>
      </c>
      <c r="AF55" s="117">
        <v>0</v>
      </c>
      <c r="AG55" s="117">
        <v>0</v>
      </c>
    </row>
    <row r="56" spans="1:33" x14ac:dyDescent="0.25">
      <c r="A56" s="57" t="s">
        <v>129</v>
      </c>
      <c r="B56" s="343" t="s">
        <v>123</v>
      </c>
      <c r="C56" s="117">
        <v>0</v>
      </c>
      <c r="D56" s="117">
        <v>0</v>
      </c>
      <c r="E56" s="117">
        <v>0</v>
      </c>
      <c r="F56" s="117">
        <v>0</v>
      </c>
      <c r="G56" s="117">
        <v>0</v>
      </c>
      <c r="H56" s="117">
        <v>0</v>
      </c>
      <c r="I56" s="117">
        <v>0</v>
      </c>
      <c r="J56" s="117">
        <v>0</v>
      </c>
      <c r="K56" s="119">
        <v>0</v>
      </c>
      <c r="L56" s="117">
        <v>0</v>
      </c>
      <c r="M56" s="119">
        <v>0</v>
      </c>
      <c r="N56" s="117">
        <v>0</v>
      </c>
      <c r="O56" s="119">
        <v>0</v>
      </c>
      <c r="P56" s="119">
        <v>0</v>
      </c>
      <c r="Q56" s="119">
        <v>0</v>
      </c>
      <c r="R56" s="117">
        <v>0</v>
      </c>
      <c r="S56" s="119">
        <v>0</v>
      </c>
      <c r="T56" s="119">
        <v>0</v>
      </c>
      <c r="U56" s="119">
        <v>0</v>
      </c>
      <c r="V56" s="119">
        <v>0</v>
      </c>
      <c r="W56" s="119">
        <v>0</v>
      </c>
      <c r="X56" s="119">
        <v>0</v>
      </c>
      <c r="Y56" s="119">
        <v>0</v>
      </c>
      <c r="Z56" s="119">
        <v>0</v>
      </c>
      <c r="AA56" s="119">
        <v>0</v>
      </c>
      <c r="AB56" s="117">
        <v>0</v>
      </c>
      <c r="AC56" s="119">
        <v>0</v>
      </c>
      <c r="AD56" s="119">
        <v>0</v>
      </c>
      <c r="AE56" s="119">
        <v>0</v>
      </c>
      <c r="AF56" s="117">
        <v>0</v>
      </c>
      <c r="AG56" s="117">
        <v>0</v>
      </c>
    </row>
    <row r="57" spans="1:33" ht="18.75" x14ac:dyDescent="0.25">
      <c r="A57" s="57" t="s">
        <v>128</v>
      </c>
      <c r="B57" s="343" t="s">
        <v>550</v>
      </c>
      <c r="C57" s="117">
        <v>5</v>
      </c>
      <c r="D57" s="117">
        <v>5</v>
      </c>
      <c r="E57" s="117">
        <v>5</v>
      </c>
      <c r="F57" s="117">
        <v>5</v>
      </c>
      <c r="G57" s="117">
        <v>0</v>
      </c>
      <c r="H57" s="117">
        <v>0</v>
      </c>
      <c r="I57" s="117">
        <v>0</v>
      </c>
      <c r="J57" s="117">
        <v>0</v>
      </c>
      <c r="K57" s="119">
        <v>0</v>
      </c>
      <c r="L57" s="117">
        <v>0</v>
      </c>
      <c r="M57" s="119">
        <v>0</v>
      </c>
      <c r="N57" s="117">
        <v>0</v>
      </c>
      <c r="O57" s="119">
        <v>0</v>
      </c>
      <c r="P57" s="119">
        <v>0</v>
      </c>
      <c r="Q57" s="119">
        <v>0</v>
      </c>
      <c r="R57" s="117">
        <v>0</v>
      </c>
      <c r="S57" s="119">
        <v>0</v>
      </c>
      <c r="T57" s="119">
        <v>5</v>
      </c>
      <c r="U57" s="119">
        <v>0</v>
      </c>
      <c r="V57" s="119">
        <v>5</v>
      </c>
      <c r="W57" s="119">
        <v>0</v>
      </c>
      <c r="X57" s="119">
        <v>0</v>
      </c>
      <c r="Y57" s="119">
        <v>0</v>
      </c>
      <c r="Z57" s="119">
        <v>0</v>
      </c>
      <c r="AA57" s="119">
        <v>0</v>
      </c>
      <c r="AB57" s="117">
        <v>0</v>
      </c>
      <c r="AC57" s="119">
        <v>0</v>
      </c>
      <c r="AD57" s="119">
        <v>0</v>
      </c>
      <c r="AE57" s="119">
        <v>0</v>
      </c>
      <c r="AF57" s="117">
        <v>5</v>
      </c>
      <c r="AG57" s="117">
        <v>5</v>
      </c>
    </row>
    <row r="58" spans="1:33" s="342" customFormat="1" ht="36.75" customHeight="1" x14ac:dyDescent="0.25">
      <c r="A58" s="60" t="s">
        <v>56</v>
      </c>
      <c r="B58" s="344" t="s">
        <v>207</v>
      </c>
      <c r="C58" s="117">
        <v>0</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9">
        <v>0</v>
      </c>
      <c r="U58" s="117">
        <v>0</v>
      </c>
      <c r="V58" s="119">
        <v>0</v>
      </c>
      <c r="W58" s="117">
        <v>0</v>
      </c>
      <c r="X58" s="117">
        <v>0</v>
      </c>
      <c r="Y58" s="117">
        <v>0</v>
      </c>
      <c r="Z58" s="117">
        <v>0</v>
      </c>
      <c r="AA58" s="117">
        <v>0</v>
      </c>
      <c r="AB58" s="117">
        <v>0</v>
      </c>
      <c r="AC58" s="117">
        <v>0</v>
      </c>
      <c r="AD58" s="117">
        <v>0</v>
      </c>
      <c r="AE58" s="117">
        <v>0</v>
      </c>
      <c r="AF58" s="117">
        <v>0</v>
      </c>
      <c r="AG58" s="117">
        <v>0</v>
      </c>
    </row>
    <row r="59" spans="1:33" s="342" customFormat="1" x14ac:dyDescent="0.25">
      <c r="A59" s="60" t="s">
        <v>54</v>
      </c>
      <c r="B59" s="59" t="s">
        <v>127</v>
      </c>
      <c r="C59" s="117">
        <v>0</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9">
        <v>0</v>
      </c>
      <c r="U59" s="117">
        <v>0</v>
      </c>
      <c r="V59" s="119">
        <v>0</v>
      </c>
      <c r="W59" s="117">
        <v>0</v>
      </c>
      <c r="X59" s="117">
        <v>0</v>
      </c>
      <c r="Y59" s="117">
        <v>0</v>
      </c>
      <c r="Z59" s="117">
        <v>0</v>
      </c>
      <c r="AA59" s="117">
        <v>0</v>
      </c>
      <c r="AB59" s="117">
        <v>0</v>
      </c>
      <c r="AC59" s="117">
        <v>0</v>
      </c>
      <c r="AD59" s="117">
        <v>0</v>
      </c>
      <c r="AE59" s="117">
        <v>0</v>
      </c>
      <c r="AF59" s="117">
        <v>0</v>
      </c>
      <c r="AG59" s="117">
        <v>0</v>
      </c>
    </row>
    <row r="60" spans="1:33" x14ac:dyDescent="0.25">
      <c r="A60" s="57" t="s">
        <v>201</v>
      </c>
      <c r="B60" s="345" t="s">
        <v>147</v>
      </c>
      <c r="C60" s="117">
        <v>0</v>
      </c>
      <c r="D60" s="117">
        <v>0</v>
      </c>
      <c r="E60" s="117">
        <v>0</v>
      </c>
      <c r="F60" s="117">
        <v>0</v>
      </c>
      <c r="G60" s="117">
        <v>0</v>
      </c>
      <c r="H60" s="117">
        <v>0</v>
      </c>
      <c r="I60" s="117">
        <v>0</v>
      </c>
      <c r="J60" s="117">
        <v>0</v>
      </c>
      <c r="K60" s="119">
        <v>0</v>
      </c>
      <c r="L60" s="117">
        <v>0</v>
      </c>
      <c r="M60" s="119">
        <v>0</v>
      </c>
      <c r="N60" s="117">
        <v>0</v>
      </c>
      <c r="O60" s="119">
        <v>0</v>
      </c>
      <c r="P60" s="119">
        <v>0</v>
      </c>
      <c r="Q60" s="119">
        <v>0</v>
      </c>
      <c r="R60" s="117">
        <v>0</v>
      </c>
      <c r="S60" s="119">
        <v>0</v>
      </c>
      <c r="T60" s="119">
        <v>0</v>
      </c>
      <c r="U60" s="119">
        <v>0</v>
      </c>
      <c r="V60" s="119">
        <v>0</v>
      </c>
      <c r="W60" s="119">
        <v>0</v>
      </c>
      <c r="X60" s="119">
        <v>0</v>
      </c>
      <c r="Y60" s="119">
        <v>0</v>
      </c>
      <c r="Z60" s="119">
        <v>0</v>
      </c>
      <c r="AA60" s="119">
        <v>0</v>
      </c>
      <c r="AB60" s="117">
        <v>0</v>
      </c>
      <c r="AC60" s="119">
        <v>0</v>
      </c>
      <c r="AD60" s="119">
        <v>0</v>
      </c>
      <c r="AE60" s="119">
        <v>0</v>
      </c>
      <c r="AF60" s="117">
        <v>0</v>
      </c>
      <c r="AG60" s="117">
        <v>0</v>
      </c>
    </row>
    <row r="61" spans="1:33" x14ac:dyDescent="0.25">
      <c r="A61" s="57" t="s">
        <v>202</v>
      </c>
      <c r="B61" s="345" t="s">
        <v>145</v>
      </c>
      <c r="C61" s="117">
        <v>0.5</v>
      </c>
      <c r="D61" s="117">
        <v>0.5</v>
      </c>
      <c r="E61" s="117">
        <v>0.5</v>
      </c>
      <c r="F61" s="117">
        <v>0.5</v>
      </c>
      <c r="G61" s="117">
        <v>0</v>
      </c>
      <c r="H61" s="117">
        <v>0</v>
      </c>
      <c r="I61" s="117">
        <v>0</v>
      </c>
      <c r="J61" s="117">
        <v>0</v>
      </c>
      <c r="K61" s="119">
        <v>0</v>
      </c>
      <c r="L61" s="117">
        <v>0</v>
      </c>
      <c r="M61" s="119">
        <v>0</v>
      </c>
      <c r="N61" s="117">
        <v>0</v>
      </c>
      <c r="O61" s="119">
        <v>0</v>
      </c>
      <c r="P61" s="119">
        <v>0</v>
      </c>
      <c r="Q61" s="119">
        <v>0</v>
      </c>
      <c r="R61" s="117">
        <v>0</v>
      </c>
      <c r="S61" s="119">
        <v>0</v>
      </c>
      <c r="T61" s="119">
        <v>0.5</v>
      </c>
      <c r="U61" s="119">
        <v>0</v>
      </c>
      <c r="V61" s="119">
        <v>0.5</v>
      </c>
      <c r="W61" s="119">
        <v>0</v>
      </c>
      <c r="X61" s="119">
        <v>0</v>
      </c>
      <c r="Y61" s="119">
        <v>0</v>
      </c>
      <c r="Z61" s="119">
        <v>0</v>
      </c>
      <c r="AA61" s="119">
        <v>0</v>
      </c>
      <c r="AB61" s="117">
        <v>0</v>
      </c>
      <c r="AC61" s="119">
        <v>0</v>
      </c>
      <c r="AD61" s="119">
        <v>0</v>
      </c>
      <c r="AE61" s="119">
        <v>0</v>
      </c>
      <c r="AF61" s="117">
        <v>0.5</v>
      </c>
      <c r="AG61" s="117">
        <v>0.5</v>
      </c>
    </row>
    <row r="62" spans="1:33" x14ac:dyDescent="0.25">
      <c r="A62" s="57" t="s">
        <v>203</v>
      </c>
      <c r="B62" s="345" t="s">
        <v>143</v>
      </c>
      <c r="C62" s="117">
        <v>0</v>
      </c>
      <c r="D62" s="117">
        <v>0</v>
      </c>
      <c r="E62" s="117">
        <v>0</v>
      </c>
      <c r="F62" s="117">
        <v>0</v>
      </c>
      <c r="G62" s="117">
        <v>0</v>
      </c>
      <c r="H62" s="117">
        <v>0</v>
      </c>
      <c r="I62" s="117">
        <v>0</v>
      </c>
      <c r="J62" s="117">
        <v>0</v>
      </c>
      <c r="K62" s="119">
        <v>0</v>
      </c>
      <c r="L62" s="117">
        <v>0</v>
      </c>
      <c r="M62" s="119">
        <v>0</v>
      </c>
      <c r="N62" s="117">
        <v>0</v>
      </c>
      <c r="O62" s="119">
        <v>0</v>
      </c>
      <c r="P62" s="119">
        <v>0</v>
      </c>
      <c r="Q62" s="119">
        <v>0</v>
      </c>
      <c r="R62" s="117">
        <v>0</v>
      </c>
      <c r="S62" s="119">
        <v>0</v>
      </c>
      <c r="T62" s="119">
        <v>0</v>
      </c>
      <c r="U62" s="119">
        <v>0</v>
      </c>
      <c r="V62" s="119">
        <v>0</v>
      </c>
      <c r="W62" s="119">
        <v>0</v>
      </c>
      <c r="X62" s="119">
        <v>0</v>
      </c>
      <c r="Y62" s="119">
        <v>0</v>
      </c>
      <c r="Z62" s="119">
        <v>0</v>
      </c>
      <c r="AA62" s="119">
        <v>0</v>
      </c>
      <c r="AB62" s="117">
        <v>0</v>
      </c>
      <c r="AC62" s="119">
        <v>0</v>
      </c>
      <c r="AD62" s="119">
        <v>0</v>
      </c>
      <c r="AE62" s="119">
        <v>0</v>
      </c>
      <c r="AF62" s="117">
        <v>0</v>
      </c>
      <c r="AG62" s="117">
        <v>0</v>
      </c>
    </row>
    <row r="63" spans="1:33" x14ac:dyDescent="0.25">
      <c r="A63" s="57" t="s">
        <v>204</v>
      </c>
      <c r="B63" s="345" t="s">
        <v>206</v>
      </c>
      <c r="C63" s="117">
        <v>0</v>
      </c>
      <c r="D63" s="117">
        <v>0</v>
      </c>
      <c r="E63" s="117">
        <v>0</v>
      </c>
      <c r="F63" s="117">
        <v>0</v>
      </c>
      <c r="G63" s="117">
        <v>0</v>
      </c>
      <c r="H63" s="117">
        <v>0</v>
      </c>
      <c r="I63" s="117">
        <v>0</v>
      </c>
      <c r="J63" s="117">
        <v>0</v>
      </c>
      <c r="K63" s="119">
        <v>0</v>
      </c>
      <c r="L63" s="117">
        <v>0</v>
      </c>
      <c r="M63" s="119">
        <v>0</v>
      </c>
      <c r="N63" s="117">
        <v>0</v>
      </c>
      <c r="O63" s="119">
        <v>0</v>
      </c>
      <c r="P63" s="119">
        <v>0</v>
      </c>
      <c r="Q63" s="119">
        <v>0</v>
      </c>
      <c r="R63" s="117">
        <v>0</v>
      </c>
      <c r="S63" s="119">
        <v>0</v>
      </c>
      <c r="T63" s="119">
        <v>0</v>
      </c>
      <c r="U63" s="119">
        <v>0</v>
      </c>
      <c r="V63" s="119">
        <v>0</v>
      </c>
      <c r="W63" s="119">
        <v>0</v>
      </c>
      <c r="X63" s="119">
        <v>0</v>
      </c>
      <c r="Y63" s="119">
        <v>0</v>
      </c>
      <c r="Z63" s="119">
        <v>0</v>
      </c>
      <c r="AA63" s="119">
        <v>0</v>
      </c>
      <c r="AB63" s="117">
        <v>0</v>
      </c>
      <c r="AC63" s="119">
        <v>0</v>
      </c>
      <c r="AD63" s="119">
        <v>0</v>
      </c>
      <c r="AE63" s="119">
        <v>0</v>
      </c>
      <c r="AF63" s="117">
        <v>0</v>
      </c>
      <c r="AG63" s="117">
        <v>0</v>
      </c>
    </row>
    <row r="64" spans="1:33" ht="18.75" x14ac:dyDescent="0.25">
      <c r="A64" s="57" t="s">
        <v>205</v>
      </c>
      <c r="B64" s="343" t="s">
        <v>550</v>
      </c>
      <c r="C64" s="117">
        <v>5</v>
      </c>
      <c r="D64" s="117">
        <v>5</v>
      </c>
      <c r="E64" s="117">
        <v>5</v>
      </c>
      <c r="F64" s="117">
        <v>5</v>
      </c>
      <c r="G64" s="117">
        <v>0</v>
      </c>
      <c r="H64" s="117">
        <v>0</v>
      </c>
      <c r="I64" s="117">
        <v>0</v>
      </c>
      <c r="J64" s="117">
        <v>0</v>
      </c>
      <c r="K64" s="119">
        <v>0</v>
      </c>
      <c r="L64" s="117">
        <v>0</v>
      </c>
      <c r="M64" s="119">
        <v>0</v>
      </c>
      <c r="N64" s="117">
        <v>0</v>
      </c>
      <c r="O64" s="119">
        <v>0</v>
      </c>
      <c r="P64" s="119">
        <v>0</v>
      </c>
      <c r="Q64" s="119">
        <v>0</v>
      </c>
      <c r="R64" s="117">
        <v>0</v>
      </c>
      <c r="S64" s="119">
        <v>0</v>
      </c>
      <c r="T64" s="119">
        <v>5</v>
      </c>
      <c r="U64" s="119">
        <v>0</v>
      </c>
      <c r="V64" s="119">
        <v>5</v>
      </c>
      <c r="W64" s="119">
        <v>0</v>
      </c>
      <c r="X64" s="119">
        <v>0</v>
      </c>
      <c r="Y64" s="119">
        <v>0</v>
      </c>
      <c r="Z64" s="119">
        <v>0</v>
      </c>
      <c r="AA64" s="119">
        <v>0</v>
      </c>
      <c r="AB64" s="117">
        <v>0</v>
      </c>
      <c r="AC64" s="119">
        <v>0</v>
      </c>
      <c r="AD64" s="119">
        <v>0</v>
      </c>
      <c r="AE64" s="119">
        <v>0</v>
      </c>
      <c r="AF64" s="117">
        <v>5</v>
      </c>
      <c r="AG64" s="117">
        <v>5</v>
      </c>
    </row>
    <row r="65" spans="1:32" x14ac:dyDescent="0.25">
      <c r="A65" s="53"/>
      <c r="B65" s="54"/>
      <c r="C65" s="54"/>
      <c r="D65" s="54"/>
      <c r="E65" s="54"/>
      <c r="F65" s="54"/>
      <c r="G65" s="54"/>
      <c r="H65" s="54"/>
      <c r="I65" s="54"/>
      <c r="J65" s="54"/>
      <c r="K65" s="54"/>
    </row>
    <row r="66" spans="1:32" ht="54" customHeight="1" x14ac:dyDescent="0.25">
      <c r="B66" s="435"/>
      <c r="C66" s="435"/>
      <c r="D66" s="435"/>
      <c r="E66" s="435"/>
      <c r="F66" s="435"/>
      <c r="G66" s="435"/>
      <c r="H66" s="435"/>
      <c r="I66" s="435"/>
      <c r="J66" s="335"/>
      <c r="K66" s="335"/>
      <c r="L66" s="52"/>
      <c r="M66" s="52"/>
      <c r="N66" s="52"/>
      <c r="O66" s="52"/>
      <c r="P66" s="52"/>
      <c r="Q66" s="52"/>
      <c r="R66" s="52"/>
      <c r="S66" s="52"/>
      <c r="T66" s="52"/>
      <c r="U66" s="52"/>
      <c r="V66" s="52"/>
      <c r="W66" s="52"/>
      <c r="X66" s="52"/>
      <c r="Y66" s="52"/>
      <c r="Z66" s="52"/>
      <c r="AA66" s="52"/>
      <c r="AB66" s="52"/>
      <c r="AC66" s="52"/>
      <c r="AD66" s="52"/>
      <c r="AE66" s="52"/>
      <c r="AF66" s="52"/>
    </row>
    <row r="68" spans="1:32" ht="50.25" customHeight="1" x14ac:dyDescent="0.25">
      <c r="B68" s="436"/>
      <c r="C68" s="436"/>
      <c r="D68" s="436"/>
      <c r="E68" s="436"/>
      <c r="F68" s="436"/>
      <c r="G68" s="436"/>
      <c r="H68" s="436"/>
      <c r="I68" s="436"/>
      <c r="J68" s="336"/>
      <c r="K68" s="336"/>
    </row>
    <row r="70" spans="1:32" ht="36.75" customHeight="1" x14ac:dyDescent="0.25">
      <c r="B70" s="435"/>
      <c r="C70" s="435"/>
      <c r="D70" s="435"/>
      <c r="E70" s="435"/>
      <c r="F70" s="435"/>
      <c r="G70" s="435"/>
      <c r="H70" s="435"/>
      <c r="I70" s="435"/>
      <c r="J70" s="335"/>
      <c r="K70" s="335"/>
    </row>
    <row r="71" spans="1:32" x14ac:dyDescent="0.25">
      <c r="B71" s="51"/>
      <c r="C71" s="51"/>
      <c r="D71" s="51"/>
      <c r="E71" s="51"/>
      <c r="F71" s="51"/>
    </row>
    <row r="72" spans="1:32" ht="51" customHeight="1" x14ac:dyDescent="0.25">
      <c r="B72" s="435"/>
      <c r="C72" s="435"/>
      <c r="D72" s="435"/>
      <c r="E72" s="435"/>
      <c r="F72" s="435"/>
      <c r="G72" s="435"/>
      <c r="H72" s="435"/>
      <c r="I72" s="435"/>
      <c r="J72" s="335"/>
      <c r="K72" s="335"/>
    </row>
    <row r="73" spans="1:32" ht="32.25" customHeight="1" x14ac:dyDescent="0.25">
      <c r="B73" s="436"/>
      <c r="C73" s="436"/>
      <c r="D73" s="436"/>
      <c r="E73" s="436"/>
      <c r="F73" s="436"/>
      <c r="G73" s="436"/>
      <c r="H73" s="436"/>
      <c r="I73" s="436"/>
      <c r="J73" s="336"/>
      <c r="K73" s="336"/>
    </row>
    <row r="74" spans="1:32" ht="51.75" customHeight="1" x14ac:dyDescent="0.25">
      <c r="B74" s="435"/>
      <c r="C74" s="435"/>
      <c r="D74" s="435"/>
      <c r="E74" s="435"/>
      <c r="F74" s="435"/>
      <c r="G74" s="435"/>
      <c r="H74" s="435"/>
      <c r="I74" s="435"/>
      <c r="J74" s="335"/>
      <c r="K74" s="335"/>
    </row>
    <row r="75" spans="1:32" ht="21.75" customHeight="1" x14ac:dyDescent="0.25">
      <c r="B75" s="433"/>
      <c r="C75" s="433"/>
      <c r="D75" s="433"/>
      <c r="E75" s="433"/>
      <c r="F75" s="433"/>
      <c r="G75" s="433"/>
      <c r="H75" s="433"/>
      <c r="I75" s="433"/>
      <c r="J75" s="333"/>
      <c r="K75" s="333"/>
    </row>
    <row r="76" spans="1:32" ht="23.25" customHeight="1" x14ac:dyDescent="0.25">
      <c r="B76" s="46"/>
      <c r="C76" s="46"/>
      <c r="D76" s="46"/>
      <c r="E76" s="46"/>
      <c r="F76" s="46"/>
    </row>
    <row r="77" spans="1:32" ht="18.75" customHeight="1" x14ac:dyDescent="0.25">
      <c r="B77" s="434"/>
      <c r="C77" s="434"/>
      <c r="D77" s="434"/>
      <c r="E77" s="434"/>
      <c r="F77" s="434"/>
      <c r="G77" s="434"/>
      <c r="H77" s="434"/>
      <c r="I77" s="434"/>
      <c r="J77" s="334"/>
      <c r="K77" s="334"/>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Q24 T25:T28 L24:O24 T24:U24">
    <cfRule type="cellIs" dxfId="35" priority="61" operator="greaterThan">
      <formula>0</formula>
    </cfRule>
  </conditionalFormatting>
  <conditionalFormatting sqref="C31">
    <cfRule type="cellIs" dxfId="34" priority="60" operator="greaterThan">
      <formula>0</formula>
    </cfRule>
  </conditionalFormatting>
  <conditionalFormatting sqref="C31">
    <cfRule type="cellIs" dxfId="33" priority="59" operator="greaterThan">
      <formula>0</formula>
    </cfRule>
  </conditionalFormatting>
  <conditionalFormatting sqref="C31">
    <cfRule type="cellIs" dxfId="32" priority="58" operator="greaterThan">
      <formula>0</formula>
    </cfRule>
  </conditionalFormatting>
  <conditionalFormatting sqref="X24:Y24 AB24:AC24 Q24:Q64 E24:E64 AF24:AF64 C24:C64 T25:T28 L24:O64 T24:U24">
    <cfRule type="cellIs" dxfId="31" priority="57" operator="notEqual">
      <formula>0</formula>
    </cfRule>
  </conditionalFormatting>
  <conditionalFormatting sqref="X24:Y24 AB24:AC24">
    <cfRule type="cellIs" dxfId="30" priority="56" operator="greaterThan">
      <formula>0</formula>
    </cfRule>
  </conditionalFormatting>
  <conditionalFormatting sqref="X24:Y24 AB24:AC24">
    <cfRule type="cellIs" dxfId="29" priority="55" operator="greaterThan">
      <formula>0</formula>
    </cfRule>
  </conditionalFormatting>
  <conditionalFormatting sqref="X24:Y24 AB24:AC24">
    <cfRule type="cellIs" dxfId="28" priority="54" operator="greaterThan">
      <formula>0</formula>
    </cfRule>
  </conditionalFormatting>
  <conditionalFormatting sqref="X25:Y64 AB25:AC64 U25:U28 T29:U64">
    <cfRule type="cellIs" dxfId="27" priority="48" operator="notEqual">
      <formula>0</formula>
    </cfRule>
  </conditionalFormatting>
  <conditionalFormatting sqref="F24:F64">
    <cfRule type="cellIs" dxfId="26" priority="33" operator="notEqual">
      <formula>0</formula>
    </cfRule>
  </conditionalFormatting>
  <conditionalFormatting sqref="G24:J64">
    <cfRule type="cellIs" dxfId="25" priority="32" operator="notEqual">
      <formula>0</formula>
    </cfRule>
  </conditionalFormatting>
  <conditionalFormatting sqref="K25:K64">
    <cfRule type="cellIs" dxfId="24" priority="25" operator="notEqual">
      <formula>0</formula>
    </cfRule>
  </conditionalFormatting>
  <conditionalFormatting sqref="P24">
    <cfRule type="cellIs" dxfId="23" priority="24" operator="greaterThan">
      <formula>0</formula>
    </cfRule>
  </conditionalFormatting>
  <conditionalFormatting sqref="P24:P64">
    <cfRule type="cellIs" dxfId="22" priority="23" operator="notEqual">
      <formula>0</formula>
    </cfRule>
  </conditionalFormatting>
  <conditionalFormatting sqref="D24:D64">
    <cfRule type="cellIs" dxfId="21" priority="22" operator="greaterThan">
      <formula>0</formula>
    </cfRule>
  </conditionalFormatting>
  <conditionalFormatting sqref="D24:D64">
    <cfRule type="cellIs" dxfId="20" priority="21" operator="notEqual">
      <formula>0</formula>
    </cfRule>
  </conditionalFormatting>
  <conditionalFormatting sqref="K24">
    <cfRule type="cellIs" dxfId="19" priority="20" operator="greaterThan">
      <formula>0</formula>
    </cfRule>
  </conditionalFormatting>
  <conditionalFormatting sqref="K24">
    <cfRule type="cellIs" dxfId="18" priority="19" operator="notEqual">
      <formula>0</formula>
    </cfRule>
  </conditionalFormatting>
  <conditionalFormatting sqref="AG24:AG64">
    <cfRule type="cellIs" dxfId="17" priority="18" operator="notEqual">
      <formula>0</formula>
    </cfRule>
  </conditionalFormatting>
  <conditionalFormatting sqref="C24">
    <cfRule type="cellIs" dxfId="16" priority="17" operator="greaterThan">
      <formula>0</formula>
    </cfRule>
  </conditionalFormatting>
  <conditionalFormatting sqref="C24">
    <cfRule type="cellIs" dxfId="15" priority="16" operator="greaterThan">
      <formula>0</formula>
    </cfRule>
  </conditionalFormatting>
  <conditionalFormatting sqref="R24:S24">
    <cfRule type="cellIs" dxfId="14" priority="15" operator="greaterThan">
      <formula>0</formula>
    </cfRule>
  </conditionalFormatting>
  <conditionalFormatting sqref="R24:S64">
    <cfRule type="cellIs" dxfId="13" priority="14" operator="notEqual">
      <formula>0</formula>
    </cfRule>
  </conditionalFormatting>
  <conditionalFormatting sqref="V25:V28 V24:W24">
    <cfRule type="cellIs" dxfId="12" priority="13" operator="greaterThan">
      <formula>0</formula>
    </cfRule>
  </conditionalFormatting>
  <conditionalFormatting sqref="V25:V28 V24:W24">
    <cfRule type="cellIs" dxfId="11" priority="12" operator="notEqual">
      <formula>0</formula>
    </cfRule>
  </conditionalFormatting>
  <conditionalFormatting sqref="W25:W28 V29:W64">
    <cfRule type="cellIs" dxfId="10" priority="11" operator="notEqual">
      <formula>0</formula>
    </cfRule>
  </conditionalFormatting>
  <conditionalFormatting sqref="Z24:AA24">
    <cfRule type="cellIs" dxfId="9" priority="10" operator="notEqual">
      <formula>0</formula>
    </cfRule>
  </conditionalFormatting>
  <conditionalFormatting sqref="Z24:AA24">
    <cfRule type="cellIs" dxfId="8" priority="9" operator="greaterThan">
      <formula>0</formula>
    </cfRule>
  </conditionalFormatting>
  <conditionalFormatting sqref="Z24:AA24">
    <cfRule type="cellIs" dxfId="7" priority="8" operator="greaterThan">
      <formula>0</formula>
    </cfRule>
  </conditionalFormatting>
  <conditionalFormatting sqref="Z24:AA24">
    <cfRule type="cellIs" dxfId="6" priority="7" operator="greaterThan">
      <formula>0</formula>
    </cfRule>
  </conditionalFormatting>
  <conditionalFormatting sqref="Z25:AA64">
    <cfRule type="cellIs" dxfId="5" priority="6" operator="notEqual">
      <formula>0</formula>
    </cfRule>
  </conditionalFormatting>
  <conditionalFormatting sqref="AD24:AE24">
    <cfRule type="cellIs" dxfId="4" priority="5" operator="notEqual">
      <formula>0</formula>
    </cfRule>
  </conditionalFormatting>
  <conditionalFormatting sqref="AD24:AE24">
    <cfRule type="cellIs" dxfId="3" priority="4" operator="greaterThan">
      <formula>0</formula>
    </cfRule>
  </conditionalFormatting>
  <conditionalFormatting sqref="AD24:AE24">
    <cfRule type="cellIs" dxfId="2" priority="3" operator="greaterThan">
      <formula>0</formula>
    </cfRule>
  </conditionalFormatting>
  <conditionalFormatting sqref="AD24:AE24">
    <cfRule type="cellIs" dxfId="1" priority="2" operator="greaterThan">
      <formula>0</formula>
    </cfRule>
  </conditionalFormatting>
  <conditionalFormatting sqref="AD25:AE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J1" zoomScale="70" zoomScaleSheetLayoutView="70" workbookViewId="0">
      <selection activeCell="AU26" sqref="AU26:AV26"/>
    </sheetView>
  </sheetViews>
  <sheetFormatPr defaultColWidth="9.140625" defaultRowHeight="15" x14ac:dyDescent="0.25"/>
  <cols>
    <col min="1" max="1" width="6.140625" style="178" customWidth="1"/>
    <col min="2" max="2" width="23.140625" style="179" customWidth="1"/>
    <col min="3" max="3" width="13.85546875" style="179" customWidth="1"/>
    <col min="4" max="4" width="15.140625" style="179" customWidth="1"/>
    <col min="5" max="12" width="7.7109375" style="179" customWidth="1"/>
    <col min="13" max="13" width="18" style="179" customWidth="1"/>
    <col min="14" max="14" width="53.28515625" style="179" customWidth="1"/>
    <col min="15" max="15" width="24.5703125" style="179" customWidth="1"/>
    <col min="16" max="16" width="23.140625" style="179" customWidth="1"/>
    <col min="17" max="17" width="21.85546875" style="179" customWidth="1"/>
    <col min="18" max="18" width="20.140625" style="179" customWidth="1"/>
    <col min="19" max="19" width="14.28515625" style="179" customWidth="1"/>
    <col min="20" max="20" width="12.42578125" style="179" customWidth="1"/>
    <col min="21" max="21" width="11.42578125" style="179" customWidth="1"/>
    <col min="22" max="22" width="12.7109375" style="179" customWidth="1"/>
    <col min="23" max="23" width="27.85546875" style="179" customWidth="1"/>
    <col min="24" max="24" width="21.28515625" style="179" customWidth="1"/>
    <col min="25" max="25" width="21.140625" style="179" customWidth="1"/>
    <col min="26" max="26" width="7.7109375" style="179" customWidth="1"/>
    <col min="27" max="27" width="23.28515625" style="179" customWidth="1"/>
    <col min="28" max="28" width="21.28515625" style="179" customWidth="1"/>
    <col min="29" max="29" width="28.5703125" style="179" customWidth="1"/>
    <col min="30" max="30" width="17.42578125" style="179" customWidth="1"/>
    <col min="31" max="31" width="25.7109375" style="179" customWidth="1"/>
    <col min="32" max="32" width="17.42578125" style="179" customWidth="1"/>
    <col min="33" max="33" width="17.28515625" style="179" customWidth="1"/>
    <col min="34" max="34" width="14.7109375" style="179" customWidth="1"/>
    <col min="35" max="35" width="15.42578125" style="179" customWidth="1"/>
    <col min="36" max="36" width="20" style="179" customWidth="1"/>
    <col min="37" max="37" width="19.85546875" style="179" customWidth="1"/>
    <col min="38" max="38" width="26.7109375" style="179" customWidth="1"/>
    <col min="39" max="39" width="20.140625" style="179" customWidth="1"/>
    <col min="40" max="40" width="16.140625" style="179" customWidth="1"/>
    <col min="41" max="41" width="16.5703125" style="179" customWidth="1"/>
    <col min="42" max="42" width="16.28515625" style="179" customWidth="1"/>
    <col min="43" max="43" width="17.140625" style="179" customWidth="1"/>
    <col min="44" max="44" width="18" style="179" customWidth="1"/>
    <col min="45" max="45" width="16.140625" style="179" customWidth="1"/>
    <col min="46" max="46" width="18" style="179" customWidth="1"/>
    <col min="47" max="47" width="16.28515625" style="179" customWidth="1"/>
    <col min="48" max="48" width="19.7109375" style="179" customWidth="1"/>
    <col min="49" max="16384" width="9.140625" style="179"/>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51" t="str">
        <f>'1. паспорт местоположение'!A5:C5</f>
        <v>Год раскрытия информации: 2021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row>
    <row r="6" spans="1:48" ht="18.75" x14ac:dyDescent="0.3">
      <c r="AV6" s="14"/>
    </row>
    <row r="7" spans="1:48" ht="18.75" x14ac:dyDescent="0.25">
      <c r="A7" s="362" t="s">
        <v>7</v>
      </c>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362"/>
      <c r="AB7" s="362"/>
      <c r="AC7" s="362"/>
      <c r="AD7" s="362"/>
      <c r="AE7" s="362"/>
      <c r="AF7" s="362"/>
      <c r="AG7" s="362"/>
      <c r="AH7" s="362"/>
      <c r="AI7" s="362"/>
      <c r="AJ7" s="362"/>
      <c r="AK7" s="362"/>
      <c r="AL7" s="362"/>
      <c r="AM7" s="362"/>
      <c r="AN7" s="362"/>
      <c r="AO7" s="362"/>
      <c r="AP7" s="362"/>
      <c r="AQ7" s="362"/>
      <c r="AR7" s="362"/>
      <c r="AS7" s="362"/>
      <c r="AT7" s="362"/>
      <c r="AU7" s="362"/>
      <c r="AV7" s="362"/>
    </row>
    <row r="8" spans="1:48" ht="18.75" x14ac:dyDescent="0.25">
      <c r="A8" s="362"/>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ht="15.75" x14ac:dyDescent="0.25">
      <c r="A9" s="357" t="str">
        <f>'1. паспорт местоположение'!A9:C9</f>
        <v xml:space="preserve">Акционерное общество "Западная энергетическая компания" </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row>
    <row r="10" spans="1:48" ht="15.75" x14ac:dyDescent="0.25">
      <c r="A10" s="358" t="s">
        <v>6</v>
      </c>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c r="AG10" s="358"/>
      <c r="AH10" s="358"/>
      <c r="AI10" s="358"/>
      <c r="AJ10" s="358"/>
      <c r="AK10" s="358"/>
      <c r="AL10" s="358"/>
      <c r="AM10" s="358"/>
      <c r="AN10" s="358"/>
      <c r="AO10" s="358"/>
      <c r="AP10" s="358"/>
      <c r="AQ10" s="358"/>
      <c r="AR10" s="358"/>
      <c r="AS10" s="358"/>
      <c r="AT10" s="358"/>
      <c r="AU10" s="358"/>
      <c r="AV10" s="358"/>
    </row>
    <row r="11" spans="1:48" ht="18.75" x14ac:dyDescent="0.25">
      <c r="A11" s="362"/>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ht="15.75" x14ac:dyDescent="0.25">
      <c r="A12" s="357" t="str">
        <f>'1. паспорт местоположение'!A12:C12</f>
        <v>J_19-08</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row>
    <row r="13" spans="1:48" ht="15.75" x14ac:dyDescent="0.25">
      <c r="A13" s="358" t="s">
        <v>5</v>
      </c>
      <c r="B13" s="358"/>
      <c r="C13" s="358"/>
      <c r="D13" s="358"/>
      <c r="E13" s="358"/>
      <c r="F13" s="358"/>
      <c r="G13" s="358"/>
      <c r="H13" s="358"/>
      <c r="I13" s="358"/>
      <c r="J13" s="358"/>
      <c r="K13" s="358"/>
      <c r="L13" s="358"/>
      <c r="M13" s="358"/>
      <c r="N13" s="358"/>
      <c r="O13" s="358"/>
      <c r="P13" s="358"/>
      <c r="Q13" s="358"/>
      <c r="R13" s="358"/>
      <c r="S13" s="358"/>
      <c r="T13" s="358"/>
      <c r="U13" s="358"/>
      <c r="V13" s="358"/>
      <c r="W13" s="358"/>
      <c r="X13" s="358"/>
      <c r="Y13" s="358"/>
      <c r="Z13" s="358"/>
      <c r="AA13" s="358"/>
      <c r="AB13" s="358"/>
      <c r="AC13" s="358"/>
      <c r="AD13" s="358"/>
      <c r="AE13" s="358"/>
      <c r="AF13" s="358"/>
      <c r="AG13" s="358"/>
      <c r="AH13" s="358"/>
      <c r="AI13" s="358"/>
      <c r="AJ13" s="358"/>
      <c r="AK13" s="358"/>
      <c r="AL13" s="358"/>
      <c r="AM13" s="358"/>
      <c r="AN13" s="358"/>
      <c r="AO13" s="358"/>
      <c r="AP13" s="358"/>
      <c r="AQ13" s="358"/>
      <c r="AR13" s="358"/>
      <c r="AS13" s="358"/>
      <c r="AT13" s="358"/>
      <c r="AU13" s="358"/>
      <c r="AV13" s="358"/>
    </row>
    <row r="14" spans="1:48" ht="18.75" x14ac:dyDescent="0.25">
      <c r="A14" s="363"/>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63"/>
      <c r="AL14" s="363"/>
      <c r="AM14" s="363"/>
      <c r="AN14" s="363"/>
      <c r="AO14" s="363"/>
      <c r="AP14" s="363"/>
      <c r="AQ14" s="363"/>
      <c r="AR14" s="363"/>
      <c r="AS14" s="363"/>
      <c r="AT14" s="363"/>
      <c r="AU14" s="363"/>
      <c r="AV14" s="363"/>
    </row>
    <row r="15" spans="1:48" ht="15.75" x14ac:dyDescent="0.25">
      <c r="A15" s="357" t="str">
        <f>'1. паспорт местоположение'!A15:C15</f>
        <v>Реконструкция ТП-4  15/0,4кВ п.Северный, Багратионовского р-на</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58" t="s">
        <v>4</v>
      </c>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s="180" customFormat="1"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s="180" customFormat="1" x14ac:dyDescent="0.25">
      <c r="A21" s="443" t="s">
        <v>406</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3"/>
      <c r="AB21" s="443"/>
      <c r="AC21" s="443"/>
      <c r="AD21" s="443"/>
      <c r="AE21" s="443"/>
      <c r="AF21" s="443"/>
      <c r="AG21" s="443"/>
      <c r="AH21" s="443"/>
      <c r="AI21" s="443"/>
      <c r="AJ21" s="443"/>
      <c r="AK21" s="443"/>
      <c r="AL21" s="443"/>
      <c r="AM21" s="443"/>
      <c r="AN21" s="443"/>
      <c r="AO21" s="443"/>
      <c r="AP21" s="443"/>
      <c r="AQ21" s="443"/>
      <c r="AR21" s="443"/>
      <c r="AS21" s="443"/>
      <c r="AT21" s="443"/>
      <c r="AU21" s="443"/>
      <c r="AV21" s="443"/>
    </row>
    <row r="22" spans="1:48" s="180" customFormat="1" ht="58.5" customHeight="1" x14ac:dyDescent="0.25">
      <c r="A22" s="444" t="s">
        <v>50</v>
      </c>
      <c r="B22" s="450" t="s">
        <v>22</v>
      </c>
      <c r="C22" s="447" t="s">
        <v>49</v>
      </c>
      <c r="D22" s="447" t="s">
        <v>48</v>
      </c>
      <c r="E22" s="453" t="s">
        <v>416</v>
      </c>
      <c r="F22" s="454"/>
      <c r="G22" s="454"/>
      <c r="H22" s="454"/>
      <c r="I22" s="454"/>
      <c r="J22" s="454"/>
      <c r="K22" s="454"/>
      <c r="L22" s="455"/>
      <c r="M22" s="447" t="s">
        <v>47</v>
      </c>
      <c r="N22" s="447" t="s">
        <v>46</v>
      </c>
      <c r="O22" s="447" t="s">
        <v>45</v>
      </c>
      <c r="P22" s="456" t="s">
        <v>228</v>
      </c>
      <c r="Q22" s="456" t="s">
        <v>44</v>
      </c>
      <c r="R22" s="456" t="s">
        <v>43</v>
      </c>
      <c r="S22" s="456" t="s">
        <v>42</v>
      </c>
      <c r="T22" s="456"/>
      <c r="U22" s="457" t="s">
        <v>41</v>
      </c>
      <c r="V22" s="457" t="s">
        <v>40</v>
      </c>
      <c r="W22" s="456" t="s">
        <v>39</v>
      </c>
      <c r="X22" s="456" t="s">
        <v>38</v>
      </c>
      <c r="Y22" s="456" t="s">
        <v>37</v>
      </c>
      <c r="Z22" s="470" t="s">
        <v>36</v>
      </c>
      <c r="AA22" s="456" t="s">
        <v>35</v>
      </c>
      <c r="AB22" s="456" t="s">
        <v>34</v>
      </c>
      <c r="AC22" s="456" t="s">
        <v>33</v>
      </c>
      <c r="AD22" s="456" t="s">
        <v>32</v>
      </c>
      <c r="AE22" s="456" t="s">
        <v>31</v>
      </c>
      <c r="AF22" s="456" t="s">
        <v>30</v>
      </c>
      <c r="AG22" s="456"/>
      <c r="AH22" s="456"/>
      <c r="AI22" s="456"/>
      <c r="AJ22" s="456"/>
      <c r="AK22" s="456"/>
      <c r="AL22" s="456" t="s">
        <v>29</v>
      </c>
      <c r="AM22" s="456"/>
      <c r="AN22" s="456"/>
      <c r="AO22" s="456"/>
      <c r="AP22" s="456" t="s">
        <v>28</v>
      </c>
      <c r="AQ22" s="456"/>
      <c r="AR22" s="456" t="s">
        <v>27</v>
      </c>
      <c r="AS22" s="456" t="s">
        <v>26</v>
      </c>
      <c r="AT22" s="456" t="s">
        <v>25</v>
      </c>
      <c r="AU22" s="456" t="s">
        <v>24</v>
      </c>
      <c r="AV22" s="460" t="s">
        <v>23</v>
      </c>
    </row>
    <row r="23" spans="1:48" s="180" customFormat="1" ht="64.5" customHeight="1" x14ac:dyDescent="0.25">
      <c r="A23" s="445"/>
      <c r="B23" s="451"/>
      <c r="C23" s="448"/>
      <c r="D23" s="448"/>
      <c r="E23" s="462" t="s">
        <v>21</v>
      </c>
      <c r="F23" s="464" t="s">
        <v>126</v>
      </c>
      <c r="G23" s="464" t="s">
        <v>125</v>
      </c>
      <c r="H23" s="464" t="s">
        <v>124</v>
      </c>
      <c r="I23" s="468" t="s">
        <v>353</v>
      </c>
      <c r="J23" s="468" t="s">
        <v>354</v>
      </c>
      <c r="K23" s="468" t="s">
        <v>355</v>
      </c>
      <c r="L23" s="464" t="s">
        <v>74</v>
      </c>
      <c r="M23" s="448"/>
      <c r="N23" s="448"/>
      <c r="O23" s="448"/>
      <c r="P23" s="456"/>
      <c r="Q23" s="456"/>
      <c r="R23" s="456"/>
      <c r="S23" s="466" t="s">
        <v>2</v>
      </c>
      <c r="T23" s="466" t="s">
        <v>9</v>
      </c>
      <c r="U23" s="457"/>
      <c r="V23" s="457"/>
      <c r="W23" s="456"/>
      <c r="X23" s="456"/>
      <c r="Y23" s="456"/>
      <c r="Z23" s="456"/>
      <c r="AA23" s="456"/>
      <c r="AB23" s="456"/>
      <c r="AC23" s="456"/>
      <c r="AD23" s="456"/>
      <c r="AE23" s="456"/>
      <c r="AF23" s="456" t="s">
        <v>20</v>
      </c>
      <c r="AG23" s="456"/>
      <c r="AH23" s="456" t="s">
        <v>19</v>
      </c>
      <c r="AI23" s="456"/>
      <c r="AJ23" s="447" t="s">
        <v>18</v>
      </c>
      <c r="AK23" s="447" t="s">
        <v>17</v>
      </c>
      <c r="AL23" s="447" t="s">
        <v>16</v>
      </c>
      <c r="AM23" s="447" t="s">
        <v>15</v>
      </c>
      <c r="AN23" s="447" t="s">
        <v>14</v>
      </c>
      <c r="AO23" s="447" t="s">
        <v>13</v>
      </c>
      <c r="AP23" s="447" t="s">
        <v>12</v>
      </c>
      <c r="AQ23" s="458" t="s">
        <v>9</v>
      </c>
      <c r="AR23" s="456"/>
      <c r="AS23" s="456"/>
      <c r="AT23" s="456"/>
      <c r="AU23" s="456"/>
      <c r="AV23" s="461"/>
    </row>
    <row r="24" spans="1:48" s="180" customFormat="1" ht="96.75" customHeight="1" x14ac:dyDescent="0.25">
      <c r="A24" s="446"/>
      <c r="B24" s="452"/>
      <c r="C24" s="449"/>
      <c r="D24" s="449"/>
      <c r="E24" s="463"/>
      <c r="F24" s="465"/>
      <c r="G24" s="465"/>
      <c r="H24" s="465"/>
      <c r="I24" s="469"/>
      <c r="J24" s="469"/>
      <c r="K24" s="469"/>
      <c r="L24" s="465"/>
      <c r="M24" s="449"/>
      <c r="N24" s="449"/>
      <c r="O24" s="449"/>
      <c r="P24" s="456"/>
      <c r="Q24" s="456"/>
      <c r="R24" s="456"/>
      <c r="S24" s="467"/>
      <c r="T24" s="467"/>
      <c r="U24" s="457"/>
      <c r="V24" s="457"/>
      <c r="W24" s="456"/>
      <c r="X24" s="456"/>
      <c r="Y24" s="456"/>
      <c r="Z24" s="456"/>
      <c r="AA24" s="456"/>
      <c r="AB24" s="456"/>
      <c r="AC24" s="456"/>
      <c r="AD24" s="456"/>
      <c r="AE24" s="456"/>
      <c r="AF24" s="181" t="s">
        <v>11</v>
      </c>
      <c r="AG24" s="181" t="s">
        <v>10</v>
      </c>
      <c r="AH24" s="182" t="s">
        <v>2</v>
      </c>
      <c r="AI24" s="182" t="s">
        <v>9</v>
      </c>
      <c r="AJ24" s="449"/>
      <c r="AK24" s="449"/>
      <c r="AL24" s="449"/>
      <c r="AM24" s="449"/>
      <c r="AN24" s="449"/>
      <c r="AO24" s="449"/>
      <c r="AP24" s="449"/>
      <c r="AQ24" s="459"/>
      <c r="AR24" s="456"/>
      <c r="AS24" s="456"/>
      <c r="AT24" s="456"/>
      <c r="AU24" s="456"/>
      <c r="AV24" s="461"/>
    </row>
    <row r="25" spans="1:48" s="185" customFormat="1" ht="11.25" x14ac:dyDescent="0.2">
      <c r="A25" s="183">
        <v>1</v>
      </c>
      <c r="B25" s="184">
        <v>2</v>
      </c>
      <c r="C25" s="184">
        <v>4</v>
      </c>
      <c r="D25" s="184">
        <v>5</v>
      </c>
      <c r="E25" s="184">
        <v>6</v>
      </c>
      <c r="F25" s="184">
        <f>E25+1</f>
        <v>7</v>
      </c>
      <c r="G25" s="184">
        <f t="shared" ref="G25:H25" si="0">F25+1</f>
        <v>8</v>
      </c>
      <c r="H25" s="184">
        <f t="shared" si="0"/>
        <v>9</v>
      </c>
      <c r="I25" s="184">
        <f t="shared" ref="I25" si="1">H25+1</f>
        <v>10</v>
      </c>
      <c r="J25" s="184">
        <f t="shared" ref="J25" si="2">I25+1</f>
        <v>11</v>
      </c>
      <c r="K25" s="184">
        <f t="shared" ref="K25" si="3">J25+1</f>
        <v>12</v>
      </c>
      <c r="L25" s="184">
        <f t="shared" ref="L25" si="4">K25+1</f>
        <v>13</v>
      </c>
      <c r="M25" s="184">
        <f t="shared" ref="M25" si="5">L25+1</f>
        <v>14</v>
      </c>
      <c r="N25" s="184">
        <f t="shared" ref="N25" si="6">M25+1</f>
        <v>15</v>
      </c>
      <c r="O25" s="184">
        <f t="shared" ref="O25" si="7">N25+1</f>
        <v>16</v>
      </c>
      <c r="P25" s="184">
        <f t="shared" ref="P25" si="8">O25+1</f>
        <v>17</v>
      </c>
      <c r="Q25" s="184">
        <f t="shared" ref="Q25" si="9">P25+1</f>
        <v>18</v>
      </c>
      <c r="R25" s="184">
        <f t="shared" ref="R25" si="10">Q25+1</f>
        <v>19</v>
      </c>
      <c r="S25" s="184">
        <f t="shared" ref="S25" si="11">R25+1</f>
        <v>20</v>
      </c>
      <c r="T25" s="184">
        <f t="shared" ref="T25" si="12">S25+1</f>
        <v>21</v>
      </c>
      <c r="U25" s="184">
        <f t="shared" ref="U25" si="13">T25+1</f>
        <v>22</v>
      </c>
      <c r="V25" s="184">
        <f t="shared" ref="V25" si="14">U25+1</f>
        <v>23</v>
      </c>
      <c r="W25" s="184">
        <f t="shared" ref="W25" si="15">V25+1</f>
        <v>24</v>
      </c>
      <c r="X25" s="184">
        <f t="shared" ref="X25" si="16">W25+1</f>
        <v>25</v>
      </c>
      <c r="Y25" s="184">
        <f t="shared" ref="Y25" si="17">X25+1</f>
        <v>26</v>
      </c>
      <c r="Z25" s="184">
        <f t="shared" ref="Z25" si="18">Y25+1</f>
        <v>27</v>
      </c>
      <c r="AA25" s="184">
        <f t="shared" ref="AA25" si="19">Z25+1</f>
        <v>28</v>
      </c>
      <c r="AB25" s="184">
        <f t="shared" ref="AB25" si="20">AA25+1</f>
        <v>29</v>
      </c>
      <c r="AC25" s="184">
        <f t="shared" ref="AC25" si="21">AB25+1</f>
        <v>30</v>
      </c>
      <c r="AD25" s="184">
        <f t="shared" ref="AD25" si="22">AC25+1</f>
        <v>31</v>
      </c>
      <c r="AE25" s="184">
        <f t="shared" ref="AE25" si="23">AD25+1</f>
        <v>32</v>
      </c>
      <c r="AF25" s="184">
        <f t="shared" ref="AF25" si="24">AE25+1</f>
        <v>33</v>
      </c>
      <c r="AG25" s="184">
        <f t="shared" ref="AG25" si="25">AF25+1</f>
        <v>34</v>
      </c>
      <c r="AH25" s="184">
        <f t="shared" ref="AH25" si="26">AG25+1</f>
        <v>35</v>
      </c>
      <c r="AI25" s="184">
        <f t="shared" ref="AI25" si="27">AH25+1</f>
        <v>36</v>
      </c>
      <c r="AJ25" s="184">
        <f t="shared" ref="AJ25" si="28">AI25+1</f>
        <v>37</v>
      </c>
      <c r="AK25" s="184">
        <f t="shared" ref="AK25" si="29">AJ25+1</f>
        <v>38</v>
      </c>
      <c r="AL25" s="184">
        <f t="shared" ref="AL25" si="30">AK25+1</f>
        <v>39</v>
      </c>
      <c r="AM25" s="184">
        <f t="shared" ref="AM25" si="31">AL25+1</f>
        <v>40</v>
      </c>
      <c r="AN25" s="184">
        <f t="shared" ref="AN25" si="32">AM25+1</f>
        <v>41</v>
      </c>
      <c r="AO25" s="184">
        <f t="shared" ref="AO25" si="33">AN25+1</f>
        <v>42</v>
      </c>
      <c r="AP25" s="184">
        <f t="shared" ref="AP25" si="34">AO25+1</f>
        <v>43</v>
      </c>
      <c r="AQ25" s="184">
        <f t="shared" ref="AQ25" si="35">AP25+1</f>
        <v>44</v>
      </c>
      <c r="AR25" s="184">
        <f t="shared" ref="AR25" si="36">AQ25+1</f>
        <v>45</v>
      </c>
      <c r="AS25" s="184">
        <f t="shared" ref="AS25" si="37">AR25+1</f>
        <v>46</v>
      </c>
      <c r="AT25" s="184">
        <f t="shared" ref="AT25" si="38">AS25+1</f>
        <v>47</v>
      </c>
      <c r="AU25" s="184">
        <f t="shared" ref="AU25" si="39">AT25+1</f>
        <v>48</v>
      </c>
      <c r="AV25" s="184">
        <f t="shared" ref="AV25" si="40">AU25+1</f>
        <v>49</v>
      </c>
    </row>
    <row r="26" spans="1:48" s="190" customFormat="1" ht="63" x14ac:dyDescent="0.25">
      <c r="A26" s="186">
        <v>1</v>
      </c>
      <c r="B26" s="187" t="str">
        <f>A9</f>
        <v xml:space="preserve">Акционерное общество "Западная энергетическая компания" </v>
      </c>
      <c r="C26" s="187" t="s">
        <v>62</v>
      </c>
      <c r="D26" s="200">
        <f>'6.1. Паспорт сетевой график'!C53</f>
        <v>44818</v>
      </c>
      <c r="E26" s="187"/>
      <c r="F26" s="187"/>
      <c r="G26" s="187">
        <v>0</v>
      </c>
      <c r="H26" s="187"/>
      <c r="I26" s="187"/>
      <c r="J26" s="187"/>
      <c r="K26" s="187"/>
      <c r="L26" s="187">
        <v>5</v>
      </c>
      <c r="M26" s="187" t="s">
        <v>577</v>
      </c>
      <c r="N26" s="187" t="s">
        <v>553</v>
      </c>
      <c r="O26" s="188" t="str">
        <f>B26</f>
        <v xml:space="preserve">Акционерное общество "Западная энергетическая компания" </v>
      </c>
      <c r="P26" s="189">
        <f>'6.2. Паспорт фин осв ввод'!C24</f>
        <v>7.922016953411986</v>
      </c>
      <c r="Q26" s="187" t="s">
        <v>554</v>
      </c>
      <c r="R26" s="189">
        <f>P26</f>
        <v>7.922016953411986</v>
      </c>
      <c r="S26" s="188" t="s">
        <v>615</v>
      </c>
      <c r="T26" s="188" t="s">
        <v>542</v>
      </c>
      <c r="U26" s="188" t="s">
        <v>542</v>
      </c>
      <c r="V26" s="188" t="s">
        <v>542</v>
      </c>
      <c r="W26" s="188" t="s">
        <v>542</v>
      </c>
      <c r="X26" s="188" t="s">
        <v>542</v>
      </c>
      <c r="Y26" s="188" t="s">
        <v>542</v>
      </c>
      <c r="Z26" s="188" t="s">
        <v>542</v>
      </c>
      <c r="AA26" s="188" t="s">
        <v>542</v>
      </c>
      <c r="AB26" s="188" t="s">
        <v>542</v>
      </c>
      <c r="AC26" s="188" t="s">
        <v>542</v>
      </c>
      <c r="AD26" s="188" t="s">
        <v>542</v>
      </c>
      <c r="AE26" s="188" t="s">
        <v>542</v>
      </c>
      <c r="AF26" s="188" t="s">
        <v>542</v>
      </c>
      <c r="AG26" s="188" t="s">
        <v>542</v>
      </c>
      <c r="AH26" s="188" t="s">
        <v>542</v>
      </c>
      <c r="AI26" s="188" t="s">
        <v>542</v>
      </c>
      <c r="AJ26" s="188" t="s">
        <v>542</v>
      </c>
      <c r="AK26" s="188" t="s">
        <v>542</v>
      </c>
      <c r="AL26" s="188" t="s">
        <v>542</v>
      </c>
      <c r="AM26" s="188" t="s">
        <v>542</v>
      </c>
      <c r="AN26" s="188" t="s">
        <v>542</v>
      </c>
      <c r="AO26" s="188" t="s">
        <v>542</v>
      </c>
      <c r="AP26" s="188" t="s">
        <v>542</v>
      </c>
      <c r="AQ26" s="188" t="s">
        <v>542</v>
      </c>
      <c r="AR26" s="188" t="s">
        <v>542</v>
      </c>
      <c r="AS26" s="188" t="s">
        <v>542</v>
      </c>
      <c r="AT26" s="188" t="s">
        <v>542</v>
      </c>
      <c r="AU26" s="188" t="s">
        <v>542</v>
      </c>
      <c r="AV26" s="188" t="s">
        <v>542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22" sqref="B22"/>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471" t="str">
        <f>'1. паспорт местоположение'!A5:C5</f>
        <v>Год раскрытия информации: 2021 год</v>
      </c>
      <c r="B5" s="471"/>
      <c r="C5" s="68"/>
      <c r="D5" s="68"/>
      <c r="E5" s="68"/>
      <c r="F5" s="68"/>
      <c r="G5" s="68"/>
      <c r="H5" s="68"/>
    </row>
    <row r="6" spans="1:8" ht="18.75" x14ac:dyDescent="0.3">
      <c r="A6" s="103"/>
      <c r="B6" s="103"/>
      <c r="C6" s="103"/>
      <c r="D6" s="103"/>
      <c r="E6" s="103"/>
      <c r="F6" s="103"/>
      <c r="G6" s="103"/>
      <c r="H6" s="103"/>
    </row>
    <row r="7" spans="1:8" ht="18.75" x14ac:dyDescent="0.25">
      <c r="A7" s="362" t="s">
        <v>7</v>
      </c>
      <c r="B7" s="362"/>
      <c r="C7" s="138"/>
      <c r="D7" s="138"/>
      <c r="E7" s="138"/>
      <c r="F7" s="138"/>
      <c r="G7" s="138"/>
      <c r="H7" s="138"/>
    </row>
    <row r="8" spans="1:8" ht="18.75" x14ac:dyDescent="0.25">
      <c r="A8" s="138"/>
      <c r="B8" s="138"/>
      <c r="C8" s="138"/>
      <c r="D8" s="138"/>
      <c r="E8" s="138"/>
      <c r="F8" s="138"/>
      <c r="G8" s="138"/>
      <c r="H8" s="138"/>
    </row>
    <row r="9" spans="1:8" x14ac:dyDescent="0.25">
      <c r="A9" s="357" t="str">
        <f>'1. паспорт местоположение'!A9:C9</f>
        <v xml:space="preserve">Акционерное общество "Западная энергетическая компания" </v>
      </c>
      <c r="B9" s="357"/>
      <c r="C9" s="140"/>
      <c r="D9" s="140"/>
      <c r="E9" s="140"/>
      <c r="F9" s="140"/>
      <c r="G9" s="140"/>
      <c r="H9" s="140"/>
    </row>
    <row r="10" spans="1:8" x14ac:dyDescent="0.25">
      <c r="A10" s="358" t="s">
        <v>6</v>
      </c>
      <c r="B10" s="358"/>
      <c r="C10" s="141"/>
      <c r="D10" s="141"/>
      <c r="E10" s="141"/>
      <c r="F10" s="141"/>
      <c r="G10" s="141"/>
      <c r="H10" s="141"/>
    </row>
    <row r="11" spans="1:8" ht="18.75" x14ac:dyDescent="0.25">
      <c r="A11" s="138"/>
      <c r="B11" s="138"/>
      <c r="C11" s="138"/>
      <c r="D11" s="138"/>
      <c r="E11" s="138"/>
      <c r="F11" s="138"/>
      <c r="G11" s="138"/>
      <c r="H11" s="138"/>
    </row>
    <row r="12" spans="1:8" ht="30.75" customHeight="1" x14ac:dyDescent="0.25">
      <c r="A12" s="357" t="str">
        <f>'1. паспорт местоположение'!A12:C12</f>
        <v>J_19-08</v>
      </c>
      <c r="B12" s="357"/>
      <c r="C12" s="140"/>
      <c r="D12" s="140"/>
      <c r="E12" s="140"/>
      <c r="F12" s="140"/>
      <c r="G12" s="140"/>
      <c r="H12" s="140"/>
    </row>
    <row r="13" spans="1:8" x14ac:dyDescent="0.25">
      <c r="A13" s="358" t="s">
        <v>5</v>
      </c>
      <c r="B13" s="358"/>
      <c r="C13" s="141"/>
      <c r="D13" s="141"/>
      <c r="E13" s="141"/>
      <c r="F13" s="141"/>
      <c r="G13" s="141"/>
      <c r="H13" s="141"/>
    </row>
    <row r="14" spans="1:8" ht="18.75" x14ac:dyDescent="0.25">
      <c r="A14" s="160"/>
      <c r="B14" s="160"/>
      <c r="C14" s="160"/>
      <c r="D14" s="160"/>
      <c r="E14" s="160"/>
      <c r="F14" s="160"/>
      <c r="G14" s="160"/>
      <c r="H14" s="160"/>
    </row>
    <row r="15" spans="1:8" ht="63.6" customHeight="1" x14ac:dyDescent="0.25">
      <c r="A15" s="391" t="str">
        <f>'1. паспорт местоположение'!A15:C15</f>
        <v>Реконструкция ТП-4  15/0,4кВ п.Северный, Багратионовского р-на</v>
      </c>
      <c r="B15" s="391"/>
      <c r="C15" s="140"/>
      <c r="D15" s="140"/>
      <c r="E15" s="140"/>
      <c r="F15" s="140"/>
      <c r="G15" s="140"/>
      <c r="H15" s="140"/>
    </row>
    <row r="16" spans="1:8" x14ac:dyDescent="0.25">
      <c r="A16" s="358" t="s">
        <v>4</v>
      </c>
      <c r="B16" s="358"/>
      <c r="C16" s="141"/>
      <c r="D16" s="141"/>
      <c r="E16" s="141"/>
      <c r="F16" s="141"/>
      <c r="G16" s="141"/>
      <c r="H16" s="141"/>
    </row>
    <row r="17" spans="1:2" x14ac:dyDescent="0.25">
      <c r="B17" s="78"/>
    </row>
    <row r="18" spans="1:2" ht="33.75" customHeight="1" x14ac:dyDescent="0.25">
      <c r="A18" s="472" t="s">
        <v>407</v>
      </c>
      <c r="B18" s="473"/>
    </row>
    <row r="19" spans="1:2" x14ac:dyDescent="0.25">
      <c r="B19" s="32"/>
    </row>
    <row r="20" spans="1:2" ht="16.5" thickBot="1" x14ac:dyDescent="0.3">
      <c r="B20" s="79"/>
    </row>
    <row r="21" spans="1:2" ht="34.15" customHeight="1" thickBot="1" x14ac:dyDescent="0.3">
      <c r="A21" s="80" t="s">
        <v>304</v>
      </c>
      <c r="B21" s="239" t="str">
        <f>A15</f>
        <v>Реконструкция ТП-4  15/0,4кВ п.Северный, Багратионовского р-на</v>
      </c>
    </row>
    <row r="22" spans="1:2" ht="30" customHeight="1" thickBot="1" x14ac:dyDescent="0.3">
      <c r="A22" s="80" t="s">
        <v>305</v>
      </c>
      <c r="B22" s="244" t="str">
        <f>'1. паспорт местоположение'!C27</f>
        <v>Багратионовский  р-н, п. Северный, Нивенское сельское поселение.</v>
      </c>
    </row>
    <row r="23" spans="1:2" ht="16.5" thickBot="1" x14ac:dyDescent="0.3">
      <c r="A23" s="80" t="s">
        <v>289</v>
      </c>
      <c r="B23" s="81" t="s">
        <v>579</v>
      </c>
    </row>
    <row r="24" spans="1:2" ht="16.5" thickBot="1" x14ac:dyDescent="0.3">
      <c r="A24" s="80" t="s">
        <v>306</v>
      </c>
      <c r="B24" s="81">
        <f>'6.2. Паспорт фин осв ввод'!C45</f>
        <v>0.5</v>
      </c>
    </row>
    <row r="25" spans="1:2" ht="16.5" thickBot="1" x14ac:dyDescent="0.3">
      <c r="A25" s="82" t="s">
        <v>307</v>
      </c>
      <c r="B25" s="243">
        <f>'6.1. Паспорт сетевой график'!C53</f>
        <v>44818</v>
      </c>
    </row>
    <row r="26" spans="1:2" ht="16.5" thickBot="1" x14ac:dyDescent="0.3">
      <c r="A26" s="83" t="s">
        <v>308</v>
      </c>
      <c r="B26" s="240" t="s">
        <v>580</v>
      </c>
    </row>
    <row r="27" spans="1:2" ht="29.25" thickBot="1" x14ac:dyDescent="0.3">
      <c r="A27" s="90" t="s">
        <v>617</v>
      </c>
      <c r="B27" s="241">
        <f>'6.2. Паспорт фин осв ввод'!C24</f>
        <v>7.922016953411986</v>
      </c>
    </row>
    <row r="28" spans="1:2" ht="42" customHeight="1" thickBot="1" x14ac:dyDescent="0.3">
      <c r="A28" s="85" t="s">
        <v>309</v>
      </c>
      <c r="B28" s="85" t="s">
        <v>554</v>
      </c>
    </row>
    <row r="29" spans="1:2" ht="29.25" thickBot="1" x14ac:dyDescent="0.3">
      <c r="A29" s="91" t="s">
        <v>310</v>
      </c>
      <c r="B29" s="129"/>
    </row>
    <row r="30" spans="1:2" ht="29.25" thickBot="1" x14ac:dyDescent="0.3">
      <c r="A30" s="91" t="s">
        <v>311</v>
      </c>
      <c r="B30" s="129"/>
    </row>
    <row r="31" spans="1:2" ht="16.5" thickBot="1" x14ac:dyDescent="0.3">
      <c r="A31" s="85" t="s">
        <v>312</v>
      </c>
      <c r="B31" s="129"/>
    </row>
    <row r="32" spans="1:2" ht="29.25" thickBot="1" x14ac:dyDescent="0.3">
      <c r="A32" s="91" t="s">
        <v>313</v>
      </c>
      <c r="B32" s="129"/>
    </row>
    <row r="33" spans="1:3" s="191" customFormat="1" ht="16.5" thickBot="1" x14ac:dyDescent="0.3">
      <c r="A33" s="198"/>
      <c r="B33" s="199"/>
      <c r="C33" s="191">
        <v>10</v>
      </c>
    </row>
    <row r="34" spans="1:3" ht="16.5" thickBot="1" x14ac:dyDescent="0.3">
      <c r="A34" s="85" t="s">
        <v>315</v>
      </c>
      <c r="B34" s="113"/>
    </row>
    <row r="35" spans="1:3" ht="16.5" thickBot="1" x14ac:dyDescent="0.3">
      <c r="A35" s="85" t="s">
        <v>316</v>
      </c>
      <c r="B35" s="129"/>
      <c r="C35" s="44">
        <v>1</v>
      </c>
    </row>
    <row r="36" spans="1:3" ht="16.5" thickBot="1" x14ac:dyDescent="0.3">
      <c r="A36" s="85" t="s">
        <v>317</v>
      </c>
      <c r="B36" s="129"/>
      <c r="C36" s="44">
        <v>2</v>
      </c>
    </row>
    <row r="37" spans="1:3" s="191" customFormat="1" ht="16.5" thickBot="1" x14ac:dyDescent="0.3">
      <c r="A37" s="111" t="s">
        <v>314</v>
      </c>
      <c r="B37" s="112"/>
      <c r="C37" s="191">
        <v>10</v>
      </c>
    </row>
    <row r="38" spans="1:3" ht="16.5" thickBot="1" x14ac:dyDescent="0.3">
      <c r="A38" s="85" t="s">
        <v>315</v>
      </c>
      <c r="B38" s="113">
        <f>B37/$B$27</f>
        <v>0</v>
      </c>
    </row>
    <row r="39" spans="1:3" ht="16.5" thickBot="1" x14ac:dyDescent="0.3">
      <c r="A39" s="85" t="s">
        <v>316</v>
      </c>
      <c r="B39" s="110"/>
      <c r="C39" s="44">
        <v>1</v>
      </c>
    </row>
    <row r="40" spans="1:3" ht="16.5" thickBot="1" x14ac:dyDescent="0.3">
      <c r="A40" s="85" t="s">
        <v>317</v>
      </c>
      <c r="B40" s="110"/>
      <c r="C40" s="44">
        <v>2</v>
      </c>
    </row>
    <row r="41" spans="1:3" ht="16.5" thickBot="1" x14ac:dyDescent="0.3">
      <c r="A41" s="111" t="s">
        <v>314</v>
      </c>
      <c r="B41" s="112"/>
      <c r="C41" s="191">
        <v>10</v>
      </c>
    </row>
    <row r="42" spans="1:3" ht="16.5" thickBot="1" x14ac:dyDescent="0.3">
      <c r="A42" s="85" t="s">
        <v>315</v>
      </c>
      <c r="B42" s="113">
        <f>B41/$B$27</f>
        <v>0</v>
      </c>
    </row>
    <row r="43" spans="1:3" ht="16.5" thickBot="1" x14ac:dyDescent="0.3">
      <c r="A43" s="85" t="s">
        <v>316</v>
      </c>
      <c r="B43" s="110"/>
      <c r="C43" s="44">
        <v>1</v>
      </c>
    </row>
    <row r="44" spans="1:3" ht="16.5" thickBot="1" x14ac:dyDescent="0.3">
      <c r="A44" s="85" t="s">
        <v>317</v>
      </c>
      <c r="B44" s="110"/>
      <c r="C44" s="44">
        <v>2</v>
      </c>
    </row>
    <row r="45" spans="1:3" ht="16.5" thickBot="1" x14ac:dyDescent="0.3">
      <c r="A45" s="111" t="s">
        <v>314</v>
      </c>
      <c r="B45" s="112"/>
      <c r="C45" s="191">
        <v>10</v>
      </c>
    </row>
    <row r="46" spans="1:3" ht="16.5" thickBot="1" x14ac:dyDescent="0.3">
      <c r="A46" s="85" t="s">
        <v>315</v>
      </c>
      <c r="B46" s="113">
        <f>B45/$B$27</f>
        <v>0</v>
      </c>
    </row>
    <row r="47" spans="1:3" ht="16.5" thickBot="1" x14ac:dyDescent="0.3">
      <c r="A47" s="85" t="s">
        <v>316</v>
      </c>
      <c r="B47" s="110"/>
      <c r="C47" s="44">
        <v>1</v>
      </c>
    </row>
    <row r="48" spans="1:3" ht="16.5" thickBot="1" x14ac:dyDescent="0.3">
      <c r="A48" s="85" t="s">
        <v>317</v>
      </c>
      <c r="B48" s="110"/>
      <c r="C48" s="44">
        <v>2</v>
      </c>
    </row>
    <row r="49" spans="1:3" ht="16.5" thickBot="1" x14ac:dyDescent="0.3">
      <c r="A49" s="111" t="s">
        <v>314</v>
      </c>
      <c r="B49" s="112"/>
      <c r="C49" s="191">
        <v>10</v>
      </c>
    </row>
    <row r="50" spans="1:3" ht="16.5" thickBot="1" x14ac:dyDescent="0.3">
      <c r="A50" s="85" t="s">
        <v>315</v>
      </c>
      <c r="B50" s="113">
        <f>B49/$B$27</f>
        <v>0</v>
      </c>
    </row>
    <row r="51" spans="1:3" ht="16.5" thickBot="1" x14ac:dyDescent="0.3">
      <c r="A51" s="85" t="s">
        <v>316</v>
      </c>
      <c r="B51" s="110"/>
      <c r="C51" s="44">
        <v>1</v>
      </c>
    </row>
    <row r="52" spans="1:3" ht="16.5" thickBot="1" x14ac:dyDescent="0.3">
      <c r="A52" s="85" t="s">
        <v>317</v>
      </c>
      <c r="B52" s="110"/>
      <c r="C52" s="44">
        <v>2</v>
      </c>
    </row>
    <row r="53" spans="1:3" ht="29.25" thickBot="1" x14ac:dyDescent="0.3">
      <c r="A53" s="91" t="s">
        <v>318</v>
      </c>
      <c r="B53" s="110">
        <f xml:space="preserve"> SUMIF(C54:C110, 20,B54:B110)</f>
        <v>0</v>
      </c>
    </row>
    <row r="54" spans="1:3" s="191" customFormat="1" ht="16.5" thickBot="1" x14ac:dyDescent="0.3">
      <c r="A54" s="111" t="s">
        <v>314</v>
      </c>
      <c r="B54" s="112"/>
      <c r="C54" s="191">
        <v>20</v>
      </c>
    </row>
    <row r="55" spans="1:3" ht="16.5" thickBot="1" x14ac:dyDescent="0.3">
      <c r="A55" s="85" t="s">
        <v>315</v>
      </c>
      <c r="B55" s="113">
        <f>B54/$B$27</f>
        <v>0</v>
      </c>
    </row>
    <row r="56" spans="1:3" ht="16.5" thickBot="1" x14ac:dyDescent="0.3">
      <c r="A56" s="85" t="s">
        <v>316</v>
      </c>
      <c r="B56" s="110"/>
      <c r="C56" s="44">
        <v>1</v>
      </c>
    </row>
    <row r="57" spans="1:3" ht="16.5" thickBot="1" x14ac:dyDescent="0.3">
      <c r="A57" s="85" t="s">
        <v>317</v>
      </c>
      <c r="B57" s="110"/>
      <c r="C57" s="44">
        <v>2</v>
      </c>
    </row>
    <row r="58" spans="1:3" s="191" customFormat="1" ht="16.5" thickBot="1" x14ac:dyDescent="0.3">
      <c r="A58" s="111" t="s">
        <v>314</v>
      </c>
      <c r="B58" s="112"/>
      <c r="C58" s="191">
        <v>20</v>
      </c>
    </row>
    <row r="59" spans="1:3" ht="16.5" thickBot="1" x14ac:dyDescent="0.3">
      <c r="A59" s="85" t="s">
        <v>315</v>
      </c>
      <c r="B59" s="113">
        <f>B58/$B$27</f>
        <v>0</v>
      </c>
    </row>
    <row r="60" spans="1:3" ht="16.5" thickBot="1" x14ac:dyDescent="0.3">
      <c r="A60" s="85" t="s">
        <v>316</v>
      </c>
      <c r="B60" s="110"/>
      <c r="C60" s="44">
        <v>1</v>
      </c>
    </row>
    <row r="61" spans="1:3" ht="16.5" thickBot="1" x14ac:dyDescent="0.3">
      <c r="A61" s="85" t="s">
        <v>317</v>
      </c>
      <c r="B61" s="110"/>
      <c r="C61" s="44">
        <v>2</v>
      </c>
    </row>
    <row r="62" spans="1:3" s="191" customFormat="1" ht="16.5" thickBot="1" x14ac:dyDescent="0.3">
      <c r="A62" s="111" t="s">
        <v>314</v>
      </c>
      <c r="B62" s="112"/>
      <c r="C62" s="191">
        <v>20</v>
      </c>
    </row>
    <row r="63" spans="1:3" ht="16.5" thickBot="1" x14ac:dyDescent="0.3">
      <c r="A63" s="85" t="s">
        <v>315</v>
      </c>
      <c r="B63" s="113">
        <f>B62/$B$27</f>
        <v>0</v>
      </c>
    </row>
    <row r="64" spans="1:3" ht="16.5" thickBot="1" x14ac:dyDescent="0.3">
      <c r="A64" s="85" t="s">
        <v>316</v>
      </c>
      <c r="B64" s="110"/>
      <c r="C64" s="44">
        <v>1</v>
      </c>
    </row>
    <row r="65" spans="1:3" ht="16.5" thickBot="1" x14ac:dyDescent="0.3">
      <c r="A65" s="85" t="s">
        <v>317</v>
      </c>
      <c r="B65" s="110"/>
      <c r="C65" s="44">
        <v>2</v>
      </c>
    </row>
    <row r="66" spans="1:3" s="191" customFormat="1" ht="16.5" thickBot="1" x14ac:dyDescent="0.3">
      <c r="A66" s="111" t="s">
        <v>314</v>
      </c>
      <c r="B66" s="112"/>
      <c r="C66" s="191">
        <v>20</v>
      </c>
    </row>
    <row r="67" spans="1:3" ht="16.5" thickBot="1" x14ac:dyDescent="0.3">
      <c r="A67" s="85" t="s">
        <v>315</v>
      </c>
      <c r="B67" s="113">
        <f>B66/$B$27</f>
        <v>0</v>
      </c>
    </row>
    <row r="68" spans="1:3" ht="16.5" thickBot="1" x14ac:dyDescent="0.3">
      <c r="A68" s="85" t="s">
        <v>316</v>
      </c>
      <c r="B68" s="110"/>
      <c r="C68" s="44">
        <v>1</v>
      </c>
    </row>
    <row r="69" spans="1:3" ht="16.5" thickBot="1" x14ac:dyDescent="0.3">
      <c r="A69" s="85" t="s">
        <v>317</v>
      </c>
      <c r="B69" s="110"/>
      <c r="C69" s="44">
        <v>2</v>
      </c>
    </row>
    <row r="70" spans="1:3" ht="29.25" thickBot="1" x14ac:dyDescent="0.3">
      <c r="A70" s="91" t="s">
        <v>319</v>
      </c>
      <c r="B70" s="110"/>
    </row>
    <row r="71" spans="1:3" s="191" customFormat="1" ht="16.5" thickBot="1" x14ac:dyDescent="0.3">
      <c r="A71" s="198"/>
      <c r="B71" s="199"/>
      <c r="C71" s="191">
        <v>30</v>
      </c>
    </row>
    <row r="72" spans="1:3" ht="16.5" thickBot="1" x14ac:dyDescent="0.3">
      <c r="A72" s="85" t="s">
        <v>315</v>
      </c>
      <c r="B72" s="113"/>
    </row>
    <row r="73" spans="1:3" ht="16.5" thickBot="1" x14ac:dyDescent="0.3">
      <c r="A73" s="85" t="s">
        <v>316</v>
      </c>
      <c r="B73" s="129"/>
      <c r="C73" s="44">
        <v>1</v>
      </c>
    </row>
    <row r="74" spans="1:3" ht="16.5" thickBot="1" x14ac:dyDescent="0.3">
      <c r="A74" s="85" t="s">
        <v>317</v>
      </c>
      <c r="B74" s="129"/>
      <c r="C74" s="44">
        <v>2</v>
      </c>
    </row>
    <row r="75" spans="1:3" s="191" customFormat="1" ht="16.5" thickBot="1" x14ac:dyDescent="0.3">
      <c r="A75" s="198"/>
      <c r="B75" s="199"/>
      <c r="C75" s="191">
        <v>30</v>
      </c>
    </row>
    <row r="76" spans="1:3" ht="16.5" thickBot="1" x14ac:dyDescent="0.3">
      <c r="A76" s="85" t="s">
        <v>315</v>
      </c>
      <c r="B76" s="113"/>
    </row>
    <row r="77" spans="1:3" ht="16.5" thickBot="1" x14ac:dyDescent="0.3">
      <c r="A77" s="85" t="s">
        <v>316</v>
      </c>
      <c r="B77" s="129"/>
      <c r="C77" s="44">
        <v>1</v>
      </c>
    </row>
    <row r="78" spans="1:3" ht="16.5" thickBot="1" x14ac:dyDescent="0.3">
      <c r="A78" s="85" t="s">
        <v>317</v>
      </c>
      <c r="B78" s="129"/>
      <c r="C78" s="44">
        <v>2</v>
      </c>
    </row>
    <row r="79" spans="1:3" s="191" customFormat="1" ht="16.5" thickBot="1" x14ac:dyDescent="0.3">
      <c r="A79" s="198"/>
      <c r="B79" s="199"/>
      <c r="C79" s="191">
        <v>30</v>
      </c>
    </row>
    <row r="80" spans="1:3" ht="16.5" thickBot="1" x14ac:dyDescent="0.3">
      <c r="A80" s="85" t="s">
        <v>315</v>
      </c>
      <c r="B80" s="113"/>
    </row>
    <row r="81" spans="1:3" ht="16.5" thickBot="1" x14ac:dyDescent="0.3">
      <c r="A81" s="85" t="s">
        <v>316</v>
      </c>
      <c r="B81" s="110"/>
      <c r="C81" s="44">
        <v>1</v>
      </c>
    </row>
    <row r="82" spans="1:3" ht="16.5" thickBot="1" x14ac:dyDescent="0.3">
      <c r="A82" s="85" t="s">
        <v>317</v>
      </c>
      <c r="B82" s="110"/>
      <c r="C82" s="44">
        <v>2</v>
      </c>
    </row>
    <row r="83" spans="1:3" s="191" customFormat="1" ht="16.5" thickBot="1" x14ac:dyDescent="0.3">
      <c r="A83" s="111" t="s">
        <v>314</v>
      </c>
      <c r="B83" s="112"/>
      <c r="C83" s="191">
        <v>30</v>
      </c>
    </row>
    <row r="84" spans="1:3" ht="16.5" thickBot="1" x14ac:dyDescent="0.3">
      <c r="A84" s="85" t="s">
        <v>315</v>
      </c>
      <c r="B84" s="113"/>
    </row>
    <row r="85" spans="1:3" ht="16.5" thickBot="1" x14ac:dyDescent="0.3">
      <c r="A85" s="85" t="s">
        <v>316</v>
      </c>
      <c r="B85" s="110"/>
      <c r="C85" s="44">
        <v>1</v>
      </c>
    </row>
    <row r="86" spans="1:3" ht="16.5" thickBot="1" x14ac:dyDescent="0.3">
      <c r="A86" s="85" t="s">
        <v>317</v>
      </c>
      <c r="B86" s="110"/>
      <c r="C86" s="44">
        <v>2</v>
      </c>
    </row>
    <row r="87" spans="1:3" s="191" customFormat="1" ht="16.5" thickBot="1" x14ac:dyDescent="0.3">
      <c r="A87" s="111" t="s">
        <v>314</v>
      </c>
      <c r="B87" s="112"/>
      <c r="C87" s="191">
        <v>30</v>
      </c>
    </row>
    <row r="88" spans="1:3" ht="16.5" thickBot="1" x14ac:dyDescent="0.3">
      <c r="A88" s="85" t="s">
        <v>315</v>
      </c>
      <c r="B88" s="113"/>
    </row>
    <row r="89" spans="1:3" ht="16.5" thickBot="1" x14ac:dyDescent="0.3">
      <c r="A89" s="85" t="s">
        <v>316</v>
      </c>
      <c r="B89" s="110"/>
      <c r="C89" s="44">
        <v>1</v>
      </c>
    </row>
    <row r="90" spans="1:3" ht="16.5" thickBot="1" x14ac:dyDescent="0.3">
      <c r="A90" s="85" t="s">
        <v>317</v>
      </c>
      <c r="B90" s="110"/>
      <c r="C90" s="44">
        <v>2</v>
      </c>
    </row>
    <row r="91" spans="1:3" s="191" customFormat="1" ht="16.5" thickBot="1" x14ac:dyDescent="0.3">
      <c r="A91" s="111" t="s">
        <v>314</v>
      </c>
      <c r="B91" s="112"/>
      <c r="C91" s="191">
        <v>30</v>
      </c>
    </row>
    <row r="92" spans="1:3" ht="16.5" thickBot="1" x14ac:dyDescent="0.3">
      <c r="A92" s="85" t="s">
        <v>315</v>
      </c>
      <c r="B92" s="113"/>
    </row>
    <row r="93" spans="1:3" ht="16.5" thickBot="1" x14ac:dyDescent="0.3">
      <c r="A93" s="85" t="s">
        <v>316</v>
      </c>
      <c r="B93" s="110"/>
      <c r="C93" s="44">
        <v>1</v>
      </c>
    </row>
    <row r="94" spans="1:3" ht="16.5" thickBot="1" x14ac:dyDescent="0.3">
      <c r="A94" s="85" t="s">
        <v>317</v>
      </c>
      <c r="B94" s="110"/>
      <c r="C94" s="44">
        <v>2</v>
      </c>
    </row>
    <row r="95" spans="1:3" s="191" customFormat="1" ht="16.5" thickBot="1" x14ac:dyDescent="0.3">
      <c r="A95" s="111" t="s">
        <v>314</v>
      </c>
      <c r="B95" s="112"/>
      <c r="C95" s="191">
        <v>30</v>
      </c>
    </row>
    <row r="96" spans="1:3" ht="16.5" thickBot="1" x14ac:dyDescent="0.3">
      <c r="A96" s="85" t="s">
        <v>315</v>
      </c>
      <c r="B96" s="113"/>
    </row>
    <row r="97" spans="1:3" ht="16.5" thickBot="1" x14ac:dyDescent="0.3">
      <c r="A97" s="85" t="s">
        <v>316</v>
      </c>
      <c r="B97" s="110"/>
      <c r="C97" s="44">
        <v>1</v>
      </c>
    </row>
    <row r="98" spans="1:3" ht="16.5" thickBot="1" x14ac:dyDescent="0.3">
      <c r="A98" s="85" t="s">
        <v>317</v>
      </c>
      <c r="B98" s="110"/>
      <c r="C98" s="44">
        <v>2</v>
      </c>
    </row>
    <row r="99" spans="1:3" s="191" customFormat="1" ht="16.5" thickBot="1" x14ac:dyDescent="0.3">
      <c r="A99" s="111" t="s">
        <v>314</v>
      </c>
      <c r="B99" s="112"/>
      <c r="C99" s="191">
        <v>30</v>
      </c>
    </row>
    <row r="100" spans="1:3" ht="16.5" thickBot="1" x14ac:dyDescent="0.3">
      <c r="A100" s="85" t="s">
        <v>315</v>
      </c>
      <c r="B100" s="113">
        <f>B99/$B$27</f>
        <v>0</v>
      </c>
    </row>
    <row r="101" spans="1:3" ht="16.5" thickBot="1" x14ac:dyDescent="0.3">
      <c r="A101" s="85" t="s">
        <v>316</v>
      </c>
      <c r="B101" s="110"/>
      <c r="C101" s="44">
        <v>1</v>
      </c>
    </row>
    <row r="102" spans="1:3" ht="16.5" thickBot="1" x14ac:dyDescent="0.3">
      <c r="A102" s="85" t="s">
        <v>317</v>
      </c>
      <c r="B102" s="110"/>
      <c r="C102" s="44">
        <v>2</v>
      </c>
    </row>
    <row r="103" spans="1:3" s="191" customFormat="1" ht="16.5" thickBot="1" x14ac:dyDescent="0.3">
      <c r="A103" s="111" t="s">
        <v>314</v>
      </c>
      <c r="B103" s="112"/>
      <c r="C103" s="191">
        <v>30</v>
      </c>
    </row>
    <row r="104" spans="1:3" ht="16.5" thickBot="1" x14ac:dyDescent="0.3">
      <c r="A104" s="85" t="s">
        <v>315</v>
      </c>
      <c r="B104" s="113">
        <f>B103/$B$27</f>
        <v>0</v>
      </c>
    </row>
    <row r="105" spans="1:3" ht="16.5" thickBot="1" x14ac:dyDescent="0.3">
      <c r="A105" s="85" t="s">
        <v>316</v>
      </c>
      <c r="B105" s="110"/>
      <c r="C105" s="44">
        <v>1</v>
      </c>
    </row>
    <row r="106" spans="1:3" ht="16.5" thickBot="1" x14ac:dyDescent="0.3">
      <c r="A106" s="85" t="s">
        <v>317</v>
      </c>
      <c r="B106" s="110"/>
      <c r="C106" s="44">
        <v>2</v>
      </c>
    </row>
    <row r="107" spans="1:3" s="191" customFormat="1" ht="16.5" thickBot="1" x14ac:dyDescent="0.3">
      <c r="A107" s="111" t="s">
        <v>314</v>
      </c>
      <c r="B107" s="112"/>
      <c r="C107" s="191">
        <v>30</v>
      </c>
    </row>
    <row r="108" spans="1:3" ht="16.5" thickBot="1" x14ac:dyDescent="0.3">
      <c r="A108" s="85" t="s">
        <v>315</v>
      </c>
      <c r="B108" s="113">
        <f>B107/$B$27</f>
        <v>0</v>
      </c>
    </row>
    <row r="109" spans="1:3" ht="16.5" thickBot="1" x14ac:dyDescent="0.3">
      <c r="A109" s="85" t="s">
        <v>316</v>
      </c>
      <c r="B109" s="110"/>
      <c r="C109" s="44">
        <v>1</v>
      </c>
    </row>
    <row r="110" spans="1:3" ht="16.5" thickBot="1" x14ac:dyDescent="0.3">
      <c r="A110" s="85" t="s">
        <v>317</v>
      </c>
      <c r="B110" s="110"/>
      <c r="C110" s="44">
        <v>2</v>
      </c>
    </row>
    <row r="111" spans="1:3" ht="29.25" thickBot="1" x14ac:dyDescent="0.3">
      <c r="A111" s="84" t="s">
        <v>320</v>
      </c>
      <c r="B111" s="113">
        <f>B30/B27</f>
        <v>0</v>
      </c>
    </row>
    <row r="112" spans="1:3"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13">
        <f xml:space="preserve"> SUMIF(C33:C110, 1,B33:B110)</f>
        <v>0</v>
      </c>
    </row>
    <row r="118" spans="1:2" ht="16.5" thickBot="1" x14ac:dyDescent="0.3">
      <c r="A118" s="82" t="s">
        <v>326</v>
      </c>
      <c r="B118" s="114">
        <f>B119/$B$27</f>
        <v>0</v>
      </c>
    </row>
    <row r="119" spans="1:2" ht="16.5" thickBot="1" x14ac:dyDescent="0.3">
      <c r="A119" s="83" t="s">
        <v>327</v>
      </c>
      <c r="B119" s="213">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14"/>
    </row>
    <row r="128" spans="1:2" ht="16.5" thickBot="1" x14ac:dyDescent="0.3">
      <c r="A128" s="86" t="s">
        <v>312</v>
      </c>
      <c r="B128" s="215"/>
    </row>
    <row r="129" spans="1:2" ht="16.5" thickBot="1" x14ac:dyDescent="0.3">
      <c r="A129" s="86" t="s">
        <v>337</v>
      </c>
      <c r="B129" s="214"/>
    </row>
    <row r="130" spans="1:2" ht="16.5" thickBot="1" x14ac:dyDescent="0.3">
      <c r="A130" s="86" t="s">
        <v>338</v>
      </c>
      <c r="B130" s="215"/>
    </row>
    <row r="131" spans="1:2" ht="16.5" thickBot="1" x14ac:dyDescent="0.3">
      <c r="A131" s="95" t="s">
        <v>339</v>
      </c>
      <c r="B131" s="133"/>
    </row>
    <row r="132" spans="1:2" ht="16.5" thickBot="1" x14ac:dyDescent="0.3">
      <c r="A132" s="82" t="s">
        <v>340</v>
      </c>
      <c r="B132" s="93"/>
    </row>
    <row r="133" spans="1:2" ht="16.5" thickBot="1" x14ac:dyDescent="0.3">
      <c r="A133" s="88" t="s">
        <v>341</v>
      </c>
      <c r="B133" s="212">
        <f>'6.1. Паспорт сетевой график'!H43</f>
        <v>44630</v>
      </c>
    </row>
    <row r="134" spans="1:2" ht="16.5" thickBot="1" x14ac:dyDescent="0.3">
      <c r="A134" s="88" t="s">
        <v>342</v>
      </c>
      <c r="B134" s="96" t="s">
        <v>548</v>
      </c>
    </row>
    <row r="135" spans="1:2" ht="16.5" thickBot="1" x14ac:dyDescent="0.3">
      <c r="A135" s="88" t="s">
        <v>343</v>
      </c>
      <c r="B135" s="96" t="s">
        <v>548</v>
      </c>
    </row>
    <row r="136" spans="1:2" ht="29.25" thickBot="1" x14ac:dyDescent="0.3">
      <c r="A136" s="97" t="s">
        <v>344</v>
      </c>
      <c r="B136" s="94" t="s">
        <v>549</v>
      </c>
    </row>
    <row r="137" spans="1:2" ht="28.5" customHeight="1" x14ac:dyDescent="0.25">
      <c r="A137" s="84" t="s">
        <v>345</v>
      </c>
      <c r="B137" s="474" t="s">
        <v>548</v>
      </c>
    </row>
    <row r="138" spans="1:2" x14ac:dyDescent="0.25">
      <c r="A138" s="88" t="s">
        <v>346</v>
      </c>
      <c r="B138" s="475"/>
    </row>
    <row r="139" spans="1:2" x14ac:dyDescent="0.25">
      <c r="A139" s="88" t="s">
        <v>347</v>
      </c>
      <c r="B139" s="475"/>
    </row>
    <row r="140" spans="1:2" x14ac:dyDescent="0.25">
      <c r="A140" s="88" t="s">
        <v>348</v>
      </c>
      <c r="B140" s="475"/>
    </row>
    <row r="141" spans="1:2" x14ac:dyDescent="0.25">
      <c r="A141" s="88" t="s">
        <v>349</v>
      </c>
      <c r="B141" s="475"/>
    </row>
    <row r="142" spans="1:2" ht="16.5" thickBot="1" x14ac:dyDescent="0.3">
      <c r="A142" s="98" t="s">
        <v>350</v>
      </c>
      <c r="B142" s="476"/>
    </row>
    <row r="145" spans="1:2" x14ac:dyDescent="0.25">
      <c r="A145" s="99"/>
      <c r="B145" s="100"/>
    </row>
    <row r="146" spans="1:2" x14ac:dyDescent="0.25">
      <c r="B146" s="101"/>
    </row>
    <row r="147" spans="1:2" x14ac:dyDescent="0.25">
      <c r="B147" s="102"/>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8_карты_ТП-4.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4"/>
  <sheetViews>
    <sheetView view="pageBreakPreview" topLeftCell="G1" zoomScale="70" zoomScaleSheetLayoutView="70" workbookViewId="0">
      <selection activeCell="F36" sqref="F36"/>
    </sheetView>
  </sheetViews>
  <sheetFormatPr defaultColWidth="9.140625" defaultRowHeight="15" x14ac:dyDescent="0.25"/>
  <cols>
    <col min="1" max="1" width="7.42578125" style="152" customWidth="1"/>
    <col min="2" max="2" width="35.85546875" style="152" customWidth="1"/>
    <col min="3" max="3" width="31.140625" style="152" customWidth="1"/>
    <col min="4" max="4" width="25" style="152" customWidth="1"/>
    <col min="5" max="5" width="50" style="152" customWidth="1"/>
    <col min="6" max="6" width="57" style="152" customWidth="1"/>
    <col min="7" max="7" width="75" style="152" customWidth="1"/>
    <col min="8" max="10" width="20.5703125" style="152" customWidth="1"/>
    <col min="11" max="11" width="16" style="152" customWidth="1"/>
    <col min="12" max="12" width="20.5703125" style="152" customWidth="1"/>
    <col min="13" max="13" width="21.28515625" style="152" customWidth="1"/>
    <col min="14" max="14" width="23.85546875" style="152" customWidth="1"/>
    <col min="15" max="15" width="17.85546875" style="152" customWidth="1"/>
    <col min="16" max="16" width="23.85546875" style="152" customWidth="1"/>
    <col min="17" max="17" width="127.5703125" style="152" customWidth="1"/>
    <col min="18" max="18" width="92.42578125" style="152" customWidth="1"/>
    <col min="19" max="19" width="51.5703125" style="152" customWidth="1"/>
    <col min="20" max="16384" width="9.140625" style="152"/>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51" t="str">
        <f>'1. паспорт местоположение'!A5:C5</f>
        <v>Год раскрытия информации: 2021 год</v>
      </c>
      <c r="B4" s="351"/>
      <c r="C4" s="351"/>
      <c r="D4" s="351"/>
      <c r="E4" s="351"/>
      <c r="F4" s="351"/>
      <c r="G4" s="351"/>
      <c r="H4" s="351"/>
      <c r="I4" s="351"/>
      <c r="J4" s="351"/>
      <c r="K4" s="351"/>
      <c r="L4" s="351"/>
      <c r="M4" s="351"/>
      <c r="N4" s="351"/>
      <c r="O4" s="351"/>
      <c r="P4" s="351"/>
      <c r="Q4" s="351"/>
      <c r="R4" s="351"/>
      <c r="S4" s="351"/>
    </row>
    <row r="5" spans="1:28" s="17" customFormat="1" ht="15.75" x14ac:dyDescent="0.2">
      <c r="A5" s="135"/>
    </row>
    <row r="6" spans="1:28" s="17" customFormat="1" ht="18.75" x14ac:dyDescent="0.2">
      <c r="A6" s="362" t="s">
        <v>7</v>
      </c>
      <c r="B6" s="362"/>
      <c r="C6" s="362"/>
      <c r="D6" s="362"/>
      <c r="E6" s="362"/>
      <c r="F6" s="362"/>
      <c r="G6" s="362"/>
      <c r="H6" s="362"/>
      <c r="I6" s="362"/>
      <c r="J6" s="362"/>
      <c r="K6" s="362"/>
      <c r="L6" s="362"/>
      <c r="M6" s="362"/>
      <c r="N6" s="362"/>
      <c r="O6" s="362"/>
      <c r="P6" s="362"/>
      <c r="Q6" s="362"/>
      <c r="R6" s="362"/>
      <c r="S6" s="362"/>
      <c r="T6" s="138"/>
      <c r="U6" s="138"/>
      <c r="V6" s="138"/>
      <c r="W6" s="138"/>
      <c r="X6" s="138"/>
      <c r="Y6" s="138"/>
      <c r="Z6" s="138"/>
      <c r="AA6" s="138"/>
      <c r="AB6" s="138"/>
    </row>
    <row r="7" spans="1:28" s="17" customFormat="1" ht="18.75" x14ac:dyDescent="0.2">
      <c r="A7" s="362"/>
      <c r="B7" s="362"/>
      <c r="C7" s="362"/>
      <c r="D7" s="362"/>
      <c r="E7" s="362"/>
      <c r="F7" s="362"/>
      <c r="G7" s="362"/>
      <c r="H7" s="362"/>
      <c r="I7" s="362"/>
      <c r="J7" s="362"/>
      <c r="K7" s="362"/>
      <c r="L7" s="362"/>
      <c r="M7" s="362"/>
      <c r="N7" s="362"/>
      <c r="O7" s="362"/>
      <c r="P7" s="362"/>
      <c r="Q7" s="362"/>
      <c r="R7" s="362"/>
      <c r="S7" s="362"/>
      <c r="T7" s="138"/>
      <c r="U7" s="138"/>
      <c r="V7" s="138"/>
      <c r="W7" s="138"/>
      <c r="X7" s="138"/>
      <c r="Y7" s="138"/>
      <c r="Z7" s="138"/>
      <c r="AA7" s="138"/>
      <c r="AB7" s="138"/>
    </row>
    <row r="8" spans="1:28" s="17" customFormat="1" ht="18.75" x14ac:dyDescent="0.2">
      <c r="A8" s="357" t="str">
        <f>'1. паспорт местоположение'!A9:C9</f>
        <v xml:space="preserve">Акционерное общество "Западная энергетическая компания" </v>
      </c>
      <c r="B8" s="357"/>
      <c r="C8" s="357"/>
      <c r="D8" s="357"/>
      <c r="E8" s="357"/>
      <c r="F8" s="357"/>
      <c r="G8" s="357"/>
      <c r="H8" s="357"/>
      <c r="I8" s="357"/>
      <c r="J8" s="357"/>
      <c r="K8" s="357"/>
      <c r="L8" s="357"/>
      <c r="M8" s="357"/>
      <c r="N8" s="357"/>
      <c r="O8" s="357"/>
      <c r="P8" s="357"/>
      <c r="Q8" s="357"/>
      <c r="R8" s="357"/>
      <c r="S8" s="357"/>
      <c r="T8" s="138"/>
      <c r="U8" s="138"/>
      <c r="V8" s="138"/>
      <c r="W8" s="138"/>
      <c r="X8" s="138"/>
      <c r="Y8" s="138"/>
      <c r="Z8" s="138"/>
      <c r="AA8" s="138"/>
      <c r="AB8" s="138"/>
    </row>
    <row r="9" spans="1:28" s="17" customFormat="1" ht="18.75" x14ac:dyDescent="0.2">
      <c r="A9" s="358" t="s">
        <v>6</v>
      </c>
      <c r="B9" s="358"/>
      <c r="C9" s="358"/>
      <c r="D9" s="358"/>
      <c r="E9" s="358"/>
      <c r="F9" s="358"/>
      <c r="G9" s="358"/>
      <c r="H9" s="358"/>
      <c r="I9" s="358"/>
      <c r="J9" s="358"/>
      <c r="K9" s="358"/>
      <c r="L9" s="358"/>
      <c r="M9" s="358"/>
      <c r="N9" s="358"/>
      <c r="O9" s="358"/>
      <c r="P9" s="358"/>
      <c r="Q9" s="358"/>
      <c r="R9" s="358"/>
      <c r="S9" s="358"/>
      <c r="T9" s="138"/>
      <c r="U9" s="138"/>
      <c r="V9" s="138"/>
      <c r="W9" s="138"/>
      <c r="X9" s="138"/>
      <c r="Y9" s="138"/>
      <c r="Z9" s="138"/>
      <c r="AA9" s="138"/>
      <c r="AB9" s="138"/>
    </row>
    <row r="10" spans="1:28" s="17" customFormat="1" ht="18.75" x14ac:dyDescent="0.2">
      <c r="A10" s="362"/>
      <c r="B10" s="362"/>
      <c r="C10" s="362"/>
      <c r="D10" s="362"/>
      <c r="E10" s="362"/>
      <c r="F10" s="362"/>
      <c r="G10" s="362"/>
      <c r="H10" s="362"/>
      <c r="I10" s="362"/>
      <c r="J10" s="362"/>
      <c r="K10" s="362"/>
      <c r="L10" s="362"/>
      <c r="M10" s="362"/>
      <c r="N10" s="362"/>
      <c r="O10" s="362"/>
      <c r="P10" s="362"/>
      <c r="Q10" s="362"/>
      <c r="R10" s="362"/>
      <c r="S10" s="362"/>
      <c r="T10" s="138"/>
      <c r="U10" s="138"/>
      <c r="V10" s="138"/>
      <c r="W10" s="138"/>
      <c r="X10" s="138"/>
      <c r="Y10" s="138"/>
      <c r="Z10" s="138"/>
      <c r="AA10" s="138"/>
      <c r="AB10" s="138"/>
    </row>
    <row r="11" spans="1:28" s="17" customFormat="1" ht="18.75" x14ac:dyDescent="0.2">
      <c r="A11" s="357" t="str">
        <f>'1. паспорт местоположение'!A12:C12</f>
        <v>J_19-08</v>
      </c>
      <c r="B11" s="357"/>
      <c r="C11" s="357"/>
      <c r="D11" s="357"/>
      <c r="E11" s="357"/>
      <c r="F11" s="357"/>
      <c r="G11" s="357"/>
      <c r="H11" s="357"/>
      <c r="I11" s="357"/>
      <c r="J11" s="357"/>
      <c r="K11" s="357"/>
      <c r="L11" s="357"/>
      <c r="M11" s="357"/>
      <c r="N11" s="357"/>
      <c r="O11" s="357"/>
      <c r="P11" s="357"/>
      <c r="Q11" s="357"/>
      <c r="R11" s="357"/>
      <c r="S11" s="357"/>
      <c r="T11" s="138"/>
      <c r="U11" s="138"/>
      <c r="V11" s="138"/>
      <c r="W11" s="138"/>
      <c r="X11" s="138"/>
      <c r="Y11" s="138"/>
      <c r="Z11" s="138"/>
      <c r="AA11" s="138"/>
      <c r="AB11" s="138"/>
    </row>
    <row r="12" spans="1:28" s="17" customFormat="1" ht="18.75" x14ac:dyDescent="0.2">
      <c r="A12" s="358" t="s">
        <v>5</v>
      </c>
      <c r="B12" s="358"/>
      <c r="C12" s="358"/>
      <c r="D12" s="358"/>
      <c r="E12" s="358"/>
      <c r="F12" s="358"/>
      <c r="G12" s="358"/>
      <c r="H12" s="358"/>
      <c r="I12" s="358"/>
      <c r="J12" s="358"/>
      <c r="K12" s="358"/>
      <c r="L12" s="358"/>
      <c r="M12" s="358"/>
      <c r="N12" s="358"/>
      <c r="O12" s="358"/>
      <c r="P12" s="358"/>
      <c r="Q12" s="358"/>
      <c r="R12" s="358"/>
      <c r="S12" s="358"/>
      <c r="T12" s="138"/>
      <c r="U12" s="138"/>
      <c r="V12" s="138"/>
      <c r="W12" s="138"/>
      <c r="X12" s="138"/>
      <c r="Y12" s="138"/>
      <c r="Z12" s="138"/>
      <c r="AA12" s="138"/>
      <c r="AB12" s="138"/>
    </row>
    <row r="13" spans="1:28" s="136" customFormat="1" ht="15.75" customHeight="1" x14ac:dyDescent="0.2">
      <c r="A13" s="363"/>
      <c r="B13" s="363"/>
      <c r="C13" s="363"/>
      <c r="D13" s="363"/>
      <c r="E13" s="363"/>
      <c r="F13" s="363"/>
      <c r="G13" s="363"/>
      <c r="H13" s="363"/>
      <c r="I13" s="363"/>
      <c r="J13" s="363"/>
      <c r="K13" s="363"/>
      <c r="L13" s="363"/>
      <c r="M13" s="363"/>
      <c r="N13" s="363"/>
      <c r="O13" s="363"/>
      <c r="P13" s="363"/>
      <c r="Q13" s="363"/>
      <c r="R13" s="363"/>
      <c r="S13" s="363"/>
      <c r="T13" s="139"/>
      <c r="U13" s="139"/>
      <c r="V13" s="139"/>
      <c r="W13" s="139"/>
      <c r="X13" s="139"/>
      <c r="Y13" s="139"/>
      <c r="Z13" s="139"/>
      <c r="AA13" s="139"/>
      <c r="AB13" s="139"/>
    </row>
    <row r="14" spans="1:28" s="137" customFormat="1" ht="15.75" x14ac:dyDescent="0.2">
      <c r="A14" s="357" t="str">
        <f>'1. паспорт местоположение'!A15:C15</f>
        <v>Реконструкция ТП-4  15/0,4кВ п.Северный, Багратионовского р-на</v>
      </c>
      <c r="B14" s="357"/>
      <c r="C14" s="357"/>
      <c r="D14" s="357"/>
      <c r="E14" s="357"/>
      <c r="F14" s="357"/>
      <c r="G14" s="357"/>
      <c r="H14" s="357"/>
      <c r="I14" s="357"/>
      <c r="J14" s="357"/>
      <c r="K14" s="357"/>
      <c r="L14" s="357"/>
      <c r="M14" s="357"/>
      <c r="N14" s="357"/>
      <c r="O14" s="357"/>
      <c r="P14" s="357"/>
      <c r="Q14" s="357"/>
      <c r="R14" s="357"/>
      <c r="S14" s="357"/>
      <c r="T14" s="140"/>
      <c r="U14" s="140"/>
      <c r="V14" s="140"/>
      <c r="W14" s="140"/>
      <c r="X14" s="140"/>
      <c r="Y14" s="140"/>
      <c r="Z14" s="140"/>
      <c r="AA14" s="140"/>
      <c r="AB14" s="140"/>
    </row>
    <row r="15" spans="1:28" s="137" customFormat="1" ht="15" customHeight="1" x14ac:dyDescent="0.2">
      <c r="A15" s="358" t="s">
        <v>4</v>
      </c>
      <c r="B15" s="358"/>
      <c r="C15" s="358"/>
      <c r="D15" s="358"/>
      <c r="E15" s="358"/>
      <c r="F15" s="358"/>
      <c r="G15" s="358"/>
      <c r="H15" s="358"/>
      <c r="I15" s="358"/>
      <c r="J15" s="358"/>
      <c r="K15" s="358"/>
      <c r="L15" s="358"/>
      <c r="M15" s="358"/>
      <c r="N15" s="358"/>
      <c r="O15" s="358"/>
      <c r="P15" s="358"/>
      <c r="Q15" s="358"/>
      <c r="R15" s="358"/>
      <c r="S15" s="358"/>
      <c r="T15" s="141"/>
      <c r="U15" s="141"/>
      <c r="V15" s="141"/>
      <c r="W15" s="141"/>
      <c r="X15" s="141"/>
      <c r="Y15" s="141"/>
      <c r="Z15" s="141"/>
      <c r="AA15" s="141"/>
      <c r="AB15" s="141"/>
    </row>
    <row r="16" spans="1:28" s="137" customFormat="1" ht="15" customHeight="1" x14ac:dyDescent="0.2">
      <c r="A16" s="359"/>
      <c r="B16" s="359"/>
      <c r="C16" s="359"/>
      <c r="D16" s="359"/>
      <c r="E16" s="359"/>
      <c r="F16" s="359"/>
      <c r="G16" s="359"/>
      <c r="H16" s="359"/>
      <c r="I16" s="359"/>
      <c r="J16" s="359"/>
      <c r="K16" s="359"/>
      <c r="L16" s="359"/>
      <c r="M16" s="359"/>
      <c r="N16" s="359"/>
      <c r="O16" s="359"/>
      <c r="P16" s="359"/>
      <c r="Q16" s="359"/>
      <c r="R16" s="359"/>
      <c r="S16" s="359"/>
      <c r="T16" s="142"/>
      <c r="U16" s="142"/>
      <c r="V16" s="142"/>
      <c r="W16" s="142"/>
      <c r="X16" s="142"/>
      <c r="Y16" s="142"/>
    </row>
    <row r="17" spans="1:28" s="137" customFormat="1" ht="45.75" customHeight="1" x14ac:dyDescent="0.2">
      <c r="A17" s="360" t="s">
        <v>382</v>
      </c>
      <c r="B17" s="360"/>
      <c r="C17" s="360"/>
      <c r="D17" s="360"/>
      <c r="E17" s="360"/>
      <c r="F17" s="360"/>
      <c r="G17" s="360"/>
      <c r="H17" s="360"/>
      <c r="I17" s="360"/>
      <c r="J17" s="360"/>
      <c r="K17" s="360"/>
      <c r="L17" s="360"/>
      <c r="M17" s="360"/>
      <c r="N17" s="360"/>
      <c r="O17" s="360"/>
      <c r="P17" s="360"/>
      <c r="Q17" s="360"/>
      <c r="R17" s="360"/>
      <c r="S17" s="360"/>
      <c r="T17" s="143"/>
      <c r="U17" s="143"/>
      <c r="V17" s="143"/>
      <c r="W17" s="143"/>
      <c r="X17" s="143"/>
      <c r="Y17" s="143"/>
      <c r="Z17" s="143"/>
      <c r="AA17" s="143"/>
      <c r="AB17" s="143"/>
    </row>
    <row r="18" spans="1:28" s="137" customFormat="1" ht="15" customHeight="1" x14ac:dyDescent="0.2">
      <c r="A18" s="361"/>
      <c r="B18" s="361"/>
      <c r="C18" s="361"/>
      <c r="D18" s="361"/>
      <c r="E18" s="361"/>
      <c r="F18" s="361"/>
      <c r="G18" s="361"/>
      <c r="H18" s="361"/>
      <c r="I18" s="361"/>
      <c r="J18" s="361"/>
      <c r="K18" s="361"/>
      <c r="L18" s="361"/>
      <c r="M18" s="361"/>
      <c r="N18" s="361"/>
      <c r="O18" s="361"/>
      <c r="P18" s="361"/>
      <c r="Q18" s="361"/>
      <c r="R18" s="361"/>
      <c r="S18" s="361"/>
      <c r="T18" s="142"/>
      <c r="U18" s="142"/>
      <c r="V18" s="142"/>
      <c r="W18" s="142"/>
      <c r="X18" s="142"/>
      <c r="Y18" s="142"/>
    </row>
    <row r="19" spans="1:28" s="137" customFormat="1" ht="54" customHeight="1" x14ac:dyDescent="0.2">
      <c r="A19" s="364" t="s">
        <v>3</v>
      </c>
      <c r="B19" s="364" t="s">
        <v>94</v>
      </c>
      <c r="C19" s="365" t="s">
        <v>303</v>
      </c>
      <c r="D19" s="364" t="s">
        <v>302</v>
      </c>
      <c r="E19" s="364" t="s">
        <v>93</v>
      </c>
      <c r="F19" s="364" t="s">
        <v>92</v>
      </c>
      <c r="G19" s="364" t="s">
        <v>298</v>
      </c>
      <c r="H19" s="364" t="s">
        <v>91</v>
      </c>
      <c r="I19" s="364" t="s">
        <v>90</v>
      </c>
      <c r="J19" s="364" t="s">
        <v>89</v>
      </c>
      <c r="K19" s="364" t="s">
        <v>88</v>
      </c>
      <c r="L19" s="364" t="s">
        <v>87</v>
      </c>
      <c r="M19" s="364" t="s">
        <v>86</v>
      </c>
      <c r="N19" s="364" t="s">
        <v>85</v>
      </c>
      <c r="O19" s="364" t="s">
        <v>84</v>
      </c>
      <c r="P19" s="364" t="s">
        <v>83</v>
      </c>
      <c r="Q19" s="364" t="s">
        <v>301</v>
      </c>
      <c r="R19" s="364"/>
      <c r="S19" s="367" t="s">
        <v>376</v>
      </c>
      <c r="T19" s="142"/>
      <c r="U19" s="142"/>
      <c r="V19" s="142"/>
      <c r="W19" s="142"/>
      <c r="X19" s="142"/>
      <c r="Y19" s="142"/>
    </row>
    <row r="20" spans="1:28" s="137" customFormat="1" ht="180.75" customHeight="1" x14ac:dyDescent="0.2">
      <c r="A20" s="364"/>
      <c r="B20" s="364"/>
      <c r="C20" s="366"/>
      <c r="D20" s="364"/>
      <c r="E20" s="364"/>
      <c r="F20" s="364"/>
      <c r="G20" s="364"/>
      <c r="H20" s="364"/>
      <c r="I20" s="364"/>
      <c r="J20" s="364"/>
      <c r="K20" s="364"/>
      <c r="L20" s="364"/>
      <c r="M20" s="364"/>
      <c r="N20" s="364"/>
      <c r="O20" s="364"/>
      <c r="P20" s="364"/>
      <c r="Q20" s="144" t="s">
        <v>299</v>
      </c>
      <c r="R20" s="145" t="s">
        <v>300</v>
      </c>
      <c r="S20" s="367"/>
      <c r="T20" s="146"/>
      <c r="U20" s="146"/>
      <c r="V20" s="146"/>
      <c r="W20" s="146"/>
      <c r="X20" s="146"/>
      <c r="Y20" s="146"/>
      <c r="Z20" s="147"/>
      <c r="AA20" s="147"/>
      <c r="AB20" s="147"/>
    </row>
    <row r="21" spans="1:28" s="137" customFormat="1" ht="18.75" x14ac:dyDescent="0.2">
      <c r="A21" s="144">
        <v>1</v>
      </c>
      <c r="B21" s="148">
        <v>2</v>
      </c>
      <c r="C21" s="144">
        <v>3</v>
      </c>
      <c r="D21" s="148">
        <v>4</v>
      </c>
      <c r="E21" s="144">
        <v>5</v>
      </c>
      <c r="F21" s="148">
        <v>6</v>
      </c>
      <c r="G21" s="144">
        <v>7</v>
      </c>
      <c r="H21" s="148">
        <v>8</v>
      </c>
      <c r="I21" s="144">
        <v>9</v>
      </c>
      <c r="J21" s="148">
        <v>10</v>
      </c>
      <c r="K21" s="144">
        <v>11</v>
      </c>
      <c r="L21" s="148">
        <v>12</v>
      </c>
      <c r="M21" s="144">
        <v>13</v>
      </c>
      <c r="N21" s="148">
        <v>14</v>
      </c>
      <c r="O21" s="144">
        <v>15</v>
      </c>
      <c r="P21" s="148">
        <v>16</v>
      </c>
      <c r="Q21" s="144">
        <v>17</v>
      </c>
      <c r="R21" s="148">
        <v>18</v>
      </c>
      <c r="S21" s="144">
        <v>19</v>
      </c>
      <c r="T21" s="146"/>
      <c r="U21" s="146"/>
      <c r="V21" s="146"/>
      <c r="W21" s="146"/>
      <c r="X21" s="146"/>
      <c r="Y21" s="146"/>
      <c r="Z21" s="147"/>
      <c r="AA21" s="147"/>
      <c r="AB21" s="147"/>
    </row>
    <row r="22" spans="1:28" s="231" customFormat="1" ht="32.25" customHeight="1" x14ac:dyDescent="0.2">
      <c r="A22" s="224"/>
      <c r="B22" s="222" t="s">
        <v>568</v>
      </c>
      <c r="C22" s="222" t="s">
        <v>614</v>
      </c>
      <c r="D22" s="222"/>
      <c r="E22" s="222" t="s">
        <v>569</v>
      </c>
      <c r="F22" s="222" t="s">
        <v>570</v>
      </c>
      <c r="G22" s="222" t="s">
        <v>571</v>
      </c>
      <c r="H22" s="222"/>
      <c r="I22" s="222"/>
      <c r="J22" s="222"/>
      <c r="K22" s="222"/>
      <c r="L22" s="222"/>
      <c r="M22" s="222"/>
      <c r="N22" s="222"/>
      <c r="O22" s="222"/>
      <c r="P22" s="222"/>
      <c r="Q22" s="230"/>
      <c r="R22" s="223"/>
      <c r="S22" s="223"/>
      <c r="T22" s="229"/>
      <c r="U22" s="229"/>
      <c r="V22" s="229"/>
      <c r="W22" s="229"/>
      <c r="X22" s="229"/>
      <c r="Y22" s="229"/>
    </row>
    <row r="23" spans="1:28"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row>
    <row r="24" spans="1:28"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row>
    <row r="25" spans="1:28"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row>
    <row r="26" spans="1:28"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row>
    <row r="27" spans="1:28"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row>
    <row r="28" spans="1:28"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row>
    <row r="29" spans="1:28"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51"/>
      <c r="AB29" s="151"/>
    </row>
    <row r="30" spans="1:28"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C1" zoomScale="80" zoomScaleNormal="60" zoomScaleSheetLayoutView="80" workbookViewId="0">
      <selection activeCell="E28" sqref="E28"/>
    </sheetView>
  </sheetViews>
  <sheetFormatPr defaultColWidth="10.7109375" defaultRowHeight="15.75" x14ac:dyDescent="0.25"/>
  <cols>
    <col min="1" max="1" width="9.5703125" style="34" customWidth="1"/>
    <col min="2" max="3" width="15.7109375" style="34" customWidth="1"/>
    <col min="4" max="4" width="22" style="34" customWidth="1"/>
    <col min="5" max="5" width="25.28515625" style="34" customWidth="1"/>
    <col min="6" max="6" width="24.28515625" style="34" customWidth="1"/>
    <col min="7" max="7" width="17.140625" style="34" customWidth="1"/>
    <col min="8" max="8" width="16.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4"/>
      <c r="T3" s="14" t="s">
        <v>8</v>
      </c>
    </row>
    <row r="4" spans="1:20" s="17" customFormat="1" ht="18.75" customHeight="1" x14ac:dyDescent="0.3">
      <c r="H4" s="134"/>
      <c r="T4" s="14" t="s">
        <v>65</v>
      </c>
    </row>
    <row r="5" spans="1:20" s="17" customFormat="1" ht="18.75" customHeight="1" x14ac:dyDescent="0.3">
      <c r="H5" s="134"/>
      <c r="T5" s="14"/>
    </row>
    <row r="6" spans="1:20" s="17" customFormat="1" x14ac:dyDescent="0.2">
      <c r="A6" s="351" t="str">
        <f>'1. паспорт местоположение'!A5:C5</f>
        <v>Год раскрытия информации: 2021 год</v>
      </c>
      <c r="B6" s="351"/>
      <c r="C6" s="351"/>
      <c r="D6" s="351"/>
      <c r="E6" s="351"/>
      <c r="F6" s="351"/>
      <c r="G6" s="351"/>
      <c r="H6" s="351"/>
      <c r="I6" s="351"/>
      <c r="J6" s="351"/>
      <c r="K6" s="351"/>
      <c r="L6" s="351"/>
      <c r="M6" s="351"/>
      <c r="N6" s="351"/>
      <c r="O6" s="351"/>
      <c r="P6" s="351"/>
      <c r="Q6" s="351"/>
      <c r="R6" s="351"/>
      <c r="S6" s="351"/>
      <c r="T6" s="351"/>
    </row>
    <row r="7" spans="1:20" s="17" customFormat="1" x14ac:dyDescent="0.2">
      <c r="A7" s="135"/>
      <c r="H7" s="134"/>
    </row>
    <row r="8" spans="1:20" s="17" customFormat="1" ht="18.75" x14ac:dyDescent="0.2">
      <c r="A8" s="362" t="s">
        <v>7</v>
      </c>
      <c r="B8" s="362"/>
      <c r="C8" s="362"/>
      <c r="D8" s="362"/>
      <c r="E8" s="362"/>
      <c r="F8" s="362"/>
      <c r="G8" s="362"/>
      <c r="H8" s="362"/>
      <c r="I8" s="362"/>
      <c r="J8" s="362"/>
      <c r="K8" s="362"/>
      <c r="L8" s="362"/>
      <c r="M8" s="362"/>
      <c r="N8" s="362"/>
      <c r="O8" s="362"/>
      <c r="P8" s="362"/>
      <c r="Q8" s="362"/>
      <c r="R8" s="362"/>
      <c r="S8" s="362"/>
      <c r="T8" s="362"/>
    </row>
    <row r="9" spans="1:20" s="17" customFormat="1" ht="18.75" x14ac:dyDescent="0.2">
      <c r="A9" s="362"/>
      <c r="B9" s="362"/>
      <c r="C9" s="362"/>
      <c r="D9" s="362"/>
      <c r="E9" s="362"/>
      <c r="F9" s="362"/>
      <c r="G9" s="362"/>
      <c r="H9" s="362"/>
      <c r="I9" s="362"/>
      <c r="J9" s="362"/>
      <c r="K9" s="362"/>
      <c r="L9" s="362"/>
      <c r="M9" s="362"/>
      <c r="N9" s="362"/>
      <c r="O9" s="362"/>
      <c r="P9" s="362"/>
      <c r="Q9" s="362"/>
      <c r="R9" s="362"/>
      <c r="S9" s="362"/>
      <c r="T9" s="362"/>
    </row>
    <row r="10" spans="1:20" s="17" customFormat="1" ht="18.75" customHeight="1" x14ac:dyDescent="0.2">
      <c r="A10" s="357" t="str">
        <f>'1. паспорт местоположение'!A9:C9</f>
        <v xml:space="preserve">Акционерное общество "Западная энергетическая компания" </v>
      </c>
      <c r="B10" s="357"/>
      <c r="C10" s="357"/>
      <c r="D10" s="357"/>
      <c r="E10" s="357"/>
      <c r="F10" s="357"/>
      <c r="G10" s="357"/>
      <c r="H10" s="357"/>
      <c r="I10" s="357"/>
      <c r="J10" s="357"/>
      <c r="K10" s="357"/>
      <c r="L10" s="357"/>
      <c r="M10" s="357"/>
      <c r="N10" s="357"/>
      <c r="O10" s="357"/>
      <c r="P10" s="357"/>
      <c r="Q10" s="357"/>
      <c r="R10" s="357"/>
      <c r="S10" s="357"/>
      <c r="T10" s="357"/>
    </row>
    <row r="11" spans="1:20" s="17" customFormat="1" ht="18.75" customHeight="1" x14ac:dyDescent="0.2">
      <c r="A11" s="358" t="s">
        <v>6</v>
      </c>
      <c r="B11" s="358"/>
      <c r="C11" s="358"/>
      <c r="D11" s="358"/>
      <c r="E11" s="358"/>
      <c r="F11" s="358"/>
      <c r="G11" s="358"/>
      <c r="H11" s="358"/>
      <c r="I11" s="358"/>
      <c r="J11" s="358"/>
      <c r="K11" s="358"/>
      <c r="L11" s="358"/>
      <c r="M11" s="358"/>
      <c r="N11" s="358"/>
      <c r="O11" s="358"/>
      <c r="P11" s="358"/>
      <c r="Q11" s="358"/>
      <c r="R11" s="358"/>
      <c r="S11" s="358"/>
      <c r="T11" s="358"/>
    </row>
    <row r="12" spans="1:20" s="17" customFormat="1" ht="18.75" x14ac:dyDescent="0.2">
      <c r="A12" s="362"/>
      <c r="B12" s="362"/>
      <c r="C12" s="362"/>
      <c r="D12" s="362"/>
      <c r="E12" s="362"/>
      <c r="F12" s="362"/>
      <c r="G12" s="362"/>
      <c r="H12" s="362"/>
      <c r="I12" s="362"/>
      <c r="J12" s="362"/>
      <c r="K12" s="362"/>
      <c r="L12" s="362"/>
      <c r="M12" s="362"/>
      <c r="N12" s="362"/>
      <c r="O12" s="362"/>
      <c r="P12" s="362"/>
      <c r="Q12" s="362"/>
      <c r="R12" s="362"/>
      <c r="S12" s="362"/>
      <c r="T12" s="362"/>
    </row>
    <row r="13" spans="1:20" s="17" customFormat="1" ht="18.75" customHeight="1" x14ac:dyDescent="0.2">
      <c r="A13" s="357" t="str">
        <f>'1. паспорт местоположение'!A12:C12</f>
        <v>J_19-08</v>
      </c>
      <c r="B13" s="357"/>
      <c r="C13" s="357"/>
      <c r="D13" s="357"/>
      <c r="E13" s="357"/>
      <c r="F13" s="357"/>
      <c r="G13" s="357"/>
      <c r="H13" s="357"/>
      <c r="I13" s="357"/>
      <c r="J13" s="357"/>
      <c r="K13" s="357"/>
      <c r="L13" s="357"/>
      <c r="M13" s="357"/>
      <c r="N13" s="357"/>
      <c r="O13" s="357"/>
      <c r="P13" s="357"/>
      <c r="Q13" s="357"/>
      <c r="R13" s="357"/>
      <c r="S13" s="357"/>
      <c r="T13" s="357"/>
    </row>
    <row r="14" spans="1:20" s="17" customFormat="1" ht="18.75" customHeight="1" x14ac:dyDescent="0.2">
      <c r="A14" s="358" t="s">
        <v>5</v>
      </c>
      <c r="B14" s="358"/>
      <c r="C14" s="358"/>
      <c r="D14" s="358"/>
      <c r="E14" s="358"/>
      <c r="F14" s="358"/>
      <c r="G14" s="358"/>
      <c r="H14" s="358"/>
      <c r="I14" s="358"/>
      <c r="J14" s="358"/>
      <c r="K14" s="358"/>
      <c r="L14" s="358"/>
      <c r="M14" s="358"/>
      <c r="N14" s="358"/>
      <c r="O14" s="358"/>
      <c r="P14" s="358"/>
      <c r="Q14" s="358"/>
      <c r="R14" s="358"/>
      <c r="S14" s="358"/>
      <c r="T14" s="358"/>
    </row>
    <row r="15" spans="1:20" s="136" customFormat="1" ht="15.75" customHeight="1" x14ac:dyDescent="0.2">
      <c r="A15" s="363"/>
      <c r="B15" s="363"/>
      <c r="C15" s="363"/>
      <c r="D15" s="363"/>
      <c r="E15" s="363"/>
      <c r="F15" s="363"/>
      <c r="G15" s="363"/>
      <c r="H15" s="363"/>
      <c r="I15" s="363"/>
      <c r="J15" s="363"/>
      <c r="K15" s="363"/>
      <c r="L15" s="363"/>
      <c r="M15" s="363"/>
      <c r="N15" s="363"/>
      <c r="O15" s="363"/>
      <c r="P15" s="363"/>
      <c r="Q15" s="363"/>
      <c r="R15" s="363"/>
      <c r="S15" s="363"/>
      <c r="T15" s="363"/>
    </row>
    <row r="16" spans="1:20" s="137" customFormat="1" x14ac:dyDescent="0.2">
      <c r="A16" s="357" t="str">
        <f>'1. паспорт местоположение'!A15:C15</f>
        <v>Реконструкция ТП-4  15/0,4кВ п.Северный, Багратионовского р-на</v>
      </c>
      <c r="B16" s="357"/>
      <c r="C16" s="357"/>
      <c r="D16" s="357"/>
      <c r="E16" s="357"/>
      <c r="F16" s="357"/>
      <c r="G16" s="357"/>
      <c r="H16" s="357"/>
      <c r="I16" s="357"/>
      <c r="J16" s="357"/>
      <c r="K16" s="357"/>
      <c r="L16" s="357"/>
      <c r="M16" s="357"/>
      <c r="N16" s="357"/>
      <c r="O16" s="357"/>
      <c r="P16" s="357"/>
      <c r="Q16" s="357"/>
      <c r="R16" s="357"/>
      <c r="S16" s="357"/>
      <c r="T16" s="357"/>
    </row>
    <row r="17" spans="1:20" s="137" customFormat="1" ht="15" customHeight="1" x14ac:dyDescent="0.2">
      <c r="A17" s="358" t="s">
        <v>4</v>
      </c>
      <c r="B17" s="358"/>
      <c r="C17" s="358"/>
      <c r="D17" s="358"/>
      <c r="E17" s="358"/>
      <c r="F17" s="358"/>
      <c r="G17" s="358"/>
      <c r="H17" s="358"/>
      <c r="I17" s="358"/>
      <c r="J17" s="358"/>
      <c r="K17" s="358"/>
      <c r="L17" s="358"/>
      <c r="M17" s="358"/>
      <c r="N17" s="358"/>
      <c r="O17" s="358"/>
      <c r="P17" s="358"/>
      <c r="Q17" s="358"/>
      <c r="R17" s="358"/>
      <c r="S17" s="358"/>
      <c r="T17" s="358"/>
    </row>
    <row r="18" spans="1:20" s="137"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59"/>
    </row>
    <row r="19" spans="1:20" s="137" customFormat="1" ht="15" customHeight="1" x14ac:dyDescent="0.2">
      <c r="A19" s="371" t="s">
        <v>387</v>
      </c>
      <c r="B19" s="371"/>
      <c r="C19" s="371"/>
      <c r="D19" s="371"/>
      <c r="E19" s="371"/>
      <c r="F19" s="371"/>
      <c r="G19" s="371"/>
      <c r="H19" s="371"/>
      <c r="I19" s="371"/>
      <c r="J19" s="371"/>
      <c r="K19" s="371"/>
      <c r="L19" s="371"/>
      <c r="M19" s="371"/>
      <c r="N19" s="371"/>
      <c r="O19" s="371"/>
      <c r="P19" s="371"/>
      <c r="Q19" s="371"/>
      <c r="R19" s="371"/>
      <c r="S19" s="371"/>
      <c r="T19" s="371"/>
    </row>
    <row r="20" spans="1:20" s="41" customFormat="1" ht="21" customHeight="1" x14ac:dyDescent="0.25">
      <c r="A20" s="372"/>
      <c r="B20" s="372"/>
      <c r="C20" s="372"/>
      <c r="D20" s="372"/>
      <c r="E20" s="372"/>
      <c r="F20" s="372"/>
      <c r="G20" s="372"/>
      <c r="H20" s="372"/>
      <c r="I20" s="372"/>
      <c r="J20" s="372"/>
      <c r="K20" s="372"/>
      <c r="L20" s="372"/>
      <c r="M20" s="372"/>
      <c r="N20" s="372"/>
      <c r="O20" s="372"/>
      <c r="P20" s="372"/>
      <c r="Q20" s="372"/>
      <c r="R20" s="372"/>
      <c r="S20" s="372"/>
      <c r="T20" s="372"/>
    </row>
    <row r="21" spans="1:20" ht="46.5" customHeight="1" x14ac:dyDescent="0.25">
      <c r="A21" s="373" t="s">
        <v>3</v>
      </c>
      <c r="B21" s="376" t="s">
        <v>200</v>
      </c>
      <c r="C21" s="377"/>
      <c r="D21" s="380" t="s">
        <v>116</v>
      </c>
      <c r="E21" s="376" t="s">
        <v>415</v>
      </c>
      <c r="F21" s="377"/>
      <c r="G21" s="376" t="s">
        <v>239</v>
      </c>
      <c r="H21" s="377"/>
      <c r="I21" s="376" t="s">
        <v>115</v>
      </c>
      <c r="J21" s="377"/>
      <c r="K21" s="380" t="s">
        <v>114</v>
      </c>
      <c r="L21" s="376" t="s">
        <v>113</v>
      </c>
      <c r="M21" s="377"/>
      <c r="N21" s="376" t="s">
        <v>442</v>
      </c>
      <c r="O21" s="377"/>
      <c r="P21" s="380" t="s">
        <v>112</v>
      </c>
      <c r="Q21" s="368" t="s">
        <v>111</v>
      </c>
      <c r="R21" s="369"/>
      <c r="S21" s="368" t="s">
        <v>110</v>
      </c>
      <c r="T21" s="370"/>
    </row>
    <row r="22" spans="1:20" ht="204.75" customHeight="1" x14ac:dyDescent="0.25">
      <c r="A22" s="374"/>
      <c r="B22" s="378"/>
      <c r="C22" s="379"/>
      <c r="D22" s="383"/>
      <c r="E22" s="378"/>
      <c r="F22" s="379"/>
      <c r="G22" s="378"/>
      <c r="H22" s="379"/>
      <c r="I22" s="378"/>
      <c r="J22" s="379"/>
      <c r="K22" s="381"/>
      <c r="L22" s="378"/>
      <c r="M22" s="379"/>
      <c r="N22" s="378"/>
      <c r="O22" s="379"/>
      <c r="P22" s="381"/>
      <c r="Q22" s="72" t="s">
        <v>109</v>
      </c>
      <c r="R22" s="72" t="s">
        <v>386</v>
      </c>
      <c r="S22" s="72" t="s">
        <v>108</v>
      </c>
      <c r="T22" s="72" t="s">
        <v>107</v>
      </c>
    </row>
    <row r="23" spans="1:20" ht="51.75" customHeight="1" x14ac:dyDescent="0.25">
      <c r="A23" s="375"/>
      <c r="B23" s="106" t="s">
        <v>105</v>
      </c>
      <c r="C23" s="106" t="s">
        <v>106</v>
      </c>
      <c r="D23" s="381"/>
      <c r="E23" s="106" t="s">
        <v>105</v>
      </c>
      <c r="F23" s="106" t="s">
        <v>106</v>
      </c>
      <c r="G23" s="106" t="s">
        <v>105</v>
      </c>
      <c r="H23" s="106" t="s">
        <v>106</v>
      </c>
      <c r="I23" s="106" t="s">
        <v>105</v>
      </c>
      <c r="J23" s="106" t="s">
        <v>106</v>
      </c>
      <c r="K23" s="106" t="s">
        <v>105</v>
      </c>
      <c r="L23" s="106" t="s">
        <v>105</v>
      </c>
      <c r="M23" s="106" t="s">
        <v>106</v>
      </c>
      <c r="N23" s="106" t="s">
        <v>105</v>
      </c>
      <c r="O23" s="106" t="s">
        <v>106</v>
      </c>
      <c r="P23" s="131"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234" customFormat="1" ht="66" customHeight="1" x14ac:dyDescent="0.25">
      <c r="A25" s="232">
        <v>1</v>
      </c>
      <c r="B25" s="232" t="s">
        <v>596</v>
      </c>
      <c r="C25" s="232" t="s">
        <v>596</v>
      </c>
      <c r="D25" s="232" t="s">
        <v>613</v>
      </c>
      <c r="E25" s="232" t="s">
        <v>597</v>
      </c>
      <c r="F25" s="232" t="s">
        <v>581</v>
      </c>
      <c r="G25" s="232" t="s">
        <v>582</v>
      </c>
      <c r="H25" s="232" t="s">
        <v>583</v>
      </c>
      <c r="I25" s="233" t="s">
        <v>572</v>
      </c>
      <c r="J25" s="233" t="s">
        <v>578</v>
      </c>
      <c r="K25" s="233" t="s">
        <v>584</v>
      </c>
      <c r="L25" s="233" t="s">
        <v>585</v>
      </c>
      <c r="M25" s="233" t="s">
        <v>585</v>
      </c>
      <c r="N25" s="232"/>
      <c r="O25" s="232"/>
      <c r="P25" s="233" t="s">
        <v>297</v>
      </c>
      <c r="Q25" s="233"/>
      <c r="R25" s="233"/>
      <c r="S25" s="233" t="s">
        <v>297</v>
      </c>
      <c r="T25" s="232" t="s">
        <v>297</v>
      </c>
    </row>
    <row r="26" spans="1:20" s="237" customFormat="1" ht="47.25" customHeight="1" x14ac:dyDescent="0.25">
      <c r="A26" s="232">
        <v>2</v>
      </c>
      <c r="B26" s="232"/>
      <c r="C26" s="232"/>
      <c r="D26" s="235" t="s">
        <v>586</v>
      </c>
      <c r="E26" s="235" t="s">
        <v>587</v>
      </c>
      <c r="F26" s="235" t="s">
        <v>588</v>
      </c>
      <c r="G26" s="235" t="s">
        <v>589</v>
      </c>
      <c r="H26" s="235" t="s">
        <v>589</v>
      </c>
      <c r="I26" s="233" t="s">
        <v>572</v>
      </c>
      <c r="J26" s="235">
        <v>2020</v>
      </c>
      <c r="K26" s="233" t="s">
        <v>584</v>
      </c>
      <c r="L26" s="233" t="s">
        <v>590</v>
      </c>
      <c r="M26" s="233" t="s">
        <v>590</v>
      </c>
      <c r="N26" s="236"/>
      <c r="O26" s="236"/>
      <c r="P26" s="233"/>
      <c r="Q26" s="232"/>
      <c r="R26" s="232"/>
      <c r="S26" s="236" t="s">
        <v>297</v>
      </c>
      <c r="T26" s="236" t="s">
        <v>297</v>
      </c>
    </row>
    <row r="27" spans="1:20" ht="24" customHeight="1" x14ac:dyDescent="0.25">
      <c r="A27" s="232">
        <v>3</v>
      </c>
      <c r="B27" s="232"/>
      <c r="C27" s="232"/>
      <c r="D27" s="235" t="s">
        <v>591</v>
      </c>
      <c r="E27" s="235" t="s">
        <v>598</v>
      </c>
      <c r="F27" s="235" t="s">
        <v>598</v>
      </c>
      <c r="G27" s="235" t="s">
        <v>592</v>
      </c>
      <c r="H27" s="235" t="s">
        <v>592</v>
      </c>
      <c r="I27" s="233" t="s">
        <v>599</v>
      </c>
      <c r="J27" s="235">
        <v>2001</v>
      </c>
      <c r="K27" s="233" t="s">
        <v>600</v>
      </c>
      <c r="L27" s="233" t="s">
        <v>56</v>
      </c>
      <c r="M27" s="233" t="s">
        <v>56</v>
      </c>
      <c r="N27" s="236">
        <v>630</v>
      </c>
      <c r="O27" s="236">
        <v>630</v>
      </c>
      <c r="P27" s="233"/>
      <c r="Q27" s="233"/>
      <c r="R27" s="233"/>
      <c r="S27" s="236" t="s">
        <v>297</v>
      </c>
      <c r="T27" s="236" t="s">
        <v>297</v>
      </c>
    </row>
    <row r="28" spans="1:20" ht="24" customHeight="1" x14ac:dyDescent="0.25">
      <c r="A28" s="232">
        <v>4</v>
      </c>
      <c r="B28" s="232"/>
      <c r="C28" s="232"/>
      <c r="D28" s="235" t="s">
        <v>591</v>
      </c>
      <c r="E28" s="235" t="s">
        <v>601</v>
      </c>
      <c r="F28" s="235" t="s">
        <v>602</v>
      </c>
      <c r="G28" s="235" t="s">
        <v>593</v>
      </c>
      <c r="H28" s="235" t="s">
        <v>593</v>
      </c>
      <c r="I28" s="233" t="s">
        <v>603</v>
      </c>
      <c r="J28" s="235">
        <v>2022</v>
      </c>
      <c r="K28" s="233" t="s">
        <v>604</v>
      </c>
      <c r="L28" s="233" t="s">
        <v>56</v>
      </c>
      <c r="M28" s="233" t="s">
        <v>56</v>
      </c>
      <c r="N28" s="236">
        <v>250</v>
      </c>
      <c r="O28" s="236">
        <v>250</v>
      </c>
      <c r="P28" s="233"/>
      <c r="Q28" s="233"/>
      <c r="R28" s="233"/>
      <c r="S28" s="236" t="s">
        <v>297</v>
      </c>
      <c r="T28" s="236" t="s">
        <v>297</v>
      </c>
    </row>
    <row r="29" spans="1:20" ht="24" customHeight="1" x14ac:dyDescent="0.25">
      <c r="A29" s="232"/>
      <c r="B29" s="232"/>
      <c r="C29" s="232"/>
      <c r="D29" s="235" t="s">
        <v>591</v>
      </c>
      <c r="E29" s="235" t="s">
        <v>605</v>
      </c>
      <c r="F29" s="235" t="s">
        <v>602</v>
      </c>
      <c r="G29" s="235" t="s">
        <v>606</v>
      </c>
      <c r="H29" s="235" t="s">
        <v>606</v>
      </c>
      <c r="I29" s="233" t="s">
        <v>607</v>
      </c>
      <c r="J29" s="235">
        <v>2022</v>
      </c>
      <c r="K29" s="233" t="s">
        <v>608</v>
      </c>
      <c r="L29" s="233" t="s">
        <v>56</v>
      </c>
      <c r="M29" s="233" t="s">
        <v>56</v>
      </c>
      <c r="N29" s="236">
        <v>250</v>
      </c>
      <c r="O29" s="236">
        <v>250</v>
      </c>
      <c r="P29" s="233"/>
      <c r="Q29" s="233"/>
      <c r="R29" s="233"/>
      <c r="S29" s="236"/>
      <c r="T29" s="236"/>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382" t="s">
        <v>421</v>
      </c>
      <c r="C32" s="382"/>
      <c r="D32" s="382"/>
      <c r="E32" s="382"/>
      <c r="F32" s="382"/>
      <c r="G32" s="382"/>
      <c r="H32" s="382"/>
      <c r="I32" s="382"/>
      <c r="J32" s="382"/>
      <c r="K32" s="382"/>
      <c r="L32" s="382"/>
      <c r="M32" s="382"/>
      <c r="N32" s="382"/>
      <c r="O32" s="382"/>
      <c r="P32" s="382"/>
      <c r="Q32" s="382"/>
      <c r="R32" s="382"/>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O1" zoomScale="80" zoomScaleSheetLayoutView="80" workbookViewId="0">
      <selection activeCell="O26" sqref="A26:XFD26"/>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4"/>
      <c r="R2" s="134"/>
      <c r="AA2" s="14" t="s">
        <v>8</v>
      </c>
    </row>
    <row r="3" spans="1:27" s="17" customFormat="1" ht="18.75" customHeight="1" x14ac:dyDescent="0.3">
      <c r="Q3" s="134"/>
      <c r="R3" s="134"/>
      <c r="AA3" s="14" t="s">
        <v>65</v>
      </c>
    </row>
    <row r="4" spans="1:27" s="17" customFormat="1" x14ac:dyDescent="0.2">
      <c r="E4" s="135"/>
      <c r="Q4" s="134"/>
      <c r="R4" s="134"/>
    </row>
    <row r="5" spans="1:27" s="17" customFormat="1" x14ac:dyDescent="0.2">
      <c r="A5" s="351" t="str">
        <f>'1. паспорт местоположение'!A5:C5</f>
        <v>Год раскрытия информации: 2021 год</v>
      </c>
      <c r="B5" s="351"/>
      <c r="C5" s="351"/>
      <c r="D5" s="351"/>
      <c r="E5" s="351"/>
      <c r="F5" s="351"/>
      <c r="G5" s="351"/>
      <c r="H5" s="351"/>
      <c r="I5" s="351"/>
      <c r="J5" s="351"/>
      <c r="K5" s="351"/>
      <c r="L5" s="351"/>
      <c r="M5" s="351"/>
      <c r="N5" s="351"/>
      <c r="O5" s="351"/>
      <c r="P5" s="351"/>
      <c r="Q5" s="351"/>
      <c r="R5" s="351"/>
      <c r="S5" s="351"/>
      <c r="T5" s="351"/>
      <c r="U5" s="351"/>
      <c r="V5" s="351"/>
      <c r="W5" s="351"/>
      <c r="X5" s="351"/>
      <c r="Y5" s="351"/>
      <c r="Z5" s="351"/>
      <c r="AA5" s="351"/>
    </row>
    <row r="6" spans="1:27" s="17" customFormat="1" x14ac:dyDescent="0.2">
      <c r="A6" s="130"/>
      <c r="B6" s="130"/>
      <c r="C6" s="130"/>
      <c r="D6" s="130"/>
      <c r="E6" s="130"/>
      <c r="F6" s="130"/>
      <c r="G6" s="130"/>
      <c r="H6" s="130"/>
      <c r="I6" s="130"/>
      <c r="J6" s="130"/>
      <c r="K6" s="130"/>
      <c r="L6" s="130"/>
      <c r="M6" s="130"/>
      <c r="N6" s="130"/>
      <c r="O6" s="130"/>
      <c r="P6" s="130"/>
      <c r="Q6" s="130"/>
      <c r="R6" s="130"/>
      <c r="S6" s="130"/>
      <c r="T6" s="130"/>
    </row>
    <row r="7" spans="1:27" s="17" customFormat="1" ht="18.75" x14ac:dyDescent="0.2">
      <c r="E7" s="362" t="s">
        <v>7</v>
      </c>
      <c r="F7" s="362"/>
      <c r="G7" s="362"/>
      <c r="H7" s="362"/>
      <c r="I7" s="362"/>
      <c r="J7" s="362"/>
      <c r="K7" s="362"/>
      <c r="L7" s="362"/>
      <c r="M7" s="362"/>
      <c r="N7" s="362"/>
      <c r="O7" s="362"/>
      <c r="P7" s="362"/>
      <c r="Q7" s="362"/>
      <c r="R7" s="362"/>
      <c r="S7" s="362"/>
      <c r="T7" s="362"/>
      <c r="U7" s="362"/>
      <c r="V7" s="362"/>
      <c r="W7" s="362"/>
      <c r="X7" s="362"/>
      <c r="Y7" s="362"/>
    </row>
    <row r="8" spans="1:27" s="17" customFormat="1" ht="18.75" x14ac:dyDescent="0.2">
      <c r="E8" s="153"/>
      <c r="F8" s="153"/>
      <c r="G8" s="153"/>
      <c r="H8" s="153"/>
      <c r="I8" s="153"/>
      <c r="J8" s="153"/>
      <c r="K8" s="153"/>
      <c r="L8" s="153"/>
      <c r="M8" s="153"/>
      <c r="N8" s="153"/>
      <c r="O8" s="153"/>
      <c r="P8" s="153"/>
      <c r="Q8" s="153"/>
      <c r="R8" s="153"/>
      <c r="S8" s="138"/>
      <c r="T8" s="138"/>
      <c r="U8" s="138"/>
      <c r="V8" s="138"/>
      <c r="W8" s="138"/>
    </row>
    <row r="9" spans="1:27" s="17" customFormat="1" ht="18.75" customHeight="1" x14ac:dyDescent="0.2">
      <c r="E9" s="357" t="str">
        <f>'1. паспорт местоположение'!A9</f>
        <v xml:space="preserve">Акционерное общество "Западная энергетическая компания" </v>
      </c>
      <c r="F9" s="357"/>
      <c r="G9" s="357"/>
      <c r="H9" s="357"/>
      <c r="I9" s="357"/>
      <c r="J9" s="357"/>
      <c r="K9" s="357"/>
      <c r="L9" s="357"/>
      <c r="M9" s="357"/>
      <c r="N9" s="357"/>
      <c r="O9" s="357"/>
      <c r="P9" s="357"/>
      <c r="Q9" s="357"/>
      <c r="R9" s="357"/>
      <c r="S9" s="357"/>
      <c r="T9" s="357"/>
      <c r="U9" s="357"/>
      <c r="V9" s="357"/>
      <c r="W9" s="357"/>
      <c r="X9" s="357"/>
      <c r="Y9" s="357"/>
    </row>
    <row r="10" spans="1:27" s="17" customFormat="1" ht="18.75" customHeight="1" x14ac:dyDescent="0.2">
      <c r="E10" s="358" t="s">
        <v>6</v>
      </c>
      <c r="F10" s="358"/>
      <c r="G10" s="358"/>
      <c r="H10" s="358"/>
      <c r="I10" s="358"/>
      <c r="J10" s="358"/>
      <c r="K10" s="358"/>
      <c r="L10" s="358"/>
      <c r="M10" s="358"/>
      <c r="N10" s="358"/>
      <c r="O10" s="358"/>
      <c r="P10" s="358"/>
      <c r="Q10" s="358"/>
      <c r="R10" s="358"/>
      <c r="S10" s="358"/>
      <c r="T10" s="358"/>
      <c r="U10" s="358"/>
      <c r="V10" s="358"/>
      <c r="W10" s="358"/>
      <c r="X10" s="358"/>
      <c r="Y10" s="358"/>
    </row>
    <row r="11" spans="1:27" s="17" customFormat="1" ht="18.75" x14ac:dyDescent="0.2">
      <c r="E11" s="153"/>
      <c r="F11" s="153"/>
      <c r="G11" s="153"/>
      <c r="H11" s="153"/>
      <c r="I11" s="153"/>
      <c r="J11" s="153"/>
      <c r="K11" s="153"/>
      <c r="L11" s="153"/>
      <c r="M11" s="153"/>
      <c r="N11" s="153"/>
      <c r="O11" s="153"/>
      <c r="P11" s="153"/>
      <c r="Q11" s="153"/>
      <c r="R11" s="153"/>
      <c r="S11" s="138"/>
      <c r="T11" s="138"/>
      <c r="U11" s="138"/>
      <c r="V11" s="138"/>
      <c r="W11" s="138"/>
    </row>
    <row r="12" spans="1:27" s="17" customFormat="1" ht="18.75" customHeight="1" x14ac:dyDescent="0.2">
      <c r="E12" s="357" t="str">
        <f>'1. паспорт местоположение'!A12</f>
        <v>J_19-08</v>
      </c>
      <c r="F12" s="357"/>
      <c r="G12" s="357"/>
      <c r="H12" s="357"/>
      <c r="I12" s="357"/>
      <c r="J12" s="357"/>
      <c r="K12" s="357"/>
      <c r="L12" s="357"/>
      <c r="M12" s="357"/>
      <c r="N12" s="357"/>
      <c r="O12" s="357"/>
      <c r="P12" s="357"/>
      <c r="Q12" s="357"/>
      <c r="R12" s="357"/>
      <c r="S12" s="357"/>
      <c r="T12" s="357"/>
      <c r="U12" s="357"/>
      <c r="V12" s="357"/>
      <c r="W12" s="357"/>
      <c r="X12" s="357"/>
      <c r="Y12" s="357"/>
    </row>
    <row r="13" spans="1:27" s="17" customFormat="1" ht="18.75" customHeight="1" x14ac:dyDescent="0.2">
      <c r="E13" s="358" t="s">
        <v>5</v>
      </c>
      <c r="F13" s="358"/>
      <c r="G13" s="358"/>
      <c r="H13" s="358"/>
      <c r="I13" s="358"/>
      <c r="J13" s="358"/>
      <c r="K13" s="358"/>
      <c r="L13" s="358"/>
      <c r="M13" s="358"/>
      <c r="N13" s="358"/>
      <c r="O13" s="358"/>
      <c r="P13" s="358"/>
      <c r="Q13" s="358"/>
      <c r="R13" s="358"/>
      <c r="S13" s="358"/>
      <c r="T13" s="358"/>
      <c r="U13" s="358"/>
      <c r="V13" s="358"/>
      <c r="W13" s="358"/>
      <c r="X13" s="358"/>
      <c r="Y13" s="358"/>
    </row>
    <row r="14" spans="1:27" s="136" customFormat="1" ht="15.75" customHeight="1" x14ac:dyDescent="0.2">
      <c r="E14" s="139"/>
      <c r="F14" s="139"/>
      <c r="G14" s="139"/>
      <c r="H14" s="139"/>
      <c r="I14" s="139"/>
      <c r="J14" s="139"/>
      <c r="K14" s="139"/>
      <c r="L14" s="139"/>
      <c r="M14" s="139"/>
      <c r="N14" s="139"/>
      <c r="O14" s="139"/>
      <c r="P14" s="139"/>
      <c r="Q14" s="139"/>
      <c r="R14" s="139"/>
      <c r="S14" s="139"/>
      <c r="T14" s="139"/>
      <c r="U14" s="139"/>
      <c r="V14" s="139"/>
      <c r="W14" s="139"/>
    </row>
    <row r="15" spans="1:27" s="137" customFormat="1" x14ac:dyDescent="0.2">
      <c r="E15" s="357" t="str">
        <f>'1. паспорт местоположение'!A15</f>
        <v>Реконструкция ТП-4  15/0,4кВ п.Северный, Багратионовского р-на</v>
      </c>
      <c r="F15" s="357"/>
      <c r="G15" s="357"/>
      <c r="H15" s="357"/>
      <c r="I15" s="357"/>
      <c r="J15" s="357"/>
      <c r="K15" s="357"/>
      <c r="L15" s="357"/>
      <c r="M15" s="357"/>
      <c r="N15" s="357"/>
      <c r="O15" s="357"/>
      <c r="P15" s="357"/>
      <c r="Q15" s="357"/>
      <c r="R15" s="357"/>
      <c r="S15" s="357"/>
      <c r="T15" s="357"/>
      <c r="U15" s="357"/>
      <c r="V15" s="357"/>
      <c r="W15" s="357"/>
      <c r="X15" s="357"/>
      <c r="Y15" s="357"/>
    </row>
    <row r="16" spans="1:27" s="137" customFormat="1" ht="15" customHeight="1" x14ac:dyDescent="0.2">
      <c r="E16" s="358" t="s">
        <v>4</v>
      </c>
      <c r="F16" s="358"/>
      <c r="G16" s="358"/>
      <c r="H16" s="358"/>
      <c r="I16" s="358"/>
      <c r="J16" s="358"/>
      <c r="K16" s="358"/>
      <c r="L16" s="358"/>
      <c r="M16" s="358"/>
      <c r="N16" s="358"/>
      <c r="O16" s="358"/>
      <c r="P16" s="358"/>
      <c r="Q16" s="358"/>
      <c r="R16" s="358"/>
      <c r="S16" s="358"/>
      <c r="T16" s="358"/>
      <c r="U16" s="358"/>
      <c r="V16" s="358"/>
      <c r="W16" s="358"/>
      <c r="X16" s="358"/>
      <c r="Y16" s="358"/>
    </row>
    <row r="17" spans="1:27" s="137"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37" customFormat="1" ht="15" customHeight="1" x14ac:dyDescent="0.2">
      <c r="E18" s="371"/>
      <c r="F18" s="371"/>
      <c r="G18" s="371"/>
      <c r="H18" s="371"/>
      <c r="I18" s="371"/>
      <c r="J18" s="371"/>
      <c r="K18" s="371"/>
      <c r="L18" s="371"/>
      <c r="M18" s="371"/>
      <c r="N18" s="371"/>
      <c r="O18" s="371"/>
      <c r="P18" s="371"/>
      <c r="Q18" s="371"/>
      <c r="R18" s="371"/>
      <c r="S18" s="371"/>
      <c r="T18" s="371"/>
      <c r="U18" s="371"/>
      <c r="V18" s="371"/>
      <c r="W18" s="371"/>
      <c r="X18" s="371"/>
      <c r="Y18" s="371"/>
    </row>
    <row r="19" spans="1:27" ht="25.5" customHeight="1" x14ac:dyDescent="0.25">
      <c r="A19" s="371" t="s">
        <v>389</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row>
    <row r="20" spans="1:27" s="41" customFormat="1" ht="21" customHeight="1" x14ac:dyDescent="0.25"/>
    <row r="21" spans="1:27" ht="15.75" customHeight="1" x14ac:dyDescent="0.25">
      <c r="A21" s="384" t="s">
        <v>3</v>
      </c>
      <c r="B21" s="386" t="s">
        <v>396</v>
      </c>
      <c r="C21" s="387"/>
      <c r="D21" s="386" t="s">
        <v>398</v>
      </c>
      <c r="E21" s="387"/>
      <c r="F21" s="368" t="s">
        <v>88</v>
      </c>
      <c r="G21" s="370"/>
      <c r="H21" s="370"/>
      <c r="I21" s="369"/>
      <c r="J21" s="384" t="s">
        <v>399</v>
      </c>
      <c r="K21" s="386" t="s">
        <v>400</v>
      </c>
      <c r="L21" s="387"/>
      <c r="M21" s="386" t="s">
        <v>401</v>
      </c>
      <c r="N21" s="387"/>
      <c r="O21" s="386" t="s">
        <v>388</v>
      </c>
      <c r="P21" s="387"/>
      <c r="Q21" s="386" t="s">
        <v>121</v>
      </c>
      <c r="R21" s="387"/>
      <c r="S21" s="384" t="s">
        <v>120</v>
      </c>
      <c r="T21" s="384" t="s">
        <v>402</v>
      </c>
      <c r="U21" s="384" t="s">
        <v>397</v>
      </c>
      <c r="V21" s="386" t="s">
        <v>119</v>
      </c>
      <c r="W21" s="387"/>
      <c r="X21" s="368" t="s">
        <v>111</v>
      </c>
      <c r="Y21" s="370"/>
      <c r="Z21" s="368" t="s">
        <v>110</v>
      </c>
      <c r="AA21" s="370"/>
    </row>
    <row r="22" spans="1:27" ht="216" customHeight="1" x14ac:dyDescent="0.25">
      <c r="A22" s="390"/>
      <c r="B22" s="388"/>
      <c r="C22" s="389"/>
      <c r="D22" s="388"/>
      <c r="E22" s="389"/>
      <c r="F22" s="368" t="s">
        <v>118</v>
      </c>
      <c r="G22" s="369"/>
      <c r="H22" s="368" t="s">
        <v>117</v>
      </c>
      <c r="I22" s="369"/>
      <c r="J22" s="385"/>
      <c r="K22" s="388"/>
      <c r="L22" s="389"/>
      <c r="M22" s="388"/>
      <c r="N22" s="389"/>
      <c r="O22" s="388"/>
      <c r="P22" s="389"/>
      <c r="Q22" s="388"/>
      <c r="R22" s="389"/>
      <c r="S22" s="385"/>
      <c r="T22" s="385"/>
      <c r="U22" s="385"/>
      <c r="V22" s="388"/>
      <c r="W22" s="389"/>
      <c r="X22" s="72" t="s">
        <v>109</v>
      </c>
      <c r="Y22" s="72" t="s">
        <v>386</v>
      </c>
      <c r="Z22" s="72" t="s">
        <v>108</v>
      </c>
      <c r="AA22" s="72" t="s">
        <v>107</v>
      </c>
    </row>
    <row r="23" spans="1:27" ht="60" customHeight="1" x14ac:dyDescent="0.25">
      <c r="A23" s="385"/>
      <c r="B23" s="132" t="s">
        <v>105</v>
      </c>
      <c r="C23" s="132" t="s">
        <v>106</v>
      </c>
      <c r="D23" s="132" t="s">
        <v>105</v>
      </c>
      <c r="E23" s="132" t="s">
        <v>106</v>
      </c>
      <c r="F23" s="132" t="s">
        <v>105</v>
      </c>
      <c r="G23" s="132" t="s">
        <v>106</v>
      </c>
      <c r="H23" s="132" t="s">
        <v>105</v>
      </c>
      <c r="I23" s="132" t="s">
        <v>106</v>
      </c>
      <c r="J23" s="132" t="s">
        <v>105</v>
      </c>
      <c r="K23" s="132" t="s">
        <v>105</v>
      </c>
      <c r="L23" s="132" t="s">
        <v>106</v>
      </c>
      <c r="M23" s="132" t="s">
        <v>105</v>
      </c>
      <c r="N23" s="132" t="s">
        <v>106</v>
      </c>
      <c r="O23" s="132" t="s">
        <v>105</v>
      </c>
      <c r="P23" s="132" t="s">
        <v>106</v>
      </c>
      <c r="Q23" s="132" t="s">
        <v>105</v>
      </c>
      <c r="R23" s="132" t="s">
        <v>106</v>
      </c>
      <c r="S23" s="132" t="s">
        <v>105</v>
      </c>
      <c r="T23" s="132" t="s">
        <v>105</v>
      </c>
      <c r="U23" s="132" t="s">
        <v>105</v>
      </c>
      <c r="V23" s="132" t="s">
        <v>105</v>
      </c>
      <c r="W23" s="132" t="s">
        <v>106</v>
      </c>
      <c r="X23" s="132" t="s">
        <v>105</v>
      </c>
      <c r="Y23" s="132"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542</v>
      </c>
      <c r="B25" s="115" t="s">
        <v>542</v>
      </c>
      <c r="C25" s="115" t="s">
        <v>542</v>
      </c>
      <c r="D25" s="115" t="s">
        <v>542</v>
      </c>
      <c r="E25" s="115" t="s">
        <v>542</v>
      </c>
      <c r="F25" s="115" t="s">
        <v>542</v>
      </c>
      <c r="G25" s="115" t="s">
        <v>542</v>
      </c>
      <c r="H25" s="115" t="s">
        <v>542</v>
      </c>
      <c r="I25" s="115" t="s">
        <v>542</v>
      </c>
      <c r="J25" s="115" t="s">
        <v>542</v>
      </c>
      <c r="K25" s="115" t="s">
        <v>542</v>
      </c>
      <c r="L25" s="115" t="s">
        <v>542</v>
      </c>
      <c r="M25" s="115" t="s">
        <v>542</v>
      </c>
      <c r="N25" s="115" t="s">
        <v>542</v>
      </c>
      <c r="O25" s="115" t="s">
        <v>542</v>
      </c>
      <c r="P25" s="115" t="s">
        <v>542</v>
      </c>
      <c r="Q25" s="115" t="s">
        <v>542</v>
      </c>
      <c r="R25" s="115" t="s">
        <v>542</v>
      </c>
      <c r="S25" s="115" t="s">
        <v>542</v>
      </c>
      <c r="T25" s="115" t="s">
        <v>542</v>
      </c>
      <c r="U25" s="115" t="s">
        <v>542</v>
      </c>
      <c r="V25" s="115" t="s">
        <v>542</v>
      </c>
      <c r="W25" s="115" t="s">
        <v>542</v>
      </c>
      <c r="X25" s="115" t="s">
        <v>542</v>
      </c>
      <c r="Y25" s="115" t="s">
        <v>542</v>
      </c>
      <c r="Z25" s="115" t="s">
        <v>542</v>
      </c>
      <c r="AA25" s="115" t="s">
        <v>542</v>
      </c>
    </row>
    <row r="26" spans="1:27" ht="30" customHeight="1" x14ac:dyDescent="0.25">
      <c r="X26" s="73"/>
      <c r="Y26" s="74"/>
      <c r="Z26" s="35"/>
      <c r="AA26" s="35"/>
    </row>
    <row r="27" spans="1:27" s="40" customFormat="1" ht="12.75" x14ac:dyDescent="0.2">
      <c r="X27" s="75"/>
      <c r="Y27" s="75"/>
      <c r="Z27" s="75"/>
      <c r="AA27" s="75"/>
    </row>
    <row r="28" spans="1:27" s="4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25" sqref="C25"/>
    </sheetView>
  </sheetViews>
  <sheetFormatPr defaultColWidth="9.140625" defaultRowHeight="15" x14ac:dyDescent="0.25"/>
  <cols>
    <col min="1" max="1" width="6.140625" style="152" customWidth="1"/>
    <col min="2" max="2" width="53.5703125" style="152" customWidth="1"/>
    <col min="3" max="3" width="98.28515625" style="152" customWidth="1"/>
    <col min="4" max="4" width="14.42578125" style="152" customWidth="1"/>
    <col min="5" max="5" width="36.5703125" style="152" customWidth="1"/>
    <col min="6" max="6" width="20" style="152" customWidth="1"/>
    <col min="7" max="7" width="25.5703125" style="152" customWidth="1"/>
    <col min="8" max="8" width="16.42578125" style="152" customWidth="1"/>
    <col min="9" max="16384" width="9.140625" style="152"/>
  </cols>
  <sheetData>
    <row r="1" spans="1:29" s="17" customFormat="1" ht="18.75" customHeight="1" x14ac:dyDescent="0.2">
      <c r="C1" s="29" t="s">
        <v>66</v>
      </c>
      <c r="E1" s="134"/>
      <c r="F1" s="134"/>
    </row>
    <row r="2" spans="1:29" s="17" customFormat="1" ht="18.75" customHeight="1" x14ac:dyDescent="0.3">
      <c r="C2" s="14" t="s">
        <v>8</v>
      </c>
      <c r="E2" s="134"/>
      <c r="F2" s="134"/>
    </row>
    <row r="3" spans="1:29" s="17" customFormat="1" ht="18.75" x14ac:dyDescent="0.3">
      <c r="A3" s="135"/>
      <c r="C3" s="14" t="s">
        <v>65</v>
      </c>
      <c r="E3" s="134"/>
      <c r="F3" s="134"/>
    </row>
    <row r="4" spans="1:29" s="17" customFormat="1" ht="18.75" x14ac:dyDescent="0.3">
      <c r="A4" s="135"/>
      <c r="C4" s="14"/>
      <c r="E4" s="134"/>
      <c r="F4" s="134"/>
    </row>
    <row r="5" spans="1:29" s="17" customFormat="1" ht="15.75" x14ac:dyDescent="0.2">
      <c r="A5" s="351" t="str">
        <f>'1. паспорт местоположение'!A5:C5</f>
        <v>Год раскрытия информации: 2021 год</v>
      </c>
      <c r="B5" s="351"/>
      <c r="C5" s="351"/>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5"/>
      <c r="E6" s="134"/>
      <c r="F6" s="134"/>
      <c r="G6" s="14"/>
    </row>
    <row r="7" spans="1:29" s="17" customFormat="1" ht="18.75" x14ac:dyDescent="0.2">
      <c r="A7" s="362" t="s">
        <v>7</v>
      </c>
      <c r="B7" s="362"/>
      <c r="C7" s="362"/>
      <c r="D7" s="138"/>
      <c r="E7" s="138"/>
      <c r="F7" s="138"/>
      <c r="G7" s="138"/>
      <c r="H7" s="138"/>
      <c r="I7" s="138"/>
      <c r="J7" s="138"/>
      <c r="K7" s="138"/>
      <c r="L7" s="138"/>
      <c r="M7" s="138"/>
      <c r="N7" s="138"/>
      <c r="O7" s="138"/>
      <c r="P7" s="138"/>
      <c r="Q7" s="138"/>
      <c r="R7" s="138"/>
      <c r="S7" s="138"/>
      <c r="T7" s="138"/>
      <c r="U7" s="138"/>
    </row>
    <row r="8" spans="1:29" s="17" customFormat="1" ht="18.75" x14ac:dyDescent="0.2">
      <c r="A8" s="362"/>
      <c r="B8" s="362"/>
      <c r="C8" s="362"/>
      <c r="D8" s="153"/>
      <c r="E8" s="153"/>
      <c r="F8" s="153"/>
      <c r="G8" s="153"/>
      <c r="H8" s="138"/>
      <c r="I8" s="138"/>
      <c r="J8" s="138"/>
      <c r="K8" s="138"/>
      <c r="L8" s="138"/>
      <c r="M8" s="138"/>
      <c r="N8" s="138"/>
      <c r="O8" s="138"/>
      <c r="P8" s="138"/>
      <c r="Q8" s="138"/>
      <c r="R8" s="138"/>
      <c r="S8" s="138"/>
      <c r="T8" s="138"/>
      <c r="U8" s="138"/>
    </row>
    <row r="9" spans="1:29" s="17" customFormat="1" ht="18.75" x14ac:dyDescent="0.2">
      <c r="A9" s="357" t="str">
        <f>'1. паспорт местоположение'!A9:C9</f>
        <v xml:space="preserve">Акционерное общество "Западная энергетическая компания" </v>
      </c>
      <c r="B9" s="357"/>
      <c r="C9" s="357"/>
      <c r="D9" s="140"/>
      <c r="E9" s="140"/>
      <c r="F9" s="140"/>
      <c r="G9" s="140"/>
      <c r="H9" s="138"/>
      <c r="I9" s="138"/>
      <c r="J9" s="138"/>
      <c r="K9" s="138"/>
      <c r="L9" s="138"/>
      <c r="M9" s="138"/>
      <c r="N9" s="138"/>
      <c r="O9" s="138"/>
      <c r="P9" s="138"/>
      <c r="Q9" s="138"/>
      <c r="R9" s="138"/>
      <c r="S9" s="138"/>
      <c r="T9" s="138"/>
      <c r="U9" s="138"/>
    </row>
    <row r="10" spans="1:29" s="17" customFormat="1" ht="18.75" x14ac:dyDescent="0.2">
      <c r="A10" s="358" t="s">
        <v>6</v>
      </c>
      <c r="B10" s="358"/>
      <c r="C10" s="358"/>
      <c r="D10" s="141"/>
      <c r="E10" s="141"/>
      <c r="F10" s="141"/>
      <c r="G10" s="141"/>
      <c r="H10" s="138"/>
      <c r="I10" s="138"/>
      <c r="J10" s="138"/>
      <c r="K10" s="138"/>
      <c r="L10" s="138"/>
      <c r="M10" s="138"/>
      <c r="N10" s="138"/>
      <c r="O10" s="138"/>
      <c r="P10" s="138"/>
      <c r="Q10" s="138"/>
      <c r="R10" s="138"/>
      <c r="S10" s="138"/>
      <c r="T10" s="138"/>
      <c r="U10" s="138"/>
    </row>
    <row r="11" spans="1:29" s="17" customFormat="1" ht="18.75" x14ac:dyDescent="0.2">
      <c r="A11" s="362"/>
      <c r="B11" s="362"/>
      <c r="C11" s="362"/>
      <c r="D11" s="153"/>
      <c r="E11" s="153"/>
      <c r="F11" s="153"/>
      <c r="G11" s="153"/>
      <c r="H11" s="138"/>
      <c r="I11" s="138"/>
      <c r="J11" s="138"/>
      <c r="K11" s="138"/>
      <c r="L11" s="138"/>
      <c r="M11" s="138"/>
      <c r="N11" s="138"/>
      <c r="O11" s="138"/>
      <c r="P11" s="138"/>
      <c r="Q11" s="138"/>
      <c r="R11" s="138"/>
      <c r="S11" s="138"/>
      <c r="T11" s="138"/>
      <c r="U11" s="138"/>
    </row>
    <row r="12" spans="1:29" s="17" customFormat="1" ht="18.75" x14ac:dyDescent="0.2">
      <c r="A12" s="357" t="str">
        <f>'1. паспорт местоположение'!A12:C12</f>
        <v>J_19-08</v>
      </c>
      <c r="B12" s="357"/>
      <c r="C12" s="357"/>
      <c r="D12" s="140"/>
      <c r="E12" s="140"/>
      <c r="F12" s="140"/>
      <c r="G12" s="140"/>
      <c r="H12" s="138"/>
      <c r="I12" s="138"/>
      <c r="J12" s="138"/>
      <c r="K12" s="138"/>
      <c r="L12" s="138"/>
      <c r="M12" s="138"/>
      <c r="N12" s="138"/>
      <c r="O12" s="138"/>
      <c r="P12" s="138"/>
      <c r="Q12" s="138"/>
      <c r="R12" s="138"/>
      <c r="S12" s="138"/>
      <c r="T12" s="138"/>
      <c r="U12" s="138"/>
    </row>
    <row r="13" spans="1:29" s="17" customFormat="1" ht="18.75" x14ac:dyDescent="0.2">
      <c r="A13" s="358" t="s">
        <v>5</v>
      </c>
      <c r="B13" s="358"/>
      <c r="C13" s="358"/>
      <c r="D13" s="141"/>
      <c r="E13" s="141"/>
      <c r="F13" s="141"/>
      <c r="G13" s="141"/>
      <c r="H13" s="138"/>
      <c r="I13" s="138"/>
      <c r="J13" s="138"/>
      <c r="K13" s="138"/>
      <c r="L13" s="138"/>
      <c r="M13" s="138"/>
      <c r="N13" s="138"/>
      <c r="O13" s="138"/>
      <c r="P13" s="138"/>
      <c r="Q13" s="138"/>
      <c r="R13" s="138"/>
      <c r="S13" s="138"/>
      <c r="T13" s="138"/>
      <c r="U13" s="138"/>
    </row>
    <row r="14" spans="1:29" s="136" customFormat="1" ht="15.75" customHeight="1" x14ac:dyDescent="0.2">
      <c r="A14" s="363"/>
      <c r="B14" s="363"/>
      <c r="C14" s="363"/>
      <c r="D14" s="139"/>
      <c r="E14" s="139"/>
      <c r="F14" s="139"/>
      <c r="G14" s="139"/>
      <c r="H14" s="139"/>
      <c r="I14" s="139"/>
      <c r="J14" s="139"/>
      <c r="K14" s="139"/>
      <c r="L14" s="139"/>
      <c r="M14" s="139"/>
      <c r="N14" s="139"/>
      <c r="O14" s="139"/>
      <c r="P14" s="139"/>
      <c r="Q14" s="139"/>
      <c r="R14" s="139"/>
      <c r="S14" s="139"/>
      <c r="T14" s="139"/>
      <c r="U14" s="139"/>
    </row>
    <row r="15" spans="1:29" s="137" customFormat="1" ht="45.75" customHeight="1" x14ac:dyDescent="0.2">
      <c r="A15" s="391" t="str">
        <f>'1. паспорт местоположение'!A15:C15</f>
        <v>Реконструкция ТП-4  15/0,4кВ п.Северный, Багратионовского р-на</v>
      </c>
      <c r="B15" s="391"/>
      <c r="C15" s="391"/>
      <c r="D15" s="140"/>
      <c r="E15" s="140"/>
      <c r="F15" s="140"/>
      <c r="G15" s="140"/>
      <c r="H15" s="140"/>
      <c r="I15" s="140"/>
      <c r="J15" s="140"/>
      <c r="K15" s="140"/>
      <c r="L15" s="140"/>
      <c r="M15" s="140"/>
      <c r="N15" s="140"/>
      <c r="O15" s="140"/>
      <c r="P15" s="140"/>
      <c r="Q15" s="140"/>
      <c r="R15" s="140"/>
      <c r="S15" s="140"/>
      <c r="T15" s="140"/>
      <c r="U15" s="140"/>
    </row>
    <row r="16" spans="1:29" s="137" customFormat="1" ht="15" customHeight="1" x14ac:dyDescent="0.2">
      <c r="A16" s="358" t="s">
        <v>4</v>
      </c>
      <c r="B16" s="358"/>
      <c r="C16" s="358"/>
      <c r="D16" s="141"/>
      <c r="E16" s="141"/>
      <c r="F16" s="141"/>
      <c r="G16" s="141"/>
      <c r="H16" s="141"/>
      <c r="I16" s="141"/>
      <c r="J16" s="141"/>
      <c r="K16" s="141"/>
      <c r="L16" s="141"/>
      <c r="M16" s="141"/>
      <c r="N16" s="141"/>
      <c r="O16" s="141"/>
      <c r="P16" s="141"/>
      <c r="Q16" s="141"/>
      <c r="R16" s="141"/>
      <c r="S16" s="141"/>
      <c r="T16" s="141"/>
      <c r="U16" s="141"/>
    </row>
    <row r="17" spans="1:21" s="137" customFormat="1" ht="15" customHeight="1" x14ac:dyDescent="0.2">
      <c r="A17" s="359"/>
      <c r="B17" s="359"/>
      <c r="C17" s="359"/>
      <c r="D17" s="142"/>
      <c r="E17" s="142"/>
      <c r="F17" s="142"/>
      <c r="G17" s="142"/>
      <c r="H17" s="142"/>
      <c r="I17" s="142"/>
      <c r="J17" s="142"/>
      <c r="K17" s="142"/>
      <c r="L17" s="142"/>
      <c r="M17" s="142"/>
      <c r="N17" s="142"/>
      <c r="O17" s="142"/>
      <c r="P17" s="142"/>
      <c r="Q17" s="142"/>
      <c r="R17" s="142"/>
    </row>
    <row r="18" spans="1:21" s="137" customFormat="1" ht="27.75" customHeight="1" x14ac:dyDescent="0.2">
      <c r="A18" s="360" t="s">
        <v>381</v>
      </c>
      <c r="B18" s="360"/>
      <c r="C18" s="360"/>
      <c r="D18" s="143"/>
      <c r="E18" s="143"/>
      <c r="F18" s="143"/>
      <c r="G18" s="143"/>
      <c r="H18" s="143"/>
      <c r="I18" s="143"/>
      <c r="J18" s="143"/>
      <c r="K18" s="143"/>
      <c r="L18" s="143"/>
      <c r="M18" s="143"/>
      <c r="N18" s="143"/>
      <c r="O18" s="143"/>
      <c r="P18" s="143"/>
      <c r="Q18" s="143"/>
      <c r="R18" s="143"/>
      <c r="S18" s="143"/>
      <c r="T18" s="143"/>
      <c r="U18" s="143"/>
    </row>
    <row r="19" spans="1:21" s="137" customFormat="1" ht="15" customHeight="1" x14ac:dyDescent="0.2">
      <c r="A19" s="141"/>
      <c r="B19" s="141"/>
      <c r="C19" s="141"/>
      <c r="D19" s="141"/>
      <c r="E19" s="141"/>
      <c r="F19" s="141"/>
      <c r="G19" s="141"/>
      <c r="H19" s="142"/>
      <c r="I19" s="142"/>
      <c r="J19" s="142"/>
      <c r="K19" s="142"/>
      <c r="L19" s="142"/>
      <c r="M19" s="142"/>
      <c r="N19" s="142"/>
      <c r="O19" s="142"/>
      <c r="P19" s="142"/>
      <c r="Q19" s="142"/>
      <c r="R19" s="142"/>
    </row>
    <row r="20" spans="1:21" s="137" customFormat="1" ht="39.75" customHeight="1" x14ac:dyDescent="0.2">
      <c r="A20" s="154" t="s">
        <v>3</v>
      </c>
      <c r="B20" s="149" t="s">
        <v>64</v>
      </c>
      <c r="C20" s="150" t="s">
        <v>63</v>
      </c>
      <c r="D20" s="155"/>
      <c r="E20" s="155"/>
      <c r="F20" s="155"/>
      <c r="G20" s="155"/>
      <c r="H20" s="146"/>
      <c r="I20" s="146"/>
      <c r="J20" s="146"/>
      <c r="K20" s="146"/>
      <c r="L20" s="146"/>
      <c r="M20" s="146"/>
      <c r="N20" s="146"/>
      <c r="O20" s="146"/>
      <c r="P20" s="146"/>
      <c r="Q20" s="146"/>
      <c r="R20" s="146"/>
      <c r="S20" s="147"/>
      <c r="T20" s="147"/>
      <c r="U20" s="147"/>
    </row>
    <row r="21" spans="1:21" s="137" customFormat="1" ht="16.5" customHeight="1" x14ac:dyDescent="0.2">
      <c r="A21" s="150">
        <v>1</v>
      </c>
      <c r="B21" s="149">
        <v>2</v>
      </c>
      <c r="C21" s="150">
        <v>3</v>
      </c>
      <c r="D21" s="155"/>
      <c r="E21" s="155"/>
      <c r="F21" s="155"/>
      <c r="G21" s="155"/>
      <c r="H21" s="146"/>
      <c r="I21" s="146"/>
      <c r="J21" s="146"/>
      <c r="K21" s="146"/>
      <c r="L21" s="146"/>
      <c r="M21" s="146"/>
      <c r="N21" s="146"/>
      <c r="O21" s="146"/>
      <c r="P21" s="146"/>
      <c r="Q21" s="146"/>
      <c r="R21" s="146"/>
      <c r="S21" s="147"/>
      <c r="T21" s="147"/>
      <c r="U21" s="147"/>
    </row>
    <row r="22" spans="1:21" s="137" customFormat="1" ht="41.25" customHeight="1" x14ac:dyDescent="0.2">
      <c r="A22" s="156" t="s">
        <v>62</v>
      </c>
      <c r="B22" s="24" t="s">
        <v>394</v>
      </c>
      <c r="C22" s="158" t="s">
        <v>573</v>
      </c>
      <c r="D22" s="155"/>
      <c r="E22" s="155"/>
      <c r="F22" s="146"/>
      <c r="G22" s="146"/>
      <c r="H22" s="146"/>
      <c r="I22" s="146"/>
      <c r="J22" s="146"/>
      <c r="K22" s="146"/>
      <c r="L22" s="146"/>
      <c r="M22" s="146"/>
      <c r="N22" s="146"/>
      <c r="O22" s="146"/>
      <c r="P22" s="146"/>
      <c r="Q22" s="147"/>
      <c r="R22" s="147"/>
      <c r="S22" s="147"/>
      <c r="T22" s="147"/>
      <c r="U22" s="147"/>
    </row>
    <row r="23" spans="1:21" ht="63" customHeight="1" x14ac:dyDescent="0.25">
      <c r="A23" s="156" t="s">
        <v>61</v>
      </c>
      <c r="B23" s="157" t="s">
        <v>58</v>
      </c>
      <c r="C23" s="158" t="s">
        <v>618</v>
      </c>
      <c r="D23" s="151"/>
      <c r="E23" s="151"/>
      <c r="F23" s="151"/>
      <c r="G23" s="151"/>
      <c r="H23" s="151"/>
      <c r="I23" s="151"/>
      <c r="J23" s="151"/>
      <c r="K23" s="151"/>
      <c r="L23" s="151"/>
      <c r="M23" s="151"/>
      <c r="N23" s="151"/>
      <c r="O23" s="151"/>
      <c r="P23" s="151"/>
      <c r="Q23" s="151"/>
      <c r="R23" s="151"/>
      <c r="S23" s="151"/>
      <c r="T23" s="151"/>
      <c r="U23" s="151"/>
    </row>
    <row r="24" spans="1:21" ht="63" customHeight="1" x14ac:dyDescent="0.25">
      <c r="A24" s="156" t="s">
        <v>60</v>
      </c>
      <c r="B24" s="157" t="s">
        <v>413</v>
      </c>
      <c r="C24" s="158" t="s">
        <v>616</v>
      </c>
      <c r="D24" s="151"/>
      <c r="E24" s="151"/>
      <c r="F24" s="151"/>
      <c r="G24" s="151"/>
      <c r="H24" s="151"/>
      <c r="I24" s="151"/>
      <c r="J24" s="151"/>
      <c r="K24" s="151"/>
      <c r="L24" s="151"/>
      <c r="M24" s="151"/>
      <c r="N24" s="151"/>
      <c r="O24" s="151"/>
      <c r="P24" s="151"/>
      <c r="Q24" s="151"/>
      <c r="R24" s="151"/>
      <c r="S24" s="151"/>
      <c r="T24" s="151"/>
      <c r="U24" s="151"/>
    </row>
    <row r="25" spans="1:21" ht="63" customHeight="1" x14ac:dyDescent="0.25">
      <c r="A25" s="156" t="s">
        <v>59</v>
      </c>
      <c r="B25" s="157" t="s">
        <v>414</v>
      </c>
      <c r="C25" s="242" t="s">
        <v>594</v>
      </c>
      <c r="D25" s="151"/>
      <c r="E25" s="151"/>
      <c r="F25" s="151"/>
      <c r="G25" s="151"/>
      <c r="H25" s="151"/>
      <c r="I25" s="151"/>
      <c r="J25" s="151"/>
      <c r="K25" s="151"/>
      <c r="L25" s="151"/>
      <c r="M25" s="151"/>
      <c r="N25" s="151"/>
      <c r="O25" s="151"/>
      <c r="P25" s="151"/>
      <c r="Q25" s="151"/>
      <c r="R25" s="151"/>
      <c r="S25" s="151"/>
      <c r="T25" s="151"/>
      <c r="U25" s="151"/>
    </row>
    <row r="26" spans="1:21" ht="42.75" customHeight="1" x14ac:dyDescent="0.25">
      <c r="A26" s="156" t="s">
        <v>57</v>
      </c>
      <c r="B26" s="157" t="s">
        <v>208</v>
      </c>
      <c r="C26" s="154" t="s">
        <v>436</v>
      </c>
      <c r="D26" s="151"/>
      <c r="E26" s="151"/>
      <c r="F26" s="151"/>
      <c r="G26" s="151"/>
      <c r="H26" s="151"/>
      <c r="I26" s="151"/>
      <c r="J26" s="151"/>
      <c r="K26" s="151"/>
      <c r="L26" s="151"/>
      <c r="M26" s="151"/>
      <c r="N26" s="151"/>
      <c r="O26" s="151"/>
      <c r="P26" s="151"/>
      <c r="Q26" s="151"/>
      <c r="R26" s="151"/>
      <c r="S26" s="151"/>
      <c r="T26" s="151"/>
      <c r="U26" s="151"/>
    </row>
    <row r="27" spans="1:21" ht="31.5" x14ac:dyDescent="0.25">
      <c r="A27" s="156" t="s">
        <v>56</v>
      </c>
      <c r="B27" s="157" t="s">
        <v>395</v>
      </c>
      <c r="C27" s="154" t="s">
        <v>609</v>
      </c>
      <c r="D27" s="151"/>
      <c r="E27" s="151"/>
      <c r="F27" s="151"/>
      <c r="G27" s="151"/>
      <c r="H27" s="151"/>
      <c r="I27" s="151"/>
      <c r="J27" s="151"/>
      <c r="K27" s="151"/>
      <c r="L27" s="151"/>
      <c r="M27" s="151"/>
      <c r="N27" s="151"/>
      <c r="O27" s="151"/>
      <c r="P27" s="151"/>
      <c r="Q27" s="151"/>
      <c r="R27" s="151"/>
      <c r="S27" s="151"/>
      <c r="T27" s="151"/>
      <c r="U27" s="151"/>
    </row>
    <row r="28" spans="1:21" ht="42.75" customHeight="1" x14ac:dyDescent="0.25">
      <c r="A28" s="156" t="s">
        <v>54</v>
      </c>
      <c r="B28" s="157" t="s">
        <v>55</v>
      </c>
      <c r="C28" s="158">
        <v>2022</v>
      </c>
      <c r="D28" s="151"/>
      <c r="E28" s="151"/>
      <c r="F28" s="151"/>
      <c r="G28" s="151"/>
      <c r="H28" s="151"/>
      <c r="I28" s="151"/>
      <c r="J28" s="151"/>
      <c r="K28" s="151"/>
      <c r="L28" s="151"/>
      <c r="M28" s="151"/>
      <c r="N28" s="151"/>
      <c r="O28" s="151"/>
      <c r="P28" s="151"/>
      <c r="Q28" s="151"/>
      <c r="R28" s="151"/>
      <c r="S28" s="151"/>
      <c r="T28" s="151"/>
      <c r="U28" s="151"/>
    </row>
    <row r="29" spans="1:21" ht="42.75" customHeight="1" x14ac:dyDescent="0.25">
      <c r="A29" s="156" t="s">
        <v>52</v>
      </c>
      <c r="B29" s="154" t="s">
        <v>53</v>
      </c>
      <c r="C29" s="158">
        <v>2022</v>
      </c>
      <c r="D29" s="151"/>
      <c r="E29" s="151"/>
      <c r="F29" s="151"/>
      <c r="G29" s="151"/>
      <c r="H29" s="151"/>
      <c r="I29" s="151"/>
      <c r="J29" s="151"/>
      <c r="K29" s="151"/>
      <c r="L29" s="151"/>
      <c r="M29" s="151"/>
      <c r="N29" s="151"/>
      <c r="O29" s="151"/>
      <c r="P29" s="151"/>
      <c r="Q29" s="151"/>
      <c r="R29" s="151"/>
      <c r="S29" s="151"/>
      <c r="T29" s="151"/>
      <c r="U29" s="151"/>
    </row>
    <row r="30" spans="1:21" ht="42.75" customHeight="1" x14ac:dyDescent="0.25">
      <c r="A30" s="156" t="s">
        <v>70</v>
      </c>
      <c r="B30" s="154" t="s">
        <v>51</v>
      </c>
      <c r="C30" s="154" t="s">
        <v>561</v>
      </c>
      <c r="D30" s="151"/>
      <c r="E30" s="151"/>
      <c r="F30" s="151"/>
      <c r="G30" s="151"/>
      <c r="H30" s="151"/>
      <c r="I30" s="151"/>
      <c r="J30" s="151"/>
      <c r="K30" s="151"/>
      <c r="L30" s="151"/>
      <c r="M30" s="151"/>
      <c r="N30" s="151"/>
      <c r="O30" s="151"/>
      <c r="P30" s="151"/>
      <c r="Q30" s="151"/>
      <c r="R30" s="151"/>
      <c r="S30" s="151"/>
      <c r="T30" s="151"/>
      <c r="U30" s="151"/>
    </row>
    <row r="31" spans="1:21" x14ac:dyDescent="0.25">
      <c r="A31" s="151"/>
      <c r="B31" s="151"/>
      <c r="C31" s="151"/>
      <c r="D31" s="151"/>
      <c r="E31" s="151"/>
      <c r="F31" s="151"/>
      <c r="G31" s="151"/>
      <c r="H31" s="151"/>
      <c r="I31" s="151"/>
      <c r="J31" s="151"/>
      <c r="K31" s="151"/>
      <c r="L31" s="151"/>
      <c r="M31" s="151"/>
      <c r="N31" s="151"/>
      <c r="O31" s="151"/>
      <c r="P31" s="151"/>
      <c r="Q31" s="151"/>
      <c r="R31" s="151"/>
      <c r="S31" s="151"/>
      <c r="T31" s="151"/>
      <c r="U31" s="151"/>
    </row>
    <row r="32" spans="1:21" x14ac:dyDescent="0.25">
      <c r="A32" s="151"/>
      <c r="B32" s="151"/>
      <c r="C32" s="151"/>
      <c r="D32" s="151"/>
      <c r="E32" s="151"/>
      <c r="F32" s="151"/>
      <c r="G32" s="151"/>
      <c r="H32" s="151"/>
      <c r="I32" s="151"/>
      <c r="J32" s="151"/>
      <c r="K32" s="151"/>
      <c r="L32" s="151"/>
      <c r="M32" s="151"/>
      <c r="N32" s="151"/>
      <c r="O32" s="151"/>
      <c r="P32" s="151"/>
      <c r="Q32" s="151"/>
      <c r="R32" s="151"/>
      <c r="S32" s="151"/>
      <c r="T32" s="151"/>
      <c r="U32" s="151"/>
    </row>
    <row r="33" spans="1:21" x14ac:dyDescent="0.25">
      <c r="A33" s="151"/>
      <c r="B33" s="151"/>
      <c r="C33" s="151"/>
      <c r="D33" s="151"/>
      <c r="E33" s="151"/>
      <c r="F33" s="151"/>
      <c r="G33" s="151"/>
      <c r="H33" s="151"/>
      <c r="I33" s="151"/>
      <c r="J33" s="151"/>
      <c r="K33" s="151"/>
      <c r="L33" s="151"/>
      <c r="M33" s="151"/>
      <c r="N33" s="151"/>
      <c r="O33" s="151"/>
      <c r="P33" s="151"/>
      <c r="Q33" s="151"/>
      <c r="R33" s="151"/>
      <c r="S33" s="151"/>
      <c r="T33" s="151"/>
      <c r="U33" s="151"/>
    </row>
    <row r="34" spans="1:21" x14ac:dyDescent="0.25">
      <c r="A34" s="151"/>
      <c r="B34" s="151"/>
      <c r="C34" s="151"/>
      <c r="D34" s="151"/>
      <c r="E34" s="151"/>
      <c r="F34" s="151"/>
      <c r="G34" s="151"/>
      <c r="H34" s="151"/>
      <c r="I34" s="151"/>
      <c r="J34" s="151"/>
      <c r="K34" s="151"/>
      <c r="L34" s="151"/>
      <c r="M34" s="151"/>
      <c r="N34" s="151"/>
      <c r="O34" s="151"/>
      <c r="P34" s="151"/>
      <c r="Q34" s="151"/>
      <c r="R34" s="151"/>
      <c r="S34" s="151"/>
      <c r="T34" s="151"/>
      <c r="U34" s="151"/>
    </row>
    <row r="35" spans="1:21" x14ac:dyDescent="0.25">
      <c r="A35" s="151"/>
      <c r="B35" s="151"/>
      <c r="C35" s="151"/>
      <c r="D35" s="151"/>
      <c r="E35" s="151"/>
      <c r="F35" s="151"/>
      <c r="G35" s="151"/>
      <c r="H35" s="151"/>
      <c r="I35" s="151"/>
      <c r="J35" s="151"/>
      <c r="K35" s="151"/>
      <c r="L35" s="151"/>
      <c r="M35" s="151"/>
      <c r="N35" s="151"/>
      <c r="O35" s="151"/>
      <c r="P35" s="151"/>
      <c r="Q35" s="151"/>
      <c r="R35" s="151"/>
      <c r="S35" s="151"/>
      <c r="T35" s="151"/>
      <c r="U35" s="151"/>
    </row>
    <row r="36" spans="1:21" x14ac:dyDescent="0.25">
      <c r="A36" s="151"/>
      <c r="B36" s="151"/>
      <c r="C36" s="151"/>
      <c r="D36" s="151"/>
      <c r="E36" s="151"/>
      <c r="F36" s="151"/>
      <c r="G36" s="151"/>
      <c r="H36" s="151"/>
      <c r="I36" s="151"/>
      <c r="J36" s="151"/>
      <c r="K36" s="151"/>
      <c r="L36" s="151"/>
      <c r="M36" s="151"/>
      <c r="N36" s="151"/>
      <c r="O36" s="151"/>
      <c r="P36" s="151"/>
      <c r="Q36" s="151"/>
      <c r="R36" s="151"/>
      <c r="S36" s="151"/>
      <c r="T36" s="151"/>
      <c r="U36" s="151"/>
    </row>
    <row r="37" spans="1:21" x14ac:dyDescent="0.25">
      <c r="A37" s="151"/>
      <c r="B37" s="151"/>
      <c r="C37" s="151"/>
      <c r="D37" s="151"/>
      <c r="E37" s="151"/>
      <c r="F37" s="151"/>
      <c r="G37" s="151"/>
      <c r="H37" s="151"/>
      <c r="I37" s="151"/>
      <c r="J37" s="151"/>
      <c r="K37" s="151"/>
      <c r="L37" s="151"/>
      <c r="M37" s="151"/>
      <c r="N37" s="151"/>
      <c r="O37" s="151"/>
      <c r="P37" s="151"/>
      <c r="Q37" s="151"/>
      <c r="R37" s="151"/>
      <c r="S37" s="151"/>
      <c r="T37" s="151"/>
      <c r="U37" s="151"/>
    </row>
    <row r="38" spans="1:21" x14ac:dyDescent="0.25">
      <c r="A38" s="151"/>
      <c r="B38" s="151"/>
      <c r="C38" s="151"/>
      <c r="D38" s="151"/>
      <c r="E38" s="151"/>
      <c r="F38" s="151"/>
      <c r="G38" s="151"/>
      <c r="H38" s="151"/>
      <c r="I38" s="151"/>
      <c r="J38" s="151"/>
      <c r="K38" s="151"/>
      <c r="L38" s="151"/>
      <c r="M38" s="151"/>
      <c r="N38" s="151"/>
      <c r="O38" s="151"/>
      <c r="P38" s="151"/>
      <c r="Q38" s="151"/>
      <c r="R38" s="151"/>
      <c r="S38" s="151"/>
      <c r="T38" s="151"/>
      <c r="U38" s="151"/>
    </row>
    <row r="39" spans="1:21" x14ac:dyDescent="0.25">
      <c r="A39" s="151"/>
      <c r="B39" s="151"/>
      <c r="C39" s="151"/>
      <c r="D39" s="151"/>
      <c r="E39" s="151"/>
      <c r="F39" s="151"/>
      <c r="G39" s="151"/>
      <c r="H39" s="151"/>
      <c r="I39" s="151"/>
      <c r="J39" s="151"/>
      <c r="K39" s="151"/>
      <c r="L39" s="151"/>
      <c r="M39" s="151"/>
      <c r="N39" s="151"/>
      <c r="O39" s="151"/>
      <c r="P39" s="151"/>
      <c r="Q39" s="151"/>
      <c r="R39" s="151"/>
      <c r="S39" s="151"/>
      <c r="T39" s="151"/>
      <c r="U39" s="151"/>
    </row>
    <row r="40" spans="1:21" x14ac:dyDescent="0.25">
      <c r="A40" s="151"/>
      <c r="B40" s="151"/>
      <c r="C40" s="151"/>
      <c r="D40" s="151"/>
      <c r="E40" s="151"/>
      <c r="F40" s="151"/>
      <c r="G40" s="151"/>
      <c r="H40" s="151"/>
      <c r="I40" s="151"/>
      <c r="J40" s="151"/>
      <c r="K40" s="151"/>
      <c r="L40" s="151"/>
      <c r="M40" s="151"/>
      <c r="N40" s="151"/>
      <c r="O40" s="151"/>
      <c r="P40" s="151"/>
      <c r="Q40" s="151"/>
      <c r="R40" s="151"/>
      <c r="S40" s="151"/>
      <c r="T40" s="151"/>
      <c r="U40" s="151"/>
    </row>
    <row r="41" spans="1:21" x14ac:dyDescent="0.25">
      <c r="A41" s="151"/>
      <c r="B41" s="151"/>
      <c r="C41" s="151"/>
      <c r="D41" s="151"/>
      <c r="E41" s="151"/>
      <c r="F41" s="151"/>
      <c r="G41" s="151"/>
      <c r="H41" s="151"/>
      <c r="I41" s="151"/>
      <c r="J41" s="151"/>
      <c r="K41" s="151"/>
      <c r="L41" s="151"/>
      <c r="M41" s="151"/>
      <c r="N41" s="151"/>
      <c r="O41" s="151"/>
      <c r="P41" s="151"/>
      <c r="Q41" s="151"/>
      <c r="R41" s="151"/>
      <c r="S41" s="151"/>
      <c r="T41" s="151"/>
      <c r="U41" s="151"/>
    </row>
    <row r="42" spans="1:21" x14ac:dyDescent="0.25">
      <c r="A42" s="151"/>
      <c r="B42" s="151"/>
      <c r="C42" s="151"/>
      <c r="D42" s="151"/>
      <c r="E42" s="151"/>
      <c r="F42" s="151"/>
      <c r="G42" s="151"/>
      <c r="H42" s="151"/>
      <c r="I42" s="151"/>
      <c r="J42" s="151"/>
      <c r="K42" s="151"/>
      <c r="L42" s="151"/>
      <c r="M42" s="151"/>
      <c r="N42" s="151"/>
      <c r="O42" s="151"/>
      <c r="P42" s="151"/>
      <c r="Q42" s="151"/>
      <c r="R42" s="151"/>
      <c r="S42" s="151"/>
      <c r="T42" s="151"/>
      <c r="U42" s="151"/>
    </row>
    <row r="43" spans="1:21" x14ac:dyDescent="0.25">
      <c r="A43" s="151"/>
      <c r="B43" s="151"/>
      <c r="C43" s="151"/>
      <c r="D43" s="151"/>
      <c r="E43" s="151"/>
      <c r="F43" s="151"/>
      <c r="G43" s="151"/>
      <c r="H43" s="151"/>
      <c r="I43" s="151"/>
      <c r="J43" s="151"/>
      <c r="K43" s="151"/>
      <c r="L43" s="151"/>
      <c r="M43" s="151"/>
      <c r="N43" s="151"/>
      <c r="O43" s="151"/>
      <c r="P43" s="151"/>
      <c r="Q43" s="151"/>
      <c r="R43" s="151"/>
      <c r="S43" s="151"/>
      <c r="T43" s="151"/>
      <c r="U43" s="151"/>
    </row>
    <row r="44" spans="1:21" x14ac:dyDescent="0.25">
      <c r="A44" s="151"/>
      <c r="B44" s="151"/>
      <c r="C44" s="151"/>
      <c r="D44" s="151"/>
      <c r="E44" s="151"/>
      <c r="F44" s="151"/>
      <c r="G44" s="151"/>
      <c r="H44" s="151"/>
      <c r="I44" s="151"/>
      <c r="J44" s="151"/>
      <c r="K44" s="151"/>
      <c r="L44" s="151"/>
      <c r="M44" s="151"/>
      <c r="N44" s="151"/>
      <c r="O44" s="151"/>
      <c r="P44" s="151"/>
      <c r="Q44" s="151"/>
      <c r="R44" s="151"/>
      <c r="S44" s="151"/>
      <c r="T44" s="151"/>
      <c r="U44" s="151"/>
    </row>
    <row r="45" spans="1:21" x14ac:dyDescent="0.25">
      <c r="A45" s="151"/>
      <c r="B45" s="151"/>
      <c r="C45" s="151"/>
      <c r="D45" s="151"/>
      <c r="E45" s="151"/>
      <c r="F45" s="151"/>
      <c r="G45" s="151"/>
      <c r="H45" s="151"/>
      <c r="I45" s="151"/>
      <c r="J45" s="151"/>
      <c r="K45" s="151"/>
      <c r="L45" s="151"/>
      <c r="M45" s="151"/>
      <c r="N45" s="151"/>
      <c r="O45" s="151"/>
      <c r="P45" s="151"/>
      <c r="Q45" s="151"/>
      <c r="R45" s="151"/>
      <c r="S45" s="151"/>
      <c r="T45" s="151"/>
      <c r="U45" s="151"/>
    </row>
    <row r="46" spans="1:21" x14ac:dyDescent="0.25">
      <c r="A46" s="151"/>
      <c r="B46" s="151"/>
      <c r="C46" s="151"/>
      <c r="D46" s="151"/>
      <c r="E46" s="151"/>
      <c r="F46" s="151"/>
      <c r="G46" s="151"/>
      <c r="H46" s="151"/>
      <c r="I46" s="151"/>
      <c r="J46" s="151"/>
      <c r="K46" s="151"/>
      <c r="L46" s="151"/>
      <c r="M46" s="151"/>
      <c r="N46" s="151"/>
      <c r="O46" s="151"/>
      <c r="P46" s="151"/>
      <c r="Q46" s="151"/>
      <c r="R46" s="151"/>
      <c r="S46" s="151"/>
      <c r="T46" s="151"/>
      <c r="U46" s="151"/>
    </row>
    <row r="47" spans="1:21" x14ac:dyDescent="0.25">
      <c r="A47" s="151"/>
      <c r="B47" s="151"/>
      <c r="C47" s="151"/>
      <c r="D47" s="151"/>
      <c r="E47" s="151"/>
      <c r="F47" s="151"/>
      <c r="G47" s="151"/>
      <c r="H47" s="151"/>
      <c r="I47" s="151"/>
      <c r="J47" s="151"/>
      <c r="K47" s="151"/>
      <c r="L47" s="151"/>
      <c r="M47" s="151"/>
      <c r="N47" s="151"/>
      <c r="O47" s="151"/>
      <c r="P47" s="151"/>
      <c r="Q47" s="151"/>
      <c r="R47" s="151"/>
      <c r="S47" s="151"/>
      <c r="T47" s="151"/>
      <c r="U47" s="151"/>
    </row>
    <row r="48" spans="1:21" x14ac:dyDescent="0.25">
      <c r="A48" s="151"/>
      <c r="B48" s="151"/>
      <c r="C48" s="151"/>
      <c r="D48" s="151"/>
      <c r="E48" s="151"/>
      <c r="F48" s="151"/>
      <c r="G48" s="151"/>
      <c r="H48" s="151"/>
      <c r="I48" s="151"/>
      <c r="J48" s="151"/>
      <c r="K48" s="151"/>
      <c r="L48" s="151"/>
      <c r="M48" s="151"/>
      <c r="N48" s="151"/>
      <c r="O48" s="151"/>
      <c r="P48" s="151"/>
      <c r="Q48" s="151"/>
      <c r="R48" s="151"/>
      <c r="S48" s="151"/>
      <c r="T48" s="151"/>
      <c r="U48" s="151"/>
    </row>
    <row r="49" spans="1:21" x14ac:dyDescent="0.25">
      <c r="A49" s="151"/>
      <c r="B49" s="151"/>
      <c r="C49" s="151"/>
      <c r="D49" s="151"/>
      <c r="E49" s="151"/>
      <c r="F49" s="151"/>
      <c r="G49" s="151"/>
      <c r="H49" s="151"/>
      <c r="I49" s="151"/>
      <c r="J49" s="151"/>
      <c r="K49" s="151"/>
      <c r="L49" s="151"/>
      <c r="M49" s="151"/>
      <c r="N49" s="151"/>
      <c r="O49" s="151"/>
      <c r="P49" s="151"/>
      <c r="Q49" s="151"/>
      <c r="R49" s="151"/>
      <c r="S49" s="151"/>
      <c r="T49" s="151"/>
      <c r="U49" s="151"/>
    </row>
    <row r="50" spans="1:21" x14ac:dyDescent="0.25">
      <c r="A50" s="151"/>
      <c r="B50" s="151"/>
      <c r="C50" s="151"/>
      <c r="D50" s="151"/>
      <c r="E50" s="151"/>
      <c r="F50" s="151"/>
      <c r="G50" s="151"/>
      <c r="H50" s="151"/>
      <c r="I50" s="151"/>
      <c r="J50" s="151"/>
      <c r="K50" s="151"/>
      <c r="L50" s="151"/>
      <c r="M50" s="151"/>
      <c r="N50" s="151"/>
      <c r="O50" s="151"/>
      <c r="P50" s="151"/>
      <c r="Q50" s="151"/>
      <c r="R50" s="151"/>
      <c r="S50" s="151"/>
      <c r="T50" s="151"/>
      <c r="U50" s="151"/>
    </row>
    <row r="51" spans="1:21" x14ac:dyDescent="0.25">
      <c r="A51" s="151"/>
      <c r="B51" s="151"/>
      <c r="C51" s="151"/>
      <c r="D51" s="151"/>
      <c r="E51" s="151"/>
      <c r="F51" s="151"/>
      <c r="G51" s="151"/>
      <c r="H51" s="151"/>
      <c r="I51" s="151"/>
      <c r="J51" s="151"/>
      <c r="K51" s="151"/>
      <c r="L51" s="151"/>
      <c r="M51" s="151"/>
      <c r="N51" s="151"/>
      <c r="O51" s="151"/>
      <c r="P51" s="151"/>
      <c r="Q51" s="151"/>
      <c r="R51" s="151"/>
      <c r="S51" s="151"/>
      <c r="T51" s="151"/>
      <c r="U51" s="151"/>
    </row>
    <row r="52" spans="1:21" x14ac:dyDescent="0.25">
      <c r="A52" s="151"/>
      <c r="B52" s="151"/>
      <c r="C52" s="151"/>
      <c r="D52" s="151"/>
      <c r="E52" s="151"/>
      <c r="F52" s="151"/>
      <c r="G52" s="151"/>
      <c r="H52" s="151"/>
      <c r="I52" s="151"/>
      <c r="J52" s="151"/>
      <c r="K52" s="151"/>
      <c r="L52" s="151"/>
      <c r="M52" s="151"/>
      <c r="N52" s="151"/>
      <c r="O52" s="151"/>
      <c r="P52" s="151"/>
      <c r="Q52" s="151"/>
      <c r="R52" s="151"/>
      <c r="S52" s="151"/>
      <c r="T52" s="151"/>
      <c r="U52" s="151"/>
    </row>
    <row r="53" spans="1:21" x14ac:dyDescent="0.25">
      <c r="A53" s="151"/>
      <c r="B53" s="151"/>
      <c r="C53" s="151"/>
      <c r="D53" s="151"/>
      <c r="E53" s="151"/>
      <c r="F53" s="151"/>
      <c r="G53" s="151"/>
      <c r="H53" s="151"/>
      <c r="I53" s="151"/>
      <c r="J53" s="151"/>
      <c r="K53" s="151"/>
      <c r="L53" s="151"/>
      <c r="M53" s="151"/>
      <c r="N53" s="151"/>
      <c r="O53" s="151"/>
      <c r="P53" s="151"/>
      <c r="Q53" s="151"/>
      <c r="R53" s="151"/>
      <c r="S53" s="151"/>
      <c r="T53" s="151"/>
      <c r="U53" s="151"/>
    </row>
    <row r="54" spans="1:21" x14ac:dyDescent="0.25">
      <c r="A54" s="151"/>
      <c r="B54" s="151"/>
      <c r="C54" s="151"/>
      <c r="D54" s="151"/>
      <c r="E54" s="151"/>
      <c r="F54" s="151"/>
      <c r="G54" s="151"/>
      <c r="H54" s="151"/>
      <c r="I54" s="151"/>
      <c r="J54" s="151"/>
      <c r="K54" s="151"/>
      <c r="L54" s="151"/>
      <c r="M54" s="151"/>
      <c r="N54" s="151"/>
      <c r="O54" s="151"/>
      <c r="P54" s="151"/>
      <c r="Q54" s="151"/>
      <c r="R54" s="151"/>
      <c r="S54" s="151"/>
      <c r="T54" s="151"/>
      <c r="U54" s="151"/>
    </row>
    <row r="55" spans="1:21" x14ac:dyDescent="0.25">
      <c r="A55" s="151"/>
      <c r="B55" s="151"/>
      <c r="C55" s="151"/>
      <c r="D55" s="151"/>
      <c r="E55" s="151"/>
      <c r="F55" s="151"/>
      <c r="G55" s="151"/>
      <c r="H55" s="151"/>
      <c r="I55" s="151"/>
      <c r="J55" s="151"/>
      <c r="K55" s="151"/>
      <c r="L55" s="151"/>
      <c r="M55" s="151"/>
      <c r="N55" s="151"/>
      <c r="O55" s="151"/>
      <c r="P55" s="151"/>
      <c r="Q55" s="151"/>
      <c r="R55" s="151"/>
      <c r="S55" s="151"/>
      <c r="T55" s="151"/>
      <c r="U55" s="151"/>
    </row>
    <row r="56" spans="1:21" x14ac:dyDescent="0.25">
      <c r="A56" s="151"/>
      <c r="B56" s="151"/>
      <c r="C56" s="151"/>
      <c r="D56" s="151"/>
      <c r="E56" s="151"/>
      <c r="F56" s="151"/>
      <c r="G56" s="151"/>
      <c r="H56" s="151"/>
      <c r="I56" s="151"/>
      <c r="J56" s="151"/>
      <c r="K56" s="151"/>
      <c r="L56" s="151"/>
      <c r="M56" s="151"/>
      <c r="N56" s="151"/>
      <c r="O56" s="151"/>
      <c r="P56" s="151"/>
      <c r="Q56" s="151"/>
      <c r="R56" s="151"/>
      <c r="S56" s="151"/>
      <c r="T56" s="151"/>
      <c r="U56" s="151"/>
    </row>
    <row r="57" spans="1:21" x14ac:dyDescent="0.25">
      <c r="A57" s="151"/>
      <c r="B57" s="151"/>
      <c r="C57" s="151"/>
      <c r="D57" s="151"/>
      <c r="E57" s="151"/>
      <c r="F57" s="151"/>
      <c r="G57" s="151"/>
      <c r="H57" s="151"/>
      <c r="I57" s="151"/>
      <c r="J57" s="151"/>
      <c r="K57" s="151"/>
      <c r="L57" s="151"/>
      <c r="M57" s="151"/>
      <c r="N57" s="151"/>
      <c r="O57" s="151"/>
      <c r="P57" s="151"/>
      <c r="Q57" s="151"/>
      <c r="R57" s="151"/>
      <c r="S57" s="151"/>
      <c r="T57" s="151"/>
      <c r="U57" s="151"/>
    </row>
    <row r="58" spans="1:21" x14ac:dyDescent="0.25">
      <c r="A58" s="151"/>
      <c r="B58" s="151"/>
      <c r="C58" s="151"/>
      <c r="D58" s="151"/>
      <c r="E58" s="151"/>
      <c r="F58" s="151"/>
      <c r="G58" s="151"/>
      <c r="H58" s="151"/>
      <c r="I58" s="151"/>
      <c r="J58" s="151"/>
      <c r="K58" s="151"/>
      <c r="L58" s="151"/>
      <c r="M58" s="151"/>
      <c r="N58" s="151"/>
      <c r="O58" s="151"/>
      <c r="P58" s="151"/>
      <c r="Q58" s="151"/>
      <c r="R58" s="151"/>
      <c r="S58" s="151"/>
      <c r="T58" s="151"/>
      <c r="U58" s="151"/>
    </row>
    <row r="59" spans="1:21" x14ac:dyDescent="0.25">
      <c r="A59" s="151"/>
      <c r="B59" s="151"/>
      <c r="C59" s="151"/>
      <c r="D59" s="151"/>
      <c r="E59" s="151"/>
      <c r="F59" s="151"/>
      <c r="G59" s="151"/>
      <c r="H59" s="151"/>
      <c r="I59" s="151"/>
      <c r="J59" s="151"/>
      <c r="K59" s="151"/>
      <c r="L59" s="151"/>
      <c r="M59" s="151"/>
      <c r="N59" s="151"/>
      <c r="O59" s="151"/>
      <c r="P59" s="151"/>
      <c r="Q59" s="151"/>
      <c r="R59" s="151"/>
      <c r="S59" s="151"/>
      <c r="T59" s="151"/>
      <c r="U59" s="151"/>
    </row>
    <row r="60" spans="1:21" x14ac:dyDescent="0.25">
      <c r="A60" s="151"/>
      <c r="B60" s="151"/>
      <c r="C60" s="151"/>
      <c r="D60" s="151"/>
      <c r="E60" s="151"/>
      <c r="F60" s="151"/>
      <c r="G60" s="151"/>
      <c r="H60" s="151"/>
      <c r="I60" s="151"/>
      <c r="J60" s="151"/>
      <c r="K60" s="151"/>
      <c r="L60" s="151"/>
      <c r="M60" s="151"/>
      <c r="N60" s="151"/>
      <c r="O60" s="151"/>
      <c r="P60" s="151"/>
      <c r="Q60" s="151"/>
      <c r="R60" s="151"/>
      <c r="S60" s="151"/>
      <c r="T60" s="151"/>
      <c r="U60" s="151"/>
    </row>
    <row r="61" spans="1:21" x14ac:dyDescent="0.25">
      <c r="A61" s="151"/>
      <c r="B61" s="151"/>
      <c r="C61" s="151"/>
      <c r="D61" s="151"/>
      <c r="E61" s="151"/>
      <c r="F61" s="151"/>
      <c r="G61" s="151"/>
      <c r="H61" s="151"/>
      <c r="I61" s="151"/>
      <c r="J61" s="151"/>
      <c r="K61" s="151"/>
      <c r="L61" s="151"/>
      <c r="M61" s="151"/>
      <c r="N61" s="151"/>
      <c r="O61" s="151"/>
      <c r="P61" s="151"/>
      <c r="Q61" s="151"/>
      <c r="R61" s="151"/>
      <c r="S61" s="151"/>
      <c r="T61" s="151"/>
      <c r="U61" s="151"/>
    </row>
    <row r="62" spans="1:21" x14ac:dyDescent="0.25">
      <c r="A62" s="151"/>
      <c r="B62" s="151"/>
      <c r="C62" s="151"/>
      <c r="D62" s="151"/>
      <c r="E62" s="151"/>
      <c r="F62" s="151"/>
      <c r="G62" s="151"/>
      <c r="H62" s="151"/>
      <c r="I62" s="151"/>
      <c r="J62" s="151"/>
      <c r="K62" s="151"/>
      <c r="L62" s="151"/>
      <c r="M62" s="151"/>
      <c r="N62" s="151"/>
      <c r="O62" s="151"/>
      <c r="P62" s="151"/>
      <c r="Q62" s="151"/>
      <c r="R62" s="151"/>
      <c r="S62" s="151"/>
      <c r="T62" s="151"/>
      <c r="U62" s="151"/>
    </row>
    <row r="63" spans="1:21" x14ac:dyDescent="0.25">
      <c r="A63" s="151"/>
      <c r="B63" s="151"/>
      <c r="C63" s="151"/>
      <c r="D63" s="151"/>
      <c r="E63" s="151"/>
      <c r="F63" s="151"/>
      <c r="G63" s="151"/>
      <c r="H63" s="151"/>
      <c r="I63" s="151"/>
      <c r="J63" s="151"/>
      <c r="K63" s="151"/>
      <c r="L63" s="151"/>
      <c r="M63" s="151"/>
      <c r="N63" s="151"/>
      <c r="O63" s="151"/>
      <c r="P63" s="151"/>
      <c r="Q63" s="151"/>
      <c r="R63" s="151"/>
      <c r="S63" s="151"/>
      <c r="T63" s="151"/>
      <c r="U63" s="151"/>
    </row>
    <row r="64" spans="1:21" x14ac:dyDescent="0.25">
      <c r="A64" s="151"/>
      <c r="B64" s="151"/>
      <c r="C64" s="151"/>
      <c r="D64" s="151"/>
      <c r="E64" s="151"/>
      <c r="F64" s="151"/>
      <c r="G64" s="151"/>
      <c r="H64" s="151"/>
      <c r="I64" s="151"/>
      <c r="J64" s="151"/>
      <c r="K64" s="151"/>
      <c r="L64" s="151"/>
      <c r="M64" s="151"/>
      <c r="N64" s="151"/>
      <c r="O64" s="151"/>
      <c r="P64" s="151"/>
      <c r="Q64" s="151"/>
      <c r="R64" s="151"/>
      <c r="S64" s="151"/>
      <c r="T64" s="151"/>
      <c r="U64" s="151"/>
    </row>
    <row r="65" spans="1:21" x14ac:dyDescent="0.25">
      <c r="A65" s="151"/>
      <c r="B65" s="151"/>
      <c r="C65" s="151"/>
      <c r="D65" s="151"/>
      <c r="E65" s="151"/>
      <c r="F65" s="151"/>
      <c r="G65" s="151"/>
      <c r="H65" s="151"/>
      <c r="I65" s="151"/>
      <c r="J65" s="151"/>
      <c r="K65" s="151"/>
      <c r="L65" s="151"/>
      <c r="M65" s="151"/>
      <c r="N65" s="151"/>
      <c r="O65" s="151"/>
      <c r="P65" s="151"/>
      <c r="Q65" s="151"/>
      <c r="R65" s="151"/>
      <c r="S65" s="151"/>
      <c r="T65" s="151"/>
      <c r="U65" s="151"/>
    </row>
    <row r="66" spans="1:21" x14ac:dyDescent="0.25">
      <c r="A66" s="151"/>
      <c r="B66" s="151"/>
      <c r="C66" s="151"/>
      <c r="D66" s="151"/>
      <c r="E66" s="151"/>
      <c r="F66" s="151"/>
      <c r="G66" s="151"/>
      <c r="H66" s="151"/>
      <c r="I66" s="151"/>
      <c r="J66" s="151"/>
      <c r="K66" s="151"/>
      <c r="L66" s="151"/>
      <c r="M66" s="151"/>
      <c r="N66" s="151"/>
      <c r="O66" s="151"/>
      <c r="P66" s="151"/>
      <c r="Q66" s="151"/>
      <c r="R66" s="151"/>
      <c r="S66" s="151"/>
      <c r="T66" s="151"/>
      <c r="U66" s="151"/>
    </row>
    <row r="67" spans="1:21" x14ac:dyDescent="0.25">
      <c r="A67" s="151"/>
      <c r="B67" s="151"/>
      <c r="C67" s="151"/>
      <c r="D67" s="151"/>
      <c r="E67" s="151"/>
      <c r="F67" s="151"/>
      <c r="G67" s="151"/>
      <c r="H67" s="151"/>
      <c r="I67" s="151"/>
      <c r="J67" s="151"/>
      <c r="K67" s="151"/>
      <c r="L67" s="151"/>
      <c r="M67" s="151"/>
      <c r="N67" s="151"/>
      <c r="O67" s="151"/>
      <c r="P67" s="151"/>
      <c r="Q67" s="151"/>
      <c r="R67" s="151"/>
      <c r="S67" s="151"/>
      <c r="T67" s="151"/>
      <c r="U67" s="151"/>
    </row>
    <row r="68" spans="1:21" x14ac:dyDescent="0.25">
      <c r="A68" s="151"/>
      <c r="B68" s="151"/>
      <c r="C68" s="151"/>
      <c r="D68" s="151"/>
      <c r="E68" s="151"/>
      <c r="F68" s="151"/>
      <c r="G68" s="151"/>
      <c r="H68" s="151"/>
      <c r="I68" s="151"/>
      <c r="J68" s="151"/>
      <c r="K68" s="151"/>
      <c r="L68" s="151"/>
      <c r="M68" s="151"/>
      <c r="N68" s="151"/>
      <c r="O68" s="151"/>
      <c r="P68" s="151"/>
      <c r="Q68" s="151"/>
      <c r="R68" s="151"/>
      <c r="S68" s="151"/>
      <c r="T68" s="151"/>
      <c r="U68" s="151"/>
    </row>
    <row r="69" spans="1:21" x14ac:dyDescent="0.25">
      <c r="A69" s="151"/>
      <c r="B69" s="151"/>
      <c r="C69" s="151"/>
      <c r="D69" s="151"/>
      <c r="E69" s="151"/>
      <c r="F69" s="151"/>
      <c r="G69" s="151"/>
      <c r="H69" s="151"/>
      <c r="I69" s="151"/>
      <c r="J69" s="151"/>
      <c r="K69" s="151"/>
      <c r="L69" s="151"/>
      <c r="M69" s="151"/>
      <c r="N69" s="151"/>
      <c r="O69" s="151"/>
      <c r="P69" s="151"/>
      <c r="Q69" s="151"/>
      <c r="R69" s="151"/>
      <c r="S69" s="151"/>
      <c r="T69" s="151"/>
      <c r="U69" s="151"/>
    </row>
    <row r="70" spans="1:21" x14ac:dyDescent="0.25">
      <c r="A70" s="151"/>
      <c r="B70" s="151"/>
      <c r="C70" s="151"/>
      <c r="D70" s="151"/>
      <c r="E70" s="151"/>
      <c r="F70" s="151"/>
      <c r="G70" s="151"/>
      <c r="H70" s="151"/>
      <c r="I70" s="151"/>
      <c r="J70" s="151"/>
      <c r="K70" s="151"/>
      <c r="L70" s="151"/>
      <c r="M70" s="151"/>
      <c r="N70" s="151"/>
      <c r="O70" s="151"/>
      <c r="P70" s="151"/>
      <c r="Q70" s="151"/>
      <c r="R70" s="151"/>
      <c r="S70" s="151"/>
      <c r="T70" s="151"/>
      <c r="U70" s="151"/>
    </row>
    <row r="71" spans="1:21" x14ac:dyDescent="0.25">
      <c r="A71" s="151"/>
      <c r="B71" s="151"/>
      <c r="C71" s="151"/>
      <c r="D71" s="151"/>
      <c r="E71" s="151"/>
      <c r="F71" s="151"/>
      <c r="G71" s="151"/>
      <c r="H71" s="151"/>
      <c r="I71" s="151"/>
      <c r="J71" s="151"/>
      <c r="K71" s="151"/>
      <c r="L71" s="151"/>
      <c r="M71" s="151"/>
      <c r="N71" s="151"/>
      <c r="O71" s="151"/>
      <c r="P71" s="151"/>
      <c r="Q71" s="151"/>
      <c r="R71" s="151"/>
      <c r="S71" s="151"/>
      <c r="T71" s="151"/>
      <c r="U71" s="151"/>
    </row>
    <row r="72" spans="1:21" x14ac:dyDescent="0.25">
      <c r="A72" s="151"/>
      <c r="B72" s="151"/>
      <c r="C72" s="151"/>
      <c r="D72" s="151"/>
      <c r="E72" s="151"/>
      <c r="F72" s="151"/>
      <c r="G72" s="151"/>
      <c r="H72" s="151"/>
      <c r="I72" s="151"/>
      <c r="J72" s="151"/>
      <c r="K72" s="151"/>
      <c r="L72" s="151"/>
      <c r="M72" s="151"/>
      <c r="N72" s="151"/>
      <c r="O72" s="151"/>
      <c r="P72" s="151"/>
      <c r="Q72" s="151"/>
      <c r="R72" s="151"/>
      <c r="S72" s="151"/>
      <c r="T72" s="151"/>
      <c r="U72" s="151"/>
    </row>
    <row r="73" spans="1:21" x14ac:dyDescent="0.25">
      <c r="A73" s="151"/>
      <c r="B73" s="151"/>
      <c r="C73" s="151"/>
      <c r="D73" s="151"/>
      <c r="E73" s="151"/>
      <c r="F73" s="151"/>
      <c r="G73" s="151"/>
      <c r="H73" s="151"/>
      <c r="I73" s="151"/>
      <c r="J73" s="151"/>
      <c r="K73" s="151"/>
      <c r="L73" s="151"/>
      <c r="M73" s="151"/>
      <c r="N73" s="151"/>
      <c r="O73" s="151"/>
      <c r="P73" s="151"/>
      <c r="Q73" s="151"/>
      <c r="R73" s="151"/>
      <c r="S73" s="151"/>
      <c r="T73" s="151"/>
      <c r="U73" s="151"/>
    </row>
    <row r="74" spans="1:21" x14ac:dyDescent="0.25">
      <c r="A74" s="151"/>
      <c r="B74" s="151"/>
      <c r="C74" s="151"/>
      <c r="D74" s="151"/>
      <c r="E74" s="151"/>
      <c r="F74" s="151"/>
      <c r="G74" s="151"/>
      <c r="H74" s="151"/>
      <c r="I74" s="151"/>
      <c r="J74" s="151"/>
      <c r="K74" s="151"/>
      <c r="L74" s="151"/>
      <c r="M74" s="151"/>
      <c r="N74" s="151"/>
      <c r="O74" s="151"/>
      <c r="P74" s="151"/>
      <c r="Q74" s="151"/>
      <c r="R74" s="151"/>
      <c r="S74" s="151"/>
      <c r="T74" s="151"/>
      <c r="U74" s="151"/>
    </row>
    <row r="75" spans="1:21" x14ac:dyDescent="0.25">
      <c r="A75" s="151"/>
      <c r="B75" s="151"/>
      <c r="C75" s="151"/>
      <c r="D75" s="151"/>
      <c r="E75" s="151"/>
      <c r="F75" s="151"/>
      <c r="G75" s="151"/>
      <c r="H75" s="151"/>
      <c r="I75" s="151"/>
      <c r="J75" s="151"/>
      <c r="K75" s="151"/>
      <c r="L75" s="151"/>
      <c r="M75" s="151"/>
      <c r="N75" s="151"/>
      <c r="O75" s="151"/>
      <c r="P75" s="151"/>
      <c r="Q75" s="151"/>
      <c r="R75" s="151"/>
      <c r="S75" s="151"/>
      <c r="T75" s="151"/>
      <c r="U75" s="151"/>
    </row>
    <row r="76" spans="1:21" x14ac:dyDescent="0.25">
      <c r="A76" s="151"/>
      <c r="B76" s="151"/>
      <c r="C76" s="151"/>
      <c r="D76" s="151"/>
      <c r="E76" s="151"/>
      <c r="F76" s="151"/>
      <c r="G76" s="151"/>
      <c r="H76" s="151"/>
      <c r="I76" s="151"/>
      <c r="J76" s="151"/>
      <c r="K76" s="151"/>
      <c r="L76" s="151"/>
      <c r="M76" s="151"/>
      <c r="N76" s="151"/>
      <c r="O76" s="151"/>
      <c r="P76" s="151"/>
      <c r="Q76" s="151"/>
      <c r="R76" s="151"/>
      <c r="S76" s="151"/>
      <c r="T76" s="151"/>
      <c r="U76" s="151"/>
    </row>
    <row r="77" spans="1:21" x14ac:dyDescent="0.25">
      <c r="A77" s="151"/>
      <c r="B77" s="151"/>
      <c r="C77" s="151"/>
      <c r="D77" s="151"/>
      <c r="E77" s="151"/>
      <c r="F77" s="151"/>
      <c r="G77" s="151"/>
      <c r="H77" s="151"/>
      <c r="I77" s="151"/>
      <c r="J77" s="151"/>
      <c r="K77" s="151"/>
      <c r="L77" s="151"/>
      <c r="M77" s="151"/>
      <c r="N77" s="151"/>
      <c r="O77" s="151"/>
      <c r="P77" s="151"/>
      <c r="Q77" s="151"/>
      <c r="R77" s="151"/>
      <c r="S77" s="151"/>
      <c r="T77" s="151"/>
      <c r="U77" s="151"/>
    </row>
    <row r="78" spans="1:21" x14ac:dyDescent="0.25">
      <c r="A78" s="151"/>
      <c r="B78" s="151"/>
      <c r="C78" s="151"/>
      <c r="D78" s="151"/>
      <c r="E78" s="151"/>
      <c r="F78" s="151"/>
      <c r="G78" s="151"/>
      <c r="H78" s="151"/>
      <c r="I78" s="151"/>
      <c r="J78" s="151"/>
      <c r="K78" s="151"/>
      <c r="L78" s="151"/>
      <c r="M78" s="151"/>
      <c r="N78" s="151"/>
      <c r="O78" s="151"/>
      <c r="P78" s="151"/>
      <c r="Q78" s="151"/>
      <c r="R78" s="151"/>
      <c r="S78" s="151"/>
      <c r="T78" s="151"/>
      <c r="U78" s="151"/>
    </row>
    <row r="79" spans="1:21" x14ac:dyDescent="0.25">
      <c r="A79" s="151"/>
      <c r="B79" s="151"/>
      <c r="C79" s="151"/>
      <c r="D79" s="151"/>
      <c r="E79" s="151"/>
      <c r="F79" s="151"/>
      <c r="G79" s="151"/>
      <c r="H79" s="151"/>
      <c r="I79" s="151"/>
      <c r="J79" s="151"/>
      <c r="K79" s="151"/>
      <c r="L79" s="151"/>
      <c r="M79" s="151"/>
      <c r="N79" s="151"/>
      <c r="O79" s="151"/>
      <c r="P79" s="151"/>
      <c r="Q79" s="151"/>
      <c r="R79" s="151"/>
      <c r="S79" s="151"/>
      <c r="T79" s="151"/>
      <c r="U79" s="151"/>
    </row>
    <row r="80" spans="1:21" x14ac:dyDescent="0.25">
      <c r="A80" s="151"/>
      <c r="B80" s="151"/>
      <c r="C80" s="151"/>
      <c r="D80" s="151"/>
      <c r="E80" s="151"/>
      <c r="F80" s="151"/>
      <c r="G80" s="151"/>
      <c r="H80" s="151"/>
      <c r="I80" s="151"/>
      <c r="J80" s="151"/>
      <c r="K80" s="151"/>
      <c r="L80" s="151"/>
      <c r="M80" s="151"/>
      <c r="N80" s="151"/>
      <c r="O80" s="151"/>
      <c r="P80" s="151"/>
      <c r="Q80" s="151"/>
      <c r="R80" s="151"/>
      <c r="S80" s="151"/>
      <c r="T80" s="151"/>
      <c r="U80" s="151"/>
    </row>
    <row r="81" spans="1:21" x14ac:dyDescent="0.25">
      <c r="A81" s="151"/>
      <c r="B81" s="151"/>
      <c r="C81" s="151"/>
      <c r="D81" s="151"/>
      <c r="E81" s="151"/>
      <c r="F81" s="151"/>
      <c r="G81" s="151"/>
      <c r="H81" s="151"/>
      <c r="I81" s="151"/>
      <c r="J81" s="151"/>
      <c r="K81" s="151"/>
      <c r="L81" s="151"/>
      <c r="M81" s="151"/>
      <c r="N81" s="151"/>
      <c r="O81" s="151"/>
      <c r="P81" s="151"/>
      <c r="Q81" s="151"/>
      <c r="R81" s="151"/>
      <c r="S81" s="151"/>
      <c r="T81" s="151"/>
      <c r="U81" s="151"/>
    </row>
    <row r="82" spans="1:21" x14ac:dyDescent="0.25">
      <c r="A82" s="151"/>
      <c r="B82" s="151"/>
      <c r="C82" s="151"/>
      <c r="D82" s="151"/>
      <c r="E82" s="151"/>
      <c r="F82" s="151"/>
      <c r="G82" s="151"/>
      <c r="H82" s="151"/>
      <c r="I82" s="151"/>
      <c r="J82" s="151"/>
      <c r="K82" s="151"/>
      <c r="L82" s="151"/>
      <c r="M82" s="151"/>
      <c r="N82" s="151"/>
      <c r="O82" s="151"/>
      <c r="P82" s="151"/>
      <c r="Q82" s="151"/>
      <c r="R82" s="151"/>
      <c r="S82" s="151"/>
      <c r="T82" s="151"/>
      <c r="U82" s="151"/>
    </row>
    <row r="83" spans="1:21" x14ac:dyDescent="0.25">
      <c r="A83" s="151"/>
      <c r="B83" s="151"/>
      <c r="C83" s="151"/>
      <c r="D83" s="151"/>
      <c r="E83" s="151"/>
      <c r="F83" s="151"/>
      <c r="G83" s="151"/>
      <c r="H83" s="151"/>
      <c r="I83" s="151"/>
      <c r="J83" s="151"/>
      <c r="K83" s="151"/>
      <c r="L83" s="151"/>
      <c r="M83" s="151"/>
      <c r="N83" s="151"/>
      <c r="O83" s="151"/>
      <c r="P83" s="151"/>
      <c r="Q83" s="151"/>
      <c r="R83" s="151"/>
      <c r="S83" s="151"/>
      <c r="T83" s="151"/>
      <c r="U83" s="151"/>
    </row>
    <row r="84" spans="1:21" x14ac:dyDescent="0.25">
      <c r="A84" s="151"/>
      <c r="B84" s="151"/>
      <c r="C84" s="151"/>
      <c r="D84" s="151"/>
      <c r="E84" s="151"/>
      <c r="F84" s="151"/>
      <c r="G84" s="151"/>
      <c r="H84" s="151"/>
      <c r="I84" s="151"/>
      <c r="J84" s="151"/>
      <c r="K84" s="151"/>
      <c r="L84" s="151"/>
      <c r="M84" s="151"/>
      <c r="N84" s="151"/>
      <c r="O84" s="151"/>
      <c r="P84" s="151"/>
      <c r="Q84" s="151"/>
      <c r="R84" s="151"/>
      <c r="S84" s="151"/>
      <c r="T84" s="151"/>
      <c r="U84" s="151"/>
    </row>
    <row r="85" spans="1:21" x14ac:dyDescent="0.25">
      <c r="A85" s="151"/>
      <c r="B85" s="151"/>
      <c r="C85" s="151"/>
      <c r="D85" s="151"/>
      <c r="E85" s="151"/>
      <c r="F85" s="151"/>
      <c r="G85" s="151"/>
      <c r="H85" s="151"/>
      <c r="I85" s="151"/>
      <c r="J85" s="151"/>
      <c r="K85" s="151"/>
      <c r="L85" s="151"/>
      <c r="M85" s="151"/>
      <c r="N85" s="151"/>
      <c r="O85" s="151"/>
      <c r="P85" s="151"/>
      <c r="Q85" s="151"/>
      <c r="R85" s="151"/>
      <c r="S85" s="151"/>
      <c r="T85" s="151"/>
      <c r="U85" s="151"/>
    </row>
    <row r="86" spans="1:21" x14ac:dyDescent="0.25">
      <c r="A86" s="151"/>
      <c r="B86" s="151"/>
      <c r="C86" s="151"/>
      <c r="D86" s="151"/>
      <c r="E86" s="151"/>
      <c r="F86" s="151"/>
      <c r="G86" s="151"/>
      <c r="H86" s="151"/>
      <c r="I86" s="151"/>
      <c r="J86" s="151"/>
      <c r="K86" s="151"/>
      <c r="L86" s="151"/>
      <c r="M86" s="151"/>
      <c r="N86" s="151"/>
      <c r="O86" s="151"/>
      <c r="P86" s="151"/>
      <c r="Q86" s="151"/>
      <c r="R86" s="151"/>
      <c r="S86" s="151"/>
      <c r="T86" s="151"/>
      <c r="U86" s="151"/>
    </row>
    <row r="87" spans="1:21" x14ac:dyDescent="0.25">
      <c r="A87" s="151"/>
      <c r="B87" s="151"/>
      <c r="C87" s="151"/>
      <c r="D87" s="151"/>
      <c r="E87" s="151"/>
      <c r="F87" s="151"/>
      <c r="G87" s="151"/>
      <c r="H87" s="151"/>
      <c r="I87" s="151"/>
      <c r="J87" s="151"/>
      <c r="K87" s="151"/>
      <c r="L87" s="151"/>
      <c r="M87" s="151"/>
      <c r="N87" s="151"/>
      <c r="O87" s="151"/>
      <c r="P87" s="151"/>
      <c r="Q87" s="151"/>
      <c r="R87" s="151"/>
      <c r="S87" s="151"/>
      <c r="T87" s="151"/>
      <c r="U87" s="151"/>
    </row>
    <row r="88" spans="1:21" x14ac:dyDescent="0.25">
      <c r="A88" s="151"/>
      <c r="B88" s="151"/>
      <c r="C88" s="151"/>
      <c r="D88" s="151"/>
      <c r="E88" s="151"/>
      <c r="F88" s="151"/>
      <c r="G88" s="151"/>
      <c r="H88" s="151"/>
      <c r="I88" s="151"/>
      <c r="J88" s="151"/>
      <c r="K88" s="151"/>
      <c r="L88" s="151"/>
      <c r="M88" s="151"/>
      <c r="N88" s="151"/>
      <c r="O88" s="151"/>
      <c r="P88" s="151"/>
      <c r="Q88" s="151"/>
      <c r="R88" s="151"/>
      <c r="S88" s="151"/>
      <c r="T88" s="151"/>
      <c r="U88" s="151"/>
    </row>
    <row r="89" spans="1:21" x14ac:dyDescent="0.25">
      <c r="A89" s="151"/>
      <c r="B89" s="151"/>
      <c r="C89" s="151"/>
      <c r="D89" s="151"/>
      <c r="E89" s="151"/>
      <c r="F89" s="151"/>
      <c r="G89" s="151"/>
      <c r="H89" s="151"/>
      <c r="I89" s="151"/>
      <c r="J89" s="151"/>
      <c r="K89" s="151"/>
      <c r="L89" s="151"/>
      <c r="M89" s="151"/>
      <c r="N89" s="151"/>
      <c r="O89" s="151"/>
      <c r="P89" s="151"/>
      <c r="Q89" s="151"/>
      <c r="R89" s="151"/>
      <c r="S89" s="151"/>
      <c r="T89" s="151"/>
      <c r="U89" s="151"/>
    </row>
    <row r="90" spans="1:21" x14ac:dyDescent="0.25">
      <c r="A90" s="151"/>
      <c r="B90" s="151"/>
      <c r="C90" s="151"/>
      <c r="D90" s="151"/>
      <c r="E90" s="151"/>
      <c r="F90" s="151"/>
      <c r="G90" s="151"/>
      <c r="H90" s="151"/>
      <c r="I90" s="151"/>
      <c r="J90" s="151"/>
      <c r="K90" s="151"/>
      <c r="L90" s="151"/>
      <c r="M90" s="151"/>
      <c r="N90" s="151"/>
      <c r="O90" s="151"/>
      <c r="P90" s="151"/>
      <c r="Q90" s="151"/>
      <c r="R90" s="151"/>
      <c r="S90" s="151"/>
      <c r="T90" s="151"/>
      <c r="U90" s="151"/>
    </row>
    <row r="91" spans="1:21" x14ac:dyDescent="0.25">
      <c r="A91" s="151"/>
      <c r="B91" s="151"/>
      <c r="C91" s="151"/>
      <c r="D91" s="151"/>
      <c r="E91" s="151"/>
      <c r="F91" s="151"/>
      <c r="G91" s="151"/>
      <c r="H91" s="151"/>
      <c r="I91" s="151"/>
      <c r="J91" s="151"/>
      <c r="K91" s="151"/>
      <c r="L91" s="151"/>
      <c r="M91" s="151"/>
      <c r="N91" s="151"/>
      <c r="O91" s="151"/>
      <c r="P91" s="151"/>
      <c r="Q91" s="151"/>
      <c r="R91" s="151"/>
      <c r="S91" s="151"/>
      <c r="T91" s="151"/>
      <c r="U91" s="151"/>
    </row>
    <row r="92" spans="1:21" x14ac:dyDescent="0.25">
      <c r="A92" s="151"/>
      <c r="B92" s="151"/>
      <c r="C92" s="151"/>
      <c r="D92" s="151"/>
      <c r="E92" s="151"/>
      <c r="F92" s="151"/>
      <c r="G92" s="151"/>
      <c r="H92" s="151"/>
      <c r="I92" s="151"/>
      <c r="J92" s="151"/>
      <c r="K92" s="151"/>
      <c r="L92" s="151"/>
      <c r="M92" s="151"/>
      <c r="N92" s="151"/>
      <c r="O92" s="151"/>
      <c r="P92" s="151"/>
      <c r="Q92" s="151"/>
      <c r="R92" s="151"/>
      <c r="S92" s="151"/>
      <c r="T92" s="151"/>
      <c r="U92" s="151"/>
    </row>
    <row r="93" spans="1:21" x14ac:dyDescent="0.25">
      <c r="A93" s="151"/>
      <c r="B93" s="151"/>
      <c r="C93" s="151"/>
      <c r="D93" s="151"/>
      <c r="E93" s="151"/>
      <c r="F93" s="151"/>
      <c r="G93" s="151"/>
      <c r="H93" s="151"/>
      <c r="I93" s="151"/>
      <c r="J93" s="151"/>
      <c r="K93" s="151"/>
      <c r="L93" s="151"/>
      <c r="M93" s="151"/>
      <c r="N93" s="151"/>
      <c r="O93" s="151"/>
      <c r="P93" s="151"/>
      <c r="Q93" s="151"/>
      <c r="R93" s="151"/>
      <c r="S93" s="151"/>
      <c r="T93" s="151"/>
      <c r="U93" s="151"/>
    </row>
    <row r="94" spans="1:21" x14ac:dyDescent="0.25">
      <c r="A94" s="151"/>
      <c r="B94" s="151"/>
      <c r="C94" s="151"/>
      <c r="D94" s="151"/>
      <c r="E94" s="151"/>
      <c r="F94" s="151"/>
      <c r="G94" s="151"/>
      <c r="H94" s="151"/>
      <c r="I94" s="151"/>
      <c r="J94" s="151"/>
      <c r="K94" s="151"/>
      <c r="L94" s="151"/>
      <c r="M94" s="151"/>
      <c r="N94" s="151"/>
      <c r="O94" s="151"/>
      <c r="P94" s="151"/>
      <c r="Q94" s="151"/>
      <c r="R94" s="151"/>
      <c r="S94" s="151"/>
      <c r="T94" s="151"/>
      <c r="U94" s="151"/>
    </row>
    <row r="95" spans="1:21" x14ac:dyDescent="0.25">
      <c r="A95" s="151"/>
      <c r="B95" s="151"/>
      <c r="C95" s="151"/>
      <c r="D95" s="151"/>
      <c r="E95" s="151"/>
      <c r="F95" s="151"/>
      <c r="G95" s="151"/>
      <c r="H95" s="151"/>
      <c r="I95" s="151"/>
      <c r="J95" s="151"/>
      <c r="K95" s="151"/>
      <c r="L95" s="151"/>
      <c r="M95" s="151"/>
      <c r="N95" s="151"/>
      <c r="O95" s="151"/>
      <c r="P95" s="151"/>
      <c r="Q95" s="151"/>
      <c r="R95" s="151"/>
      <c r="S95" s="151"/>
      <c r="T95" s="151"/>
      <c r="U95" s="151"/>
    </row>
    <row r="96" spans="1:21" x14ac:dyDescent="0.25">
      <c r="A96" s="151"/>
      <c r="B96" s="151"/>
      <c r="C96" s="151"/>
      <c r="D96" s="151"/>
      <c r="E96" s="151"/>
      <c r="F96" s="151"/>
      <c r="G96" s="151"/>
      <c r="H96" s="151"/>
      <c r="I96" s="151"/>
      <c r="J96" s="151"/>
      <c r="K96" s="151"/>
      <c r="L96" s="151"/>
      <c r="M96" s="151"/>
      <c r="N96" s="151"/>
      <c r="O96" s="151"/>
      <c r="P96" s="151"/>
      <c r="Q96" s="151"/>
      <c r="R96" s="151"/>
      <c r="S96" s="151"/>
      <c r="T96" s="151"/>
      <c r="U96" s="151"/>
    </row>
    <row r="97" spans="1:21" x14ac:dyDescent="0.25">
      <c r="A97" s="151"/>
      <c r="B97" s="151"/>
      <c r="C97" s="151"/>
      <c r="D97" s="151"/>
      <c r="E97" s="151"/>
      <c r="F97" s="151"/>
      <c r="G97" s="151"/>
      <c r="H97" s="151"/>
      <c r="I97" s="151"/>
      <c r="J97" s="151"/>
      <c r="K97" s="151"/>
      <c r="L97" s="151"/>
      <c r="M97" s="151"/>
      <c r="N97" s="151"/>
      <c r="O97" s="151"/>
      <c r="P97" s="151"/>
      <c r="Q97" s="151"/>
      <c r="R97" s="151"/>
      <c r="S97" s="151"/>
      <c r="T97" s="151"/>
      <c r="U97" s="151"/>
    </row>
    <row r="98" spans="1:21" x14ac:dyDescent="0.25">
      <c r="A98" s="151"/>
      <c r="B98" s="151"/>
      <c r="C98" s="151"/>
      <c r="D98" s="151"/>
      <c r="E98" s="151"/>
      <c r="F98" s="151"/>
      <c r="G98" s="151"/>
      <c r="H98" s="151"/>
      <c r="I98" s="151"/>
      <c r="J98" s="151"/>
      <c r="K98" s="151"/>
      <c r="L98" s="151"/>
      <c r="M98" s="151"/>
      <c r="N98" s="151"/>
      <c r="O98" s="151"/>
      <c r="P98" s="151"/>
      <c r="Q98" s="151"/>
      <c r="R98" s="151"/>
      <c r="S98" s="151"/>
      <c r="T98" s="151"/>
      <c r="U98" s="151"/>
    </row>
    <row r="99" spans="1:21" x14ac:dyDescent="0.25">
      <c r="A99" s="151"/>
      <c r="B99" s="151"/>
      <c r="C99" s="151"/>
      <c r="D99" s="151"/>
      <c r="E99" s="151"/>
      <c r="F99" s="151"/>
      <c r="G99" s="151"/>
      <c r="H99" s="151"/>
      <c r="I99" s="151"/>
      <c r="J99" s="151"/>
      <c r="K99" s="151"/>
      <c r="L99" s="151"/>
      <c r="M99" s="151"/>
      <c r="N99" s="151"/>
      <c r="O99" s="151"/>
      <c r="P99" s="151"/>
      <c r="Q99" s="151"/>
      <c r="R99" s="151"/>
      <c r="S99" s="151"/>
      <c r="T99" s="151"/>
      <c r="U99" s="151"/>
    </row>
    <row r="100" spans="1:21"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row>
    <row r="101" spans="1:21"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row>
    <row r="102" spans="1:21"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row>
    <row r="103" spans="1:21"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row>
    <row r="104" spans="1:21"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row>
    <row r="105" spans="1:21"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row>
    <row r="106" spans="1:21"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row>
    <row r="107" spans="1:21"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row>
    <row r="108" spans="1:21"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row>
    <row r="109" spans="1:21"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row>
    <row r="110" spans="1:21"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row>
    <row r="111" spans="1:21"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row>
    <row r="112" spans="1:21"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row>
    <row r="113" spans="1:21"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row>
    <row r="114" spans="1:21"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row>
    <row r="115" spans="1:21"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row>
    <row r="116" spans="1:21"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row>
    <row r="117" spans="1:21"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row>
    <row r="118" spans="1:21"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row>
    <row r="119" spans="1:21"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row>
    <row r="120" spans="1:21"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row>
    <row r="121" spans="1:21"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row>
    <row r="122" spans="1:21"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row>
    <row r="123" spans="1:21"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row>
    <row r="124" spans="1:21"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row>
    <row r="125" spans="1:21"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row>
    <row r="126" spans="1:21"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row>
    <row r="127" spans="1:21"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row>
    <row r="128" spans="1:21"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row>
    <row r="129" spans="1:21"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row>
    <row r="130" spans="1:21"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row>
    <row r="131" spans="1:21"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row>
    <row r="132" spans="1:21"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row>
    <row r="133" spans="1:21"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row>
    <row r="134" spans="1:21"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row>
    <row r="135" spans="1:21"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row>
    <row r="136" spans="1:21"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row>
    <row r="137" spans="1:21"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row>
    <row r="138" spans="1:21"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row>
    <row r="139" spans="1:21"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row>
    <row r="140" spans="1:21"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row>
    <row r="141" spans="1:21"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row>
    <row r="142" spans="1:21"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row>
    <row r="143" spans="1:21"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row>
    <row r="144" spans="1:21"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row>
    <row r="145" spans="1:21"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row>
    <row r="146" spans="1:21"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row>
    <row r="147" spans="1:21"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row>
    <row r="148" spans="1:21"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row>
    <row r="149" spans="1:21"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row>
    <row r="150" spans="1:21"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row>
    <row r="151" spans="1:21"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row>
    <row r="152" spans="1:21"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row>
    <row r="153" spans="1:21"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row>
    <row r="154" spans="1:21"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row>
    <row r="155" spans="1:21"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row>
    <row r="156" spans="1:21"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row>
    <row r="157" spans="1:21"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row>
    <row r="158" spans="1:21"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row>
    <row r="159" spans="1:21"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row>
    <row r="160" spans="1:21"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row>
    <row r="161" spans="1:21"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row>
    <row r="162" spans="1:21"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row>
    <row r="163" spans="1:21"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row>
    <row r="164" spans="1:21"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row>
    <row r="165" spans="1:21"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row>
    <row r="166" spans="1:21"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row>
    <row r="167" spans="1:21"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row>
    <row r="168" spans="1:21"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row>
    <row r="169" spans="1:21"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row>
    <row r="170" spans="1:21"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row>
    <row r="171" spans="1:21"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row>
    <row r="172" spans="1:21"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row>
    <row r="173" spans="1:21"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row>
    <row r="174" spans="1:21"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row>
    <row r="175" spans="1:21"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row>
    <row r="176" spans="1:21"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row>
    <row r="177" spans="1:21"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row>
    <row r="178" spans="1:21"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row>
    <row r="179" spans="1:21"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row>
    <row r="180" spans="1:21"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row>
    <row r="181" spans="1:21"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row>
    <row r="182" spans="1:21"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row>
    <row r="183" spans="1:21"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row>
    <row r="184" spans="1:21"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row>
    <row r="185" spans="1:21"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row>
    <row r="186" spans="1:21"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row>
    <row r="187" spans="1:21"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row>
    <row r="188" spans="1:21"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row>
    <row r="189" spans="1:21"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row>
    <row r="190" spans="1:21"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row>
    <row r="191" spans="1:21"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row>
    <row r="192" spans="1:21"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row>
    <row r="193" spans="1:21"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row>
    <row r="194" spans="1:21"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row>
    <row r="195" spans="1:21"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row>
    <row r="196" spans="1:21"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row>
    <row r="197" spans="1:21"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row>
    <row r="198" spans="1:21"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row>
    <row r="199" spans="1:21"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row>
    <row r="200" spans="1:21"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row>
    <row r="201" spans="1:21"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row>
    <row r="202" spans="1:21"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row>
    <row r="203" spans="1:21"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row>
    <row r="204" spans="1:21"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row>
    <row r="205" spans="1:21"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row>
    <row r="206" spans="1:21"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row>
    <row r="207" spans="1:21"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row>
    <row r="208" spans="1:21"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row>
    <row r="209" spans="1:21"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row>
    <row r="210" spans="1:21"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row>
    <row r="211" spans="1:21"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row>
    <row r="212" spans="1:21"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row>
    <row r="213" spans="1:21"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row>
    <row r="214" spans="1:21"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row>
    <row r="215" spans="1:21"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row>
    <row r="216" spans="1:21"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row>
    <row r="217" spans="1:21"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row>
    <row r="218" spans="1:21"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row>
    <row r="219" spans="1:21"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row>
    <row r="220" spans="1:21"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row>
    <row r="221" spans="1:21"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row>
    <row r="222" spans="1:21"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row>
    <row r="223" spans="1:21"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row>
    <row r="224" spans="1:21"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row>
    <row r="225" spans="1:21"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row>
    <row r="226" spans="1:21"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row>
    <row r="227" spans="1:21"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row>
    <row r="228" spans="1:21"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row>
    <row r="229" spans="1:21"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row>
    <row r="230" spans="1:21"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row>
    <row r="231" spans="1:21"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row>
    <row r="232" spans="1:21"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row>
    <row r="233" spans="1:21"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row>
    <row r="234" spans="1:21"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row>
    <row r="235" spans="1:21"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row>
    <row r="236" spans="1:21"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row>
    <row r="237" spans="1:21"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row>
    <row r="238" spans="1:21"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row>
    <row r="239" spans="1:21"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row>
    <row r="240" spans="1:21"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row>
    <row r="241" spans="1:21"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row>
    <row r="242" spans="1:21"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row>
    <row r="243" spans="1:21"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row>
    <row r="244" spans="1:21"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row>
    <row r="245" spans="1:21"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row>
    <row r="246" spans="1:21"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row>
    <row r="247" spans="1:21"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row>
    <row r="248" spans="1:21"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row>
    <row r="249" spans="1:21"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row>
    <row r="250" spans="1:21"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row>
    <row r="251" spans="1:21"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row>
    <row r="252" spans="1:21"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row>
    <row r="253" spans="1:21"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row>
    <row r="254" spans="1:21"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row>
    <row r="255" spans="1:21"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row>
    <row r="256" spans="1:21"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row>
    <row r="257" spans="1:21"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row>
    <row r="258" spans="1:21"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row>
    <row r="259" spans="1:21"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row>
    <row r="260" spans="1:21"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row>
    <row r="261" spans="1:21"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row>
    <row r="262" spans="1:21"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row>
    <row r="263" spans="1:21"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row>
    <row r="264" spans="1:21"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row>
    <row r="265" spans="1:21"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row>
    <row r="266" spans="1:21"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row>
    <row r="267" spans="1:21"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row>
    <row r="268" spans="1:21"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row>
    <row r="269" spans="1:21"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row>
    <row r="270" spans="1:21"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row>
    <row r="271" spans="1:21"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row>
    <row r="272" spans="1:21"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row>
    <row r="273" spans="1:21"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row>
    <row r="274" spans="1:21"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row>
    <row r="275" spans="1:21"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row>
    <row r="276" spans="1:21"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row>
    <row r="277" spans="1:21"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row>
    <row r="278" spans="1:21"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row>
    <row r="279" spans="1:21"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row>
    <row r="280" spans="1:21"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row>
    <row r="281" spans="1:21"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row>
    <row r="282" spans="1:21"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row>
    <row r="283" spans="1:21"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row>
    <row r="284" spans="1:21"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row>
    <row r="285" spans="1:21"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row>
    <row r="286" spans="1:21"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row>
    <row r="287" spans="1:21"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row>
    <row r="288" spans="1:21"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row>
    <row r="289" spans="1:21"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row>
    <row r="290" spans="1:21"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row>
    <row r="291" spans="1:21"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row>
    <row r="292" spans="1:21"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row>
    <row r="293" spans="1:21"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row>
    <row r="294" spans="1:21"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row>
    <row r="295" spans="1:21"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row>
    <row r="296" spans="1:21"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row>
    <row r="297" spans="1:21"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row>
    <row r="298" spans="1:21"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row>
    <row r="299" spans="1:21"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row>
    <row r="300" spans="1:21"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row>
    <row r="301" spans="1:21"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row>
    <row r="302" spans="1:21"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row>
    <row r="303" spans="1:21"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row>
    <row r="304" spans="1:21"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row>
    <row r="305" spans="1:21"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row>
    <row r="306" spans="1:21"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row>
    <row r="307" spans="1:21"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row>
    <row r="308" spans="1:21"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row>
    <row r="309" spans="1:21"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row>
    <row r="310" spans="1:21"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row>
    <row r="311" spans="1:21"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row>
    <row r="312" spans="1:21"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row>
    <row r="313" spans="1:21"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row>
    <row r="314" spans="1:21"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row>
    <row r="315" spans="1:21"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row>
    <row r="316" spans="1:2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row>
    <row r="317" spans="1:21"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row>
    <row r="318" spans="1:21"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row>
    <row r="319" spans="1:21"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row>
    <row r="320" spans="1:21"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row>
    <row r="321" spans="1:21"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row>
    <row r="322" spans="1:21"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row>
    <row r="323" spans="1:21"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row>
    <row r="324" spans="1:21"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row>
    <row r="325" spans="1:21"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row>
    <row r="326" spans="1:21"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row>
    <row r="327" spans="1:21"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row>
    <row r="328" spans="1:21"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row>
    <row r="329" spans="1:21"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row>
    <row r="330" spans="1:21"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row>
    <row r="331" spans="1:21"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row>
    <row r="332" spans="1:21"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row>
    <row r="333" spans="1:21"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row>
    <row r="334" spans="1:21"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row>
    <row r="335" spans="1:21"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row>
    <row r="336" spans="1:21"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row>
    <row r="337" spans="1:21"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row>
    <row r="338" spans="1:21"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row>
    <row r="339" spans="1:21"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row>
    <row r="340" spans="1:21"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row>
    <row r="341" spans="1:21"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row>
    <row r="342" spans="1:21"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row>
    <row r="343" spans="1:21"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row>
    <row r="344" spans="1:21"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row>
    <row r="345" spans="1:21"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row>
    <row r="346" spans="1:21"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row>
    <row r="347" spans="1:21"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row>
    <row r="348" spans="1:21"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row>
    <row r="349" spans="1:21"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row>
    <row r="350" spans="1:21"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row>
    <row r="351" spans="1:21"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row>
    <row r="352" spans="1:21"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row>
    <row r="353" spans="1:21"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row>
    <row r="354" spans="1:21"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row>
    <row r="355" spans="1:21"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row>
    <row r="356" spans="1:21"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row>
    <row r="357" spans="1:21"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row>
    <row r="358" spans="1:21"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row>
    <row r="359" spans="1:21"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row>
    <row r="360" spans="1:21"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row>
    <row r="361" spans="1:21" x14ac:dyDescent="0.25">
      <c r="A361" s="151"/>
      <c r="B361" s="151"/>
      <c r="C361" s="151"/>
      <c r="D361" s="151"/>
      <c r="E361" s="151"/>
      <c r="F361" s="151"/>
      <c r="G361" s="151"/>
      <c r="H361" s="151"/>
      <c r="I361" s="151"/>
      <c r="J361" s="151"/>
      <c r="K361" s="151"/>
      <c r="L361" s="151"/>
      <c r="M361" s="151"/>
      <c r="N361" s="151"/>
      <c r="O361" s="151"/>
      <c r="P361" s="151"/>
      <c r="Q361" s="151"/>
      <c r="R361" s="151"/>
      <c r="S361" s="151"/>
      <c r="T361" s="151"/>
      <c r="U361" s="151"/>
    </row>
    <row r="362" spans="1:21" x14ac:dyDescent="0.25">
      <c r="A362" s="151"/>
      <c r="B362" s="151"/>
      <c r="C362" s="151"/>
      <c r="D362" s="151"/>
      <c r="E362" s="151"/>
      <c r="F362" s="151"/>
      <c r="G362" s="151"/>
      <c r="H362" s="151"/>
      <c r="I362" s="151"/>
      <c r="J362" s="151"/>
      <c r="K362" s="151"/>
      <c r="L362" s="151"/>
      <c r="M362" s="151"/>
      <c r="N362" s="151"/>
      <c r="O362" s="151"/>
      <c r="P362" s="151"/>
      <c r="Q362" s="151"/>
      <c r="R362" s="151"/>
      <c r="S362" s="151"/>
      <c r="T362" s="151"/>
      <c r="U362" s="151"/>
    </row>
    <row r="363" spans="1:21" x14ac:dyDescent="0.25">
      <c r="A363" s="151"/>
      <c r="B363" s="151"/>
      <c r="C363" s="151"/>
      <c r="D363" s="151"/>
      <c r="E363" s="151"/>
      <c r="F363" s="151"/>
      <c r="G363" s="151"/>
      <c r="H363" s="151"/>
      <c r="I363" s="151"/>
      <c r="J363" s="151"/>
      <c r="K363" s="151"/>
      <c r="L363" s="151"/>
      <c r="M363" s="151"/>
      <c r="N363" s="151"/>
      <c r="O363" s="151"/>
      <c r="P363" s="151"/>
      <c r="Q363" s="151"/>
      <c r="R363" s="151"/>
      <c r="S363" s="151"/>
      <c r="T363" s="151"/>
      <c r="U363" s="151"/>
    </row>
    <row r="364" spans="1:21" x14ac:dyDescent="0.25">
      <c r="A364" s="151"/>
      <c r="B364" s="151"/>
      <c r="C364" s="151"/>
      <c r="D364" s="151"/>
      <c r="E364" s="151"/>
      <c r="F364" s="151"/>
      <c r="G364" s="151"/>
      <c r="H364" s="151"/>
      <c r="I364" s="151"/>
      <c r="J364" s="151"/>
      <c r="K364" s="151"/>
      <c r="L364" s="151"/>
      <c r="M364" s="151"/>
      <c r="N364" s="151"/>
      <c r="O364" s="151"/>
      <c r="P364" s="151"/>
      <c r="Q364" s="151"/>
      <c r="R364" s="151"/>
      <c r="S364" s="151"/>
      <c r="T364" s="151"/>
      <c r="U364" s="151"/>
    </row>
    <row r="365" spans="1:21" x14ac:dyDescent="0.25">
      <c r="A365" s="151"/>
      <c r="B365" s="151"/>
      <c r="C365" s="151"/>
      <c r="D365" s="151"/>
      <c r="E365" s="151"/>
      <c r="F365" s="151"/>
      <c r="G365" s="151"/>
      <c r="H365" s="151"/>
      <c r="I365" s="151"/>
      <c r="J365" s="151"/>
      <c r="K365" s="151"/>
      <c r="L365" s="151"/>
      <c r="M365" s="151"/>
      <c r="N365" s="151"/>
      <c r="O365" s="151"/>
      <c r="P365" s="151"/>
      <c r="Q365" s="151"/>
      <c r="R365" s="151"/>
      <c r="S365" s="151"/>
      <c r="T365" s="151"/>
      <c r="U365" s="151"/>
    </row>
    <row r="366" spans="1:21" x14ac:dyDescent="0.25">
      <c r="A366" s="151"/>
      <c r="B366" s="151"/>
      <c r="C366" s="151"/>
      <c r="D366" s="151"/>
      <c r="E366" s="151"/>
      <c r="F366" s="151"/>
      <c r="G366" s="151"/>
      <c r="H366" s="151"/>
      <c r="I366" s="151"/>
      <c r="J366" s="151"/>
      <c r="K366" s="151"/>
      <c r="L366" s="151"/>
      <c r="M366" s="151"/>
      <c r="N366" s="151"/>
      <c r="O366" s="151"/>
      <c r="P366" s="151"/>
      <c r="Q366" s="151"/>
      <c r="R366" s="151"/>
      <c r="S366" s="151"/>
      <c r="T366" s="151"/>
      <c r="U366" s="151"/>
    </row>
    <row r="367" spans="1:21" x14ac:dyDescent="0.25">
      <c r="A367" s="151"/>
      <c r="B367" s="151"/>
      <c r="C367" s="151"/>
      <c r="D367" s="151"/>
      <c r="E367" s="151"/>
      <c r="F367" s="151"/>
      <c r="G367" s="151"/>
      <c r="H367" s="151"/>
      <c r="I367" s="151"/>
      <c r="J367" s="151"/>
      <c r="K367" s="151"/>
      <c r="L367" s="151"/>
      <c r="M367" s="151"/>
      <c r="N367" s="151"/>
      <c r="O367" s="151"/>
      <c r="P367" s="151"/>
      <c r="Q367" s="151"/>
      <c r="R367" s="151"/>
      <c r="S367" s="151"/>
      <c r="T367" s="151"/>
      <c r="U367" s="151"/>
    </row>
    <row r="368" spans="1:21" x14ac:dyDescent="0.25">
      <c r="A368" s="151"/>
      <c r="B368" s="151"/>
      <c r="C368" s="151"/>
      <c r="D368" s="151"/>
      <c r="E368" s="151"/>
      <c r="F368" s="151"/>
      <c r="G368" s="151"/>
      <c r="H368" s="151"/>
      <c r="I368" s="151"/>
      <c r="J368" s="151"/>
      <c r="K368" s="151"/>
      <c r="L368" s="151"/>
      <c r="M368" s="151"/>
      <c r="N368" s="151"/>
      <c r="O368" s="151"/>
      <c r="P368" s="151"/>
      <c r="Q368" s="151"/>
      <c r="R368" s="151"/>
      <c r="S368" s="151"/>
      <c r="T368" s="151"/>
      <c r="U368" s="151"/>
    </row>
    <row r="369" spans="1:21" x14ac:dyDescent="0.25">
      <c r="A369" s="151"/>
      <c r="B369" s="151"/>
      <c r="C369" s="151"/>
      <c r="D369" s="151"/>
      <c r="E369" s="151"/>
      <c r="F369" s="151"/>
      <c r="G369" s="151"/>
      <c r="H369" s="151"/>
      <c r="I369" s="151"/>
      <c r="J369" s="151"/>
      <c r="K369" s="151"/>
      <c r="L369" s="151"/>
      <c r="M369" s="151"/>
      <c r="N369" s="151"/>
      <c r="O369" s="151"/>
      <c r="P369" s="151"/>
      <c r="Q369" s="151"/>
      <c r="R369" s="151"/>
      <c r="S369" s="151"/>
      <c r="T369" s="151"/>
      <c r="U369" s="151"/>
    </row>
    <row r="370" spans="1:21" x14ac:dyDescent="0.25">
      <c r="A370" s="151"/>
      <c r="B370" s="151"/>
      <c r="C370" s="151"/>
      <c r="D370" s="151"/>
      <c r="E370" s="151"/>
      <c r="F370" s="151"/>
      <c r="G370" s="151"/>
      <c r="H370" s="151"/>
      <c r="I370" s="151"/>
      <c r="J370" s="151"/>
      <c r="K370" s="151"/>
      <c r="L370" s="151"/>
      <c r="M370" s="151"/>
      <c r="N370" s="151"/>
      <c r="O370" s="151"/>
      <c r="P370" s="151"/>
      <c r="Q370" s="151"/>
      <c r="R370" s="151"/>
      <c r="S370" s="151"/>
      <c r="T370" s="151"/>
      <c r="U370" s="151"/>
    </row>
    <row r="371" spans="1:21" x14ac:dyDescent="0.25">
      <c r="A371" s="151"/>
      <c r="B371" s="151"/>
      <c r="C371" s="151"/>
      <c r="D371" s="151"/>
      <c r="E371" s="151"/>
      <c r="F371" s="151"/>
      <c r="G371" s="151"/>
      <c r="H371" s="151"/>
      <c r="I371" s="151"/>
      <c r="J371" s="151"/>
      <c r="K371" s="151"/>
      <c r="L371" s="151"/>
      <c r="M371" s="151"/>
      <c r="N371" s="151"/>
      <c r="O371" s="151"/>
      <c r="P371" s="151"/>
      <c r="Q371" s="151"/>
      <c r="R371" s="151"/>
      <c r="S371" s="151"/>
      <c r="T371" s="151"/>
      <c r="U371" s="151"/>
    </row>
    <row r="372" spans="1:21" x14ac:dyDescent="0.25">
      <c r="A372" s="151"/>
      <c r="B372" s="151"/>
      <c r="C372" s="151"/>
      <c r="D372" s="151"/>
      <c r="E372" s="151"/>
      <c r="F372" s="151"/>
      <c r="G372" s="151"/>
      <c r="H372" s="151"/>
      <c r="I372" s="151"/>
      <c r="J372" s="151"/>
      <c r="K372" s="151"/>
      <c r="L372" s="151"/>
      <c r="M372" s="151"/>
      <c r="N372" s="151"/>
      <c r="O372" s="151"/>
      <c r="P372" s="151"/>
      <c r="Q372" s="151"/>
      <c r="R372" s="151"/>
      <c r="S372" s="151"/>
      <c r="T372" s="151"/>
      <c r="U372" s="151"/>
    </row>
    <row r="373" spans="1:21" x14ac:dyDescent="0.25">
      <c r="A373" s="151"/>
      <c r="B373" s="151"/>
      <c r="C373" s="151"/>
      <c r="D373" s="151"/>
      <c r="E373" s="151"/>
      <c r="F373" s="151"/>
      <c r="G373" s="151"/>
      <c r="H373" s="151"/>
      <c r="I373" s="151"/>
      <c r="J373" s="151"/>
      <c r="K373" s="151"/>
      <c r="L373" s="151"/>
      <c r="M373" s="151"/>
      <c r="N373" s="151"/>
      <c r="O373" s="151"/>
      <c r="P373" s="151"/>
      <c r="Q373" s="151"/>
      <c r="R373" s="151"/>
      <c r="S373" s="151"/>
      <c r="T373" s="151"/>
      <c r="U373" s="151"/>
    </row>
    <row r="374" spans="1:21" x14ac:dyDescent="0.25">
      <c r="A374" s="151"/>
      <c r="B374" s="151"/>
      <c r="C374" s="151"/>
      <c r="D374" s="151"/>
      <c r="E374" s="151"/>
      <c r="F374" s="151"/>
      <c r="G374" s="151"/>
      <c r="H374" s="151"/>
      <c r="I374" s="151"/>
      <c r="J374" s="151"/>
      <c r="K374" s="151"/>
      <c r="L374" s="151"/>
      <c r="M374" s="151"/>
      <c r="N374" s="151"/>
      <c r="O374" s="151"/>
      <c r="P374" s="151"/>
      <c r="Q374" s="151"/>
      <c r="R374" s="151"/>
      <c r="S374" s="151"/>
      <c r="T374" s="151"/>
      <c r="U374" s="151"/>
    </row>
    <row r="375" spans="1:21" x14ac:dyDescent="0.25">
      <c r="A375" s="151"/>
      <c r="B375" s="151"/>
      <c r="C375" s="151"/>
      <c r="D375" s="151"/>
      <c r="E375" s="151"/>
      <c r="F375" s="151"/>
      <c r="G375" s="151"/>
      <c r="H375" s="151"/>
      <c r="I375" s="151"/>
      <c r="J375" s="151"/>
      <c r="K375" s="151"/>
      <c r="L375" s="151"/>
      <c r="M375" s="151"/>
      <c r="N375" s="151"/>
      <c r="O375" s="151"/>
      <c r="P375" s="151"/>
      <c r="Q375" s="151"/>
      <c r="R375" s="151"/>
      <c r="S375" s="151"/>
      <c r="T375" s="151"/>
      <c r="U375" s="151"/>
    </row>
    <row r="376" spans="1:21" x14ac:dyDescent="0.25">
      <c r="A376" s="151"/>
      <c r="B376" s="151"/>
      <c r="C376" s="151"/>
      <c r="D376" s="151"/>
      <c r="E376" s="151"/>
      <c r="F376" s="151"/>
      <c r="G376" s="151"/>
      <c r="H376" s="151"/>
      <c r="I376" s="151"/>
      <c r="J376" s="151"/>
      <c r="K376" s="151"/>
      <c r="L376" s="151"/>
      <c r="M376" s="151"/>
      <c r="N376" s="151"/>
      <c r="O376" s="151"/>
      <c r="P376" s="151"/>
      <c r="Q376" s="151"/>
      <c r="R376" s="151"/>
      <c r="S376" s="151"/>
      <c r="T376" s="151"/>
      <c r="U376" s="151"/>
    </row>
    <row r="377" spans="1:21" x14ac:dyDescent="0.25">
      <c r="A377" s="151"/>
      <c r="B377" s="151"/>
      <c r="C377" s="151"/>
      <c r="D377" s="151"/>
      <c r="E377" s="151"/>
      <c r="F377" s="151"/>
      <c r="G377" s="151"/>
      <c r="H377" s="151"/>
      <c r="I377" s="151"/>
      <c r="J377" s="151"/>
      <c r="K377" s="151"/>
      <c r="L377" s="151"/>
      <c r="M377" s="151"/>
      <c r="N377" s="151"/>
      <c r="O377" s="151"/>
      <c r="P377" s="151"/>
      <c r="Q377" s="151"/>
      <c r="R377" s="151"/>
      <c r="S377" s="151"/>
      <c r="T377" s="151"/>
      <c r="U377" s="151"/>
    </row>
    <row r="378" spans="1:21" x14ac:dyDescent="0.25">
      <c r="A378" s="151"/>
      <c r="B378" s="151"/>
      <c r="C378" s="151"/>
      <c r="D378" s="151"/>
      <c r="E378" s="151"/>
      <c r="F378" s="151"/>
      <c r="G378" s="151"/>
      <c r="H378" s="151"/>
      <c r="I378" s="151"/>
      <c r="J378" s="151"/>
      <c r="K378" s="151"/>
      <c r="L378" s="151"/>
      <c r="M378" s="151"/>
      <c r="N378" s="151"/>
      <c r="O378" s="151"/>
      <c r="P378" s="151"/>
      <c r="Q378" s="151"/>
      <c r="R378" s="151"/>
      <c r="S378" s="151"/>
      <c r="T378" s="151"/>
      <c r="U378" s="151"/>
    </row>
    <row r="379" spans="1:21" x14ac:dyDescent="0.25">
      <c r="A379" s="151"/>
      <c r="B379" s="151"/>
      <c r="C379" s="151"/>
      <c r="D379" s="151"/>
      <c r="E379" s="151"/>
      <c r="F379" s="151"/>
      <c r="G379" s="151"/>
      <c r="H379" s="151"/>
      <c r="I379" s="151"/>
      <c r="J379" s="151"/>
      <c r="K379" s="151"/>
      <c r="L379" s="151"/>
      <c r="M379" s="151"/>
      <c r="N379" s="151"/>
      <c r="O379" s="151"/>
      <c r="P379" s="151"/>
      <c r="Q379" s="151"/>
      <c r="R379" s="151"/>
      <c r="S379" s="151"/>
      <c r="T379" s="151"/>
      <c r="U379" s="151"/>
    </row>
    <row r="380" spans="1:21" x14ac:dyDescent="0.25">
      <c r="A380" s="151"/>
      <c r="B380" s="151"/>
      <c r="C380" s="151"/>
      <c r="D380" s="151"/>
      <c r="E380" s="151"/>
      <c r="F380" s="151"/>
      <c r="G380" s="151"/>
      <c r="H380" s="151"/>
      <c r="I380" s="151"/>
      <c r="J380" s="151"/>
      <c r="K380" s="151"/>
      <c r="L380" s="151"/>
      <c r="M380" s="151"/>
      <c r="N380" s="151"/>
      <c r="O380" s="151"/>
      <c r="P380" s="151"/>
      <c r="Q380" s="151"/>
      <c r="R380" s="151"/>
      <c r="S380" s="151"/>
      <c r="T380" s="151"/>
      <c r="U380" s="151"/>
    </row>
    <row r="381" spans="1:21" x14ac:dyDescent="0.25">
      <c r="A381" s="151"/>
      <c r="B381" s="151"/>
      <c r="C381" s="151"/>
      <c r="D381" s="151"/>
      <c r="E381" s="151"/>
      <c r="F381" s="151"/>
      <c r="G381" s="151"/>
      <c r="H381" s="151"/>
      <c r="I381" s="151"/>
      <c r="J381" s="151"/>
      <c r="K381" s="151"/>
      <c r="L381" s="151"/>
      <c r="M381" s="151"/>
      <c r="N381" s="151"/>
      <c r="O381" s="151"/>
      <c r="P381" s="151"/>
      <c r="Q381" s="151"/>
      <c r="R381" s="151"/>
      <c r="S381" s="151"/>
      <c r="T381" s="151"/>
      <c r="U381" s="151"/>
    </row>
    <row r="382" spans="1:21" x14ac:dyDescent="0.25">
      <c r="A382" s="151"/>
      <c r="B382" s="151"/>
      <c r="C382" s="151"/>
      <c r="D382" s="151"/>
      <c r="E382" s="151"/>
      <c r="F382" s="151"/>
      <c r="G382" s="151"/>
      <c r="H382" s="151"/>
      <c r="I382" s="151"/>
      <c r="J382" s="151"/>
      <c r="K382" s="151"/>
      <c r="L382" s="151"/>
      <c r="M382" s="151"/>
      <c r="N382" s="151"/>
      <c r="O382" s="151"/>
      <c r="P382" s="151"/>
      <c r="Q382" s="151"/>
      <c r="R382" s="151"/>
      <c r="S382" s="151"/>
      <c r="T382" s="151"/>
      <c r="U382" s="15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6" sqref="L26"/>
    </sheetView>
  </sheetViews>
  <sheetFormatPr defaultColWidth="9.140625" defaultRowHeight="15" x14ac:dyDescent="0.25"/>
  <cols>
    <col min="1" max="1" width="17.7109375" style="159" customWidth="1"/>
    <col min="2" max="2" width="30.140625" style="159" customWidth="1"/>
    <col min="3" max="3" width="12.28515625" style="159" customWidth="1"/>
    <col min="4" max="5" width="15" style="159" customWidth="1"/>
    <col min="6" max="7" width="13.28515625" style="159" customWidth="1"/>
    <col min="8" max="8" width="12.28515625" style="159" customWidth="1"/>
    <col min="9" max="9" width="17.85546875" style="159" customWidth="1"/>
    <col min="10" max="10" width="16.7109375" style="159" customWidth="1"/>
    <col min="11" max="11" width="24.5703125" style="159" customWidth="1"/>
    <col min="12" max="12" width="30.85546875" style="159" customWidth="1"/>
    <col min="13" max="13" width="27.140625" style="159" customWidth="1"/>
    <col min="14" max="14" width="32.42578125" style="159" customWidth="1"/>
    <col min="15" max="15" width="13.28515625" style="159" customWidth="1"/>
    <col min="16" max="16" width="8.7109375" style="159" customWidth="1"/>
    <col min="17" max="17" width="12.7109375" style="159" customWidth="1"/>
    <col min="18" max="18" width="9.140625" style="159"/>
    <col min="19" max="19" width="17" style="159" customWidth="1"/>
    <col min="20" max="21" width="12" style="159" customWidth="1"/>
    <col min="22" max="22" width="11" style="159" customWidth="1"/>
    <col min="23" max="25" width="17.7109375" style="159" customWidth="1"/>
    <col min="26" max="26" width="46.5703125" style="159" customWidth="1"/>
    <col min="27" max="28" width="12.28515625" style="159" customWidth="1"/>
    <col min="29" max="16384" width="9.140625" style="159"/>
  </cols>
  <sheetData>
    <row r="1" spans="1:28" ht="18.75" x14ac:dyDescent="0.25">
      <c r="Z1" s="29" t="s">
        <v>66</v>
      </c>
    </row>
    <row r="2" spans="1:28" ht="18.75" x14ac:dyDescent="0.3">
      <c r="Z2" s="14" t="s">
        <v>8</v>
      </c>
    </row>
    <row r="3" spans="1:28" ht="18.75" x14ac:dyDescent="0.3">
      <c r="Z3" s="14" t="s">
        <v>65</v>
      </c>
    </row>
    <row r="4" spans="1:28" ht="18.75" customHeight="1" x14ac:dyDescent="0.25">
      <c r="A4" s="351" t="str">
        <f>'1. паспорт местоположение'!A5:C5</f>
        <v>Год раскрытия информации: 2021 год</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6" spans="1:28"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138"/>
      <c r="AB6" s="138"/>
    </row>
    <row r="7" spans="1:28" ht="18.75" x14ac:dyDescent="0.25">
      <c r="A7" s="362"/>
      <c r="B7" s="362"/>
      <c r="C7" s="362"/>
      <c r="D7" s="362"/>
      <c r="E7" s="362"/>
      <c r="F7" s="362"/>
      <c r="G7" s="362"/>
      <c r="H7" s="362"/>
      <c r="I7" s="362"/>
      <c r="J7" s="362"/>
      <c r="K7" s="362"/>
      <c r="L7" s="362"/>
      <c r="M7" s="362"/>
      <c r="N7" s="362"/>
      <c r="O7" s="362"/>
      <c r="P7" s="362"/>
      <c r="Q7" s="362"/>
      <c r="R7" s="362"/>
      <c r="S7" s="362"/>
      <c r="T7" s="362"/>
      <c r="U7" s="362"/>
      <c r="V7" s="362"/>
      <c r="W7" s="362"/>
      <c r="X7" s="362"/>
      <c r="Y7" s="362"/>
      <c r="Z7" s="362"/>
      <c r="AA7" s="138"/>
      <c r="AB7" s="138"/>
    </row>
    <row r="8" spans="1:28" ht="15.75" x14ac:dyDescent="0.25">
      <c r="A8" s="357" t="str">
        <f>'1. паспорт местоположение'!A9:C9</f>
        <v xml:space="preserve">Акционерное общество "Западная энергетическая компания" </v>
      </c>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140"/>
      <c r="AB8" s="140"/>
    </row>
    <row r="9" spans="1:28" ht="15.75"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141"/>
      <c r="AB9" s="141"/>
    </row>
    <row r="10" spans="1:28" ht="18.75" x14ac:dyDescent="0.25">
      <c r="A10" s="362"/>
      <c r="B10" s="362"/>
      <c r="C10" s="362"/>
      <c r="D10" s="362"/>
      <c r="E10" s="362"/>
      <c r="F10" s="362"/>
      <c r="G10" s="362"/>
      <c r="H10" s="362"/>
      <c r="I10" s="362"/>
      <c r="J10" s="362"/>
      <c r="K10" s="362"/>
      <c r="L10" s="362"/>
      <c r="M10" s="362"/>
      <c r="N10" s="362"/>
      <c r="O10" s="362"/>
      <c r="P10" s="362"/>
      <c r="Q10" s="362"/>
      <c r="R10" s="362"/>
      <c r="S10" s="362"/>
      <c r="T10" s="362"/>
      <c r="U10" s="362"/>
      <c r="V10" s="362"/>
      <c r="W10" s="362"/>
      <c r="X10" s="362"/>
      <c r="Y10" s="362"/>
      <c r="Z10" s="362"/>
      <c r="AA10" s="138"/>
      <c r="AB10" s="138"/>
    </row>
    <row r="11" spans="1:28" ht="15.75" x14ac:dyDescent="0.25">
      <c r="A11" s="357" t="str">
        <f>'1. паспорт местоположение'!A12:C12</f>
        <v>J_19-08</v>
      </c>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140"/>
      <c r="AB11" s="140"/>
    </row>
    <row r="12" spans="1:28" ht="15.75"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141"/>
      <c r="AB12" s="141"/>
    </row>
    <row r="13" spans="1:28" ht="18.75" x14ac:dyDescent="0.25">
      <c r="A13" s="363"/>
      <c r="B13" s="363"/>
      <c r="C13" s="363"/>
      <c r="D13" s="363"/>
      <c r="E13" s="363"/>
      <c r="F13" s="363"/>
      <c r="G13" s="363"/>
      <c r="H13" s="363"/>
      <c r="I13" s="363"/>
      <c r="J13" s="363"/>
      <c r="K13" s="363"/>
      <c r="L13" s="363"/>
      <c r="M13" s="363"/>
      <c r="N13" s="363"/>
      <c r="O13" s="363"/>
      <c r="P13" s="363"/>
      <c r="Q13" s="363"/>
      <c r="R13" s="363"/>
      <c r="S13" s="363"/>
      <c r="T13" s="363"/>
      <c r="U13" s="363"/>
      <c r="V13" s="363"/>
      <c r="W13" s="363"/>
      <c r="X13" s="363"/>
      <c r="Y13" s="363"/>
      <c r="Z13" s="363"/>
      <c r="AA13" s="160"/>
      <c r="AB13" s="160"/>
    </row>
    <row r="14" spans="1:28" ht="15.75" x14ac:dyDescent="0.25">
      <c r="A14" s="357" t="str">
        <f>'1. паспорт местоположение'!A15:C15</f>
        <v>Реконструкция ТП-4  15/0,4кВ п.Северный, Багратионовского р-на</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140"/>
      <c r="AB14" s="140"/>
    </row>
    <row r="15" spans="1:28" ht="15.75"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141"/>
      <c r="AB15" s="141"/>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61"/>
      <c r="AB16" s="161"/>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61"/>
      <c r="AB17" s="161"/>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61"/>
      <c r="AB18" s="161"/>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61"/>
      <c r="AB19" s="161"/>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62"/>
      <c r="AB20" s="162"/>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62"/>
      <c r="AB21" s="162"/>
    </row>
    <row r="22" spans="1:28" x14ac:dyDescent="0.25">
      <c r="A22" s="394" t="s">
        <v>412</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63"/>
      <c r="AB22" s="163"/>
    </row>
    <row r="23" spans="1:28" ht="32.25" customHeight="1" x14ac:dyDescent="0.25">
      <c r="A23" s="396" t="s">
        <v>295</v>
      </c>
      <c r="B23" s="397"/>
      <c r="C23" s="397"/>
      <c r="D23" s="397"/>
      <c r="E23" s="397"/>
      <c r="F23" s="397"/>
      <c r="G23" s="397"/>
      <c r="H23" s="397"/>
      <c r="I23" s="397"/>
      <c r="J23" s="397"/>
      <c r="K23" s="397"/>
      <c r="L23" s="398"/>
      <c r="M23" s="395" t="s">
        <v>296</v>
      </c>
      <c r="N23" s="395"/>
      <c r="O23" s="395"/>
      <c r="P23" s="395"/>
      <c r="Q23" s="395"/>
      <c r="R23" s="395"/>
      <c r="S23" s="395"/>
      <c r="T23" s="395"/>
      <c r="U23" s="395"/>
      <c r="V23" s="395"/>
      <c r="W23" s="395"/>
      <c r="X23" s="395"/>
      <c r="Y23" s="395"/>
      <c r="Z23" s="395"/>
    </row>
    <row r="24" spans="1:28" ht="151.5" customHeight="1" x14ac:dyDescent="0.25">
      <c r="A24" s="164" t="s">
        <v>210</v>
      </c>
      <c r="B24" s="165" t="s">
        <v>230</v>
      </c>
      <c r="C24" s="164" t="s">
        <v>293</v>
      </c>
      <c r="D24" s="164" t="s">
        <v>211</v>
      </c>
      <c r="E24" s="164" t="s">
        <v>294</v>
      </c>
      <c r="F24" s="164" t="s">
        <v>443</v>
      </c>
      <c r="G24" s="164" t="s">
        <v>444</v>
      </c>
      <c r="H24" s="164" t="s">
        <v>212</v>
      </c>
      <c r="I24" s="164" t="s">
        <v>445</v>
      </c>
      <c r="J24" s="164" t="s">
        <v>235</v>
      </c>
      <c r="K24" s="165" t="s">
        <v>229</v>
      </c>
      <c r="L24" s="165" t="s">
        <v>213</v>
      </c>
      <c r="M24" s="166" t="s">
        <v>242</v>
      </c>
      <c r="N24" s="165" t="s">
        <v>446</v>
      </c>
      <c r="O24" s="164" t="s">
        <v>447</v>
      </c>
      <c r="P24" s="164" t="s">
        <v>448</v>
      </c>
      <c r="Q24" s="164" t="s">
        <v>449</v>
      </c>
      <c r="R24" s="164" t="s">
        <v>212</v>
      </c>
      <c r="S24" s="164" t="s">
        <v>450</v>
      </c>
      <c r="T24" s="164" t="s">
        <v>451</v>
      </c>
      <c r="U24" s="164" t="s">
        <v>452</v>
      </c>
      <c r="V24" s="164" t="s">
        <v>449</v>
      </c>
      <c r="W24" s="167" t="s">
        <v>453</v>
      </c>
      <c r="X24" s="167" t="s">
        <v>454</v>
      </c>
      <c r="Y24" s="167" t="s">
        <v>455</v>
      </c>
      <c r="Z24" s="168" t="s">
        <v>247</v>
      </c>
    </row>
    <row r="25" spans="1:28" ht="16.5" customHeight="1" x14ac:dyDescent="0.25">
      <c r="A25" s="164">
        <v>1</v>
      </c>
      <c r="B25" s="165">
        <v>2</v>
      </c>
      <c r="C25" s="164">
        <v>3</v>
      </c>
      <c r="D25" s="165">
        <v>4</v>
      </c>
      <c r="E25" s="164">
        <v>5</v>
      </c>
      <c r="F25" s="165">
        <v>6</v>
      </c>
      <c r="G25" s="164">
        <v>7</v>
      </c>
      <c r="H25" s="165">
        <v>8</v>
      </c>
      <c r="I25" s="164">
        <v>9</v>
      </c>
      <c r="J25" s="165">
        <v>10</v>
      </c>
      <c r="K25" s="164">
        <v>11</v>
      </c>
      <c r="L25" s="165">
        <v>12</v>
      </c>
      <c r="M25" s="164">
        <v>13</v>
      </c>
      <c r="N25" s="165">
        <v>14</v>
      </c>
      <c r="O25" s="164">
        <v>15</v>
      </c>
      <c r="P25" s="165">
        <v>16</v>
      </c>
      <c r="Q25" s="164">
        <v>17</v>
      </c>
      <c r="R25" s="165">
        <v>18</v>
      </c>
      <c r="S25" s="164">
        <v>19</v>
      </c>
      <c r="T25" s="165">
        <v>20</v>
      </c>
      <c r="U25" s="164">
        <v>21</v>
      </c>
      <c r="V25" s="165">
        <v>22</v>
      </c>
      <c r="W25" s="164">
        <v>23</v>
      </c>
      <c r="X25" s="165">
        <v>24</v>
      </c>
      <c r="Y25" s="164">
        <v>25</v>
      </c>
      <c r="Z25" s="165">
        <v>26</v>
      </c>
    </row>
    <row r="26" spans="1:28" ht="45.75" customHeight="1" x14ac:dyDescent="0.25">
      <c r="A26" s="169" t="s">
        <v>291</v>
      </c>
      <c r="B26" s="170"/>
      <c r="C26" s="171" t="s">
        <v>456</v>
      </c>
      <c r="D26" s="171" t="s">
        <v>457</v>
      </c>
      <c r="E26" s="171" t="s">
        <v>458</v>
      </c>
      <c r="F26" s="171" t="s">
        <v>459</v>
      </c>
      <c r="G26" s="171" t="s">
        <v>460</v>
      </c>
      <c r="H26" s="171" t="s">
        <v>212</v>
      </c>
      <c r="I26" s="171" t="s">
        <v>461</v>
      </c>
      <c r="J26" s="171" t="s">
        <v>462</v>
      </c>
      <c r="K26" s="172"/>
      <c r="L26" s="173" t="s">
        <v>227</v>
      </c>
      <c r="M26" s="174" t="s">
        <v>240</v>
      </c>
      <c r="N26" s="172"/>
      <c r="O26" s="172"/>
      <c r="P26" s="172"/>
      <c r="Q26" s="172"/>
      <c r="R26" s="172"/>
      <c r="S26" s="172"/>
      <c r="T26" s="172"/>
      <c r="U26" s="172"/>
      <c r="V26" s="172"/>
      <c r="W26" s="172"/>
      <c r="X26" s="172"/>
      <c r="Y26" s="172"/>
      <c r="Z26" s="175" t="s">
        <v>248</v>
      </c>
    </row>
    <row r="27" spans="1:28" x14ac:dyDescent="0.25">
      <c r="A27" s="172" t="s">
        <v>214</v>
      </c>
      <c r="B27" s="172" t="s">
        <v>231</v>
      </c>
      <c r="C27" s="172" t="s">
        <v>215</v>
      </c>
      <c r="D27" s="172" t="s">
        <v>216</v>
      </c>
      <c r="E27" s="172" t="s">
        <v>243</v>
      </c>
      <c r="F27" s="171" t="s">
        <v>463</v>
      </c>
      <c r="G27" s="171" t="s">
        <v>464</v>
      </c>
      <c r="H27" s="172" t="s">
        <v>212</v>
      </c>
      <c r="I27" s="171" t="s">
        <v>465</v>
      </c>
      <c r="J27" s="171" t="s">
        <v>466</v>
      </c>
      <c r="K27" s="173" t="s">
        <v>223</v>
      </c>
      <c r="L27" s="172"/>
      <c r="M27" s="173" t="s">
        <v>241</v>
      </c>
      <c r="N27" s="172"/>
      <c r="O27" s="172"/>
      <c r="P27" s="172"/>
      <c r="Q27" s="172"/>
      <c r="R27" s="172"/>
      <c r="S27" s="172"/>
      <c r="T27" s="172"/>
      <c r="U27" s="172"/>
      <c r="V27" s="172"/>
      <c r="W27" s="172"/>
      <c r="X27" s="172"/>
      <c r="Y27" s="172"/>
      <c r="Z27" s="172"/>
    </row>
    <row r="28" spans="1:28" x14ac:dyDescent="0.25">
      <c r="A28" s="172" t="s">
        <v>214</v>
      </c>
      <c r="B28" s="172" t="s">
        <v>232</v>
      </c>
      <c r="C28" s="172" t="s">
        <v>217</v>
      </c>
      <c r="D28" s="172" t="s">
        <v>218</v>
      </c>
      <c r="E28" s="172" t="s">
        <v>244</v>
      </c>
      <c r="F28" s="171" t="s">
        <v>467</v>
      </c>
      <c r="G28" s="171" t="s">
        <v>468</v>
      </c>
      <c r="H28" s="172" t="s">
        <v>212</v>
      </c>
      <c r="I28" s="171" t="s">
        <v>236</v>
      </c>
      <c r="J28" s="171" t="s">
        <v>469</v>
      </c>
      <c r="K28" s="173" t="s">
        <v>224</v>
      </c>
      <c r="L28" s="176"/>
      <c r="M28" s="173" t="s">
        <v>0</v>
      </c>
      <c r="N28" s="173"/>
      <c r="O28" s="173"/>
      <c r="P28" s="173"/>
      <c r="Q28" s="173"/>
      <c r="R28" s="173"/>
      <c r="S28" s="173"/>
      <c r="T28" s="173"/>
      <c r="U28" s="173"/>
      <c r="V28" s="173"/>
      <c r="W28" s="173"/>
      <c r="X28" s="173"/>
      <c r="Y28" s="173"/>
      <c r="Z28" s="173"/>
    </row>
    <row r="29" spans="1:28" x14ac:dyDescent="0.25">
      <c r="A29" s="172" t="s">
        <v>214</v>
      </c>
      <c r="B29" s="172" t="s">
        <v>233</v>
      </c>
      <c r="C29" s="172" t="s">
        <v>219</v>
      </c>
      <c r="D29" s="172" t="s">
        <v>220</v>
      </c>
      <c r="E29" s="172" t="s">
        <v>245</v>
      </c>
      <c r="F29" s="171" t="s">
        <v>470</v>
      </c>
      <c r="G29" s="171" t="s">
        <v>471</v>
      </c>
      <c r="H29" s="172" t="s">
        <v>212</v>
      </c>
      <c r="I29" s="171" t="s">
        <v>237</v>
      </c>
      <c r="J29" s="171" t="s">
        <v>472</v>
      </c>
      <c r="K29" s="173" t="s">
        <v>225</v>
      </c>
      <c r="L29" s="176"/>
      <c r="M29" s="172"/>
      <c r="N29" s="172"/>
      <c r="O29" s="172"/>
      <c r="P29" s="172"/>
      <c r="Q29" s="172"/>
      <c r="R29" s="172"/>
      <c r="S29" s="172"/>
      <c r="T29" s="172"/>
      <c r="U29" s="172"/>
      <c r="V29" s="172"/>
      <c r="W29" s="172"/>
      <c r="X29" s="172"/>
      <c r="Y29" s="172"/>
      <c r="Z29" s="172"/>
    </row>
    <row r="30" spans="1:28" x14ac:dyDescent="0.25">
      <c r="A30" s="172" t="s">
        <v>214</v>
      </c>
      <c r="B30" s="172" t="s">
        <v>234</v>
      </c>
      <c r="C30" s="172" t="s">
        <v>221</v>
      </c>
      <c r="D30" s="172" t="s">
        <v>222</v>
      </c>
      <c r="E30" s="172" t="s">
        <v>246</v>
      </c>
      <c r="F30" s="171" t="s">
        <v>473</v>
      </c>
      <c r="G30" s="171" t="s">
        <v>474</v>
      </c>
      <c r="H30" s="172" t="s">
        <v>212</v>
      </c>
      <c r="I30" s="171" t="s">
        <v>238</v>
      </c>
      <c r="J30" s="171" t="s">
        <v>475</v>
      </c>
      <c r="K30" s="173" t="s">
        <v>226</v>
      </c>
      <c r="L30" s="176"/>
      <c r="M30" s="172"/>
      <c r="N30" s="172"/>
      <c r="O30" s="172"/>
      <c r="P30" s="172"/>
      <c r="Q30" s="172"/>
      <c r="R30" s="172"/>
      <c r="S30" s="172"/>
      <c r="T30" s="172"/>
      <c r="U30" s="172"/>
      <c r="V30" s="172"/>
      <c r="W30" s="172"/>
      <c r="X30" s="172"/>
      <c r="Y30" s="172"/>
      <c r="Z30" s="172"/>
    </row>
    <row r="31" spans="1:28" x14ac:dyDescent="0.25">
      <c r="A31" s="172" t="s">
        <v>0</v>
      </c>
      <c r="B31" s="172" t="s">
        <v>0</v>
      </c>
      <c r="C31" s="172" t="s">
        <v>0</v>
      </c>
      <c r="D31" s="172" t="s">
        <v>0</v>
      </c>
      <c r="E31" s="172" t="s">
        <v>0</v>
      </c>
      <c r="F31" s="172" t="s">
        <v>0</v>
      </c>
      <c r="G31" s="172" t="s">
        <v>0</v>
      </c>
      <c r="H31" s="172" t="s">
        <v>0</v>
      </c>
      <c r="I31" s="172" t="s">
        <v>0</v>
      </c>
      <c r="J31" s="172" t="s">
        <v>0</v>
      </c>
      <c r="K31" s="172" t="s">
        <v>0</v>
      </c>
      <c r="L31" s="176"/>
      <c r="M31" s="172"/>
      <c r="N31" s="172"/>
      <c r="O31" s="172"/>
      <c r="P31" s="172"/>
      <c r="Q31" s="172"/>
      <c r="R31" s="172"/>
      <c r="S31" s="172"/>
      <c r="T31" s="172"/>
      <c r="U31" s="172"/>
      <c r="V31" s="172"/>
      <c r="W31" s="172"/>
      <c r="X31" s="172"/>
      <c r="Y31" s="172"/>
      <c r="Z31" s="172"/>
    </row>
    <row r="32" spans="1:28" ht="30" x14ac:dyDescent="0.25">
      <c r="A32" s="170" t="s">
        <v>292</v>
      </c>
      <c r="B32" s="170"/>
      <c r="C32" s="171" t="s">
        <v>476</v>
      </c>
      <c r="D32" s="171" t="s">
        <v>477</v>
      </c>
      <c r="E32" s="171" t="s">
        <v>478</v>
      </c>
      <c r="F32" s="171" t="s">
        <v>479</v>
      </c>
      <c r="G32" s="171" t="s">
        <v>480</v>
      </c>
      <c r="H32" s="171" t="s">
        <v>212</v>
      </c>
      <c r="I32" s="171" t="s">
        <v>481</v>
      </c>
      <c r="J32" s="171" t="s">
        <v>482</v>
      </c>
      <c r="K32" s="172"/>
      <c r="L32" s="172"/>
      <c r="M32" s="172"/>
      <c r="N32" s="172"/>
      <c r="O32" s="172"/>
      <c r="P32" s="172"/>
      <c r="Q32" s="172"/>
      <c r="R32" s="172"/>
      <c r="S32" s="172"/>
      <c r="T32" s="172"/>
      <c r="U32" s="172"/>
      <c r="V32" s="172"/>
      <c r="W32" s="172"/>
      <c r="X32" s="172"/>
      <c r="Y32" s="172"/>
      <c r="Z32" s="172"/>
    </row>
    <row r="33" spans="1:26" x14ac:dyDescent="0.25">
      <c r="A33" s="172" t="s">
        <v>0</v>
      </c>
      <c r="B33" s="172" t="s">
        <v>0</v>
      </c>
      <c r="C33" s="172" t="s">
        <v>0</v>
      </c>
      <c r="D33" s="172" t="s">
        <v>0</v>
      </c>
      <c r="E33" s="172" t="s">
        <v>0</v>
      </c>
      <c r="F33" s="172" t="s">
        <v>0</v>
      </c>
      <c r="G33" s="172" t="s">
        <v>0</v>
      </c>
      <c r="H33" s="172" t="s">
        <v>0</v>
      </c>
      <c r="I33" s="172" t="s">
        <v>0</v>
      </c>
      <c r="J33" s="172" t="s">
        <v>0</v>
      </c>
      <c r="K33" s="172" t="s">
        <v>0</v>
      </c>
      <c r="L33" s="172"/>
      <c r="M33" s="172"/>
      <c r="N33" s="172"/>
      <c r="O33" s="172"/>
      <c r="P33" s="172"/>
      <c r="Q33" s="172"/>
      <c r="R33" s="172"/>
      <c r="S33" s="172"/>
      <c r="T33" s="172"/>
      <c r="U33" s="172"/>
      <c r="V33" s="172"/>
      <c r="W33" s="172"/>
      <c r="X33" s="172"/>
      <c r="Y33" s="172"/>
      <c r="Z33" s="172"/>
    </row>
    <row r="37" spans="1:26" x14ac:dyDescent="0.25">
      <c r="A37" s="17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B22" sqref="B22"/>
    </sheetView>
  </sheetViews>
  <sheetFormatPr defaultColWidth="9.140625" defaultRowHeight="15" x14ac:dyDescent="0.25"/>
  <cols>
    <col min="1" max="1" width="7.42578125" style="152" customWidth="1"/>
    <col min="2" max="2" width="25.5703125" style="152" customWidth="1"/>
    <col min="3" max="3" width="71.28515625" style="152" customWidth="1"/>
    <col min="4" max="4" width="16.140625" style="152" customWidth="1"/>
    <col min="5" max="5" width="9.42578125" style="152" customWidth="1"/>
    <col min="6" max="6" width="8.7109375" style="152" customWidth="1"/>
    <col min="7" max="7" width="9" style="152" customWidth="1"/>
    <col min="8" max="8" width="8.42578125" style="152" customWidth="1"/>
    <col min="9" max="9" width="33.85546875" style="152" customWidth="1"/>
    <col min="10" max="11" width="19.140625" style="152" customWidth="1"/>
    <col min="12" max="12" width="16" style="152" customWidth="1"/>
    <col min="13" max="13" width="14.85546875" style="152" customWidth="1"/>
    <col min="14" max="14" width="16.28515625" style="152" customWidth="1"/>
    <col min="15" max="16384" width="9.140625" style="152"/>
  </cols>
  <sheetData>
    <row r="1" spans="1:28" s="17" customFormat="1" ht="18.75" customHeight="1" x14ac:dyDescent="0.2">
      <c r="O1" s="29" t="s">
        <v>66</v>
      </c>
    </row>
    <row r="2" spans="1:28" s="17" customFormat="1" ht="18.75" customHeight="1" x14ac:dyDescent="0.3">
      <c r="O2" s="14" t="s">
        <v>8</v>
      </c>
    </row>
    <row r="3" spans="1:28" s="17" customFormat="1" ht="18.75" x14ac:dyDescent="0.3">
      <c r="A3" s="135"/>
      <c r="B3" s="135"/>
      <c r="O3" s="14" t="s">
        <v>65</v>
      </c>
    </row>
    <row r="4" spans="1:28" s="17" customFormat="1" ht="18.75" x14ac:dyDescent="0.3">
      <c r="A4" s="135"/>
      <c r="B4" s="135"/>
      <c r="L4" s="14"/>
    </row>
    <row r="5" spans="1:28" s="17" customFormat="1" ht="15.75" x14ac:dyDescent="0.2">
      <c r="A5" s="351" t="str">
        <f>'1. паспорт местоположение'!A5:C5</f>
        <v>Год раскрытия информации: 2021 год</v>
      </c>
      <c r="B5" s="351"/>
      <c r="C5" s="351"/>
      <c r="D5" s="351"/>
      <c r="E5" s="351"/>
      <c r="F5" s="351"/>
      <c r="G5" s="351"/>
      <c r="H5" s="351"/>
      <c r="I5" s="351"/>
      <c r="J5" s="351"/>
      <c r="K5" s="351"/>
      <c r="L5" s="351"/>
      <c r="M5" s="351"/>
      <c r="N5" s="351"/>
      <c r="O5" s="351"/>
      <c r="P5" s="108"/>
      <c r="Q5" s="108"/>
      <c r="R5" s="108"/>
      <c r="S5" s="108"/>
      <c r="T5" s="108"/>
      <c r="U5" s="108"/>
      <c r="V5" s="108"/>
      <c r="W5" s="108"/>
      <c r="X5" s="108"/>
      <c r="Y5" s="108"/>
      <c r="Z5" s="108"/>
      <c r="AA5" s="108"/>
      <c r="AB5" s="108"/>
    </row>
    <row r="6" spans="1:28" s="17" customFormat="1" ht="18.75" x14ac:dyDescent="0.3">
      <c r="A6" s="135"/>
      <c r="B6" s="135"/>
      <c r="L6" s="14"/>
    </row>
    <row r="7" spans="1:28" s="17" customFormat="1" ht="18.75" x14ac:dyDescent="0.2">
      <c r="A7" s="362" t="s">
        <v>7</v>
      </c>
      <c r="B7" s="362"/>
      <c r="C7" s="362"/>
      <c r="D7" s="362"/>
      <c r="E7" s="362"/>
      <c r="F7" s="362"/>
      <c r="G7" s="362"/>
      <c r="H7" s="362"/>
      <c r="I7" s="362"/>
      <c r="J7" s="362"/>
      <c r="K7" s="362"/>
      <c r="L7" s="362"/>
      <c r="M7" s="362"/>
      <c r="N7" s="362"/>
      <c r="O7" s="362"/>
      <c r="P7" s="138"/>
      <c r="Q7" s="138"/>
      <c r="R7" s="138"/>
      <c r="S7" s="138"/>
      <c r="T7" s="138"/>
      <c r="U7" s="138"/>
      <c r="V7" s="138"/>
      <c r="W7" s="138"/>
      <c r="X7" s="138"/>
      <c r="Y7" s="138"/>
      <c r="Z7" s="138"/>
    </row>
    <row r="8" spans="1:28" s="17" customFormat="1" ht="18.75" x14ac:dyDescent="0.2">
      <c r="A8" s="362"/>
      <c r="B8" s="362"/>
      <c r="C8" s="362"/>
      <c r="D8" s="362"/>
      <c r="E8" s="362"/>
      <c r="F8" s="362"/>
      <c r="G8" s="362"/>
      <c r="H8" s="362"/>
      <c r="I8" s="362"/>
      <c r="J8" s="362"/>
      <c r="K8" s="362"/>
      <c r="L8" s="362"/>
      <c r="M8" s="362"/>
      <c r="N8" s="362"/>
      <c r="O8" s="362"/>
      <c r="P8" s="138"/>
      <c r="Q8" s="138"/>
      <c r="R8" s="138"/>
      <c r="S8" s="138"/>
      <c r="T8" s="138"/>
      <c r="U8" s="138"/>
      <c r="V8" s="138"/>
      <c r="W8" s="138"/>
      <c r="X8" s="138"/>
      <c r="Y8" s="138"/>
      <c r="Z8" s="138"/>
    </row>
    <row r="9" spans="1:28" s="17" customFormat="1" ht="18.75" x14ac:dyDescent="0.2">
      <c r="A9" s="357" t="str">
        <f>'1. паспорт местоположение'!A9:C9</f>
        <v xml:space="preserve">Акционерное общество "Западная энергетическая компания" </v>
      </c>
      <c r="B9" s="357"/>
      <c r="C9" s="357"/>
      <c r="D9" s="357"/>
      <c r="E9" s="357"/>
      <c r="F9" s="357"/>
      <c r="G9" s="357"/>
      <c r="H9" s="357"/>
      <c r="I9" s="357"/>
      <c r="J9" s="357"/>
      <c r="K9" s="357"/>
      <c r="L9" s="357"/>
      <c r="M9" s="357"/>
      <c r="N9" s="357"/>
      <c r="O9" s="357"/>
      <c r="P9" s="138"/>
      <c r="Q9" s="138"/>
      <c r="R9" s="138"/>
      <c r="S9" s="138"/>
      <c r="T9" s="138"/>
      <c r="U9" s="138"/>
      <c r="V9" s="138"/>
      <c r="W9" s="138"/>
      <c r="X9" s="138"/>
      <c r="Y9" s="138"/>
      <c r="Z9" s="138"/>
    </row>
    <row r="10" spans="1:28" s="17" customFormat="1" ht="18.75" x14ac:dyDescent="0.2">
      <c r="A10" s="358" t="s">
        <v>6</v>
      </c>
      <c r="B10" s="358"/>
      <c r="C10" s="358"/>
      <c r="D10" s="358"/>
      <c r="E10" s="358"/>
      <c r="F10" s="358"/>
      <c r="G10" s="358"/>
      <c r="H10" s="358"/>
      <c r="I10" s="358"/>
      <c r="J10" s="358"/>
      <c r="K10" s="358"/>
      <c r="L10" s="358"/>
      <c r="M10" s="358"/>
      <c r="N10" s="358"/>
      <c r="O10" s="358"/>
      <c r="P10" s="138"/>
      <c r="Q10" s="138"/>
      <c r="R10" s="138"/>
      <c r="S10" s="138"/>
      <c r="T10" s="138"/>
      <c r="U10" s="138"/>
      <c r="V10" s="138"/>
      <c r="W10" s="138"/>
      <c r="X10" s="138"/>
      <c r="Y10" s="138"/>
      <c r="Z10" s="138"/>
    </row>
    <row r="11" spans="1:28" s="17" customFormat="1" ht="18.75" x14ac:dyDescent="0.2">
      <c r="A11" s="362"/>
      <c r="B11" s="362"/>
      <c r="C11" s="362"/>
      <c r="D11" s="362"/>
      <c r="E11" s="362"/>
      <c r="F11" s="362"/>
      <c r="G11" s="362"/>
      <c r="H11" s="362"/>
      <c r="I11" s="362"/>
      <c r="J11" s="362"/>
      <c r="K11" s="362"/>
      <c r="L11" s="362"/>
      <c r="M11" s="362"/>
      <c r="N11" s="362"/>
      <c r="O11" s="362"/>
      <c r="P11" s="138"/>
      <c r="Q11" s="138"/>
      <c r="R11" s="138"/>
      <c r="S11" s="138"/>
      <c r="T11" s="138"/>
      <c r="U11" s="138"/>
      <c r="V11" s="138"/>
      <c r="W11" s="138"/>
      <c r="X11" s="138"/>
      <c r="Y11" s="138"/>
      <c r="Z11" s="138"/>
    </row>
    <row r="12" spans="1:28" s="17" customFormat="1" ht="18.75" x14ac:dyDescent="0.2">
      <c r="A12" s="357" t="str">
        <f>'1. паспорт местоположение'!A12:C12</f>
        <v>J_19-08</v>
      </c>
      <c r="B12" s="357"/>
      <c r="C12" s="357"/>
      <c r="D12" s="357"/>
      <c r="E12" s="357"/>
      <c r="F12" s="357"/>
      <c r="G12" s="357"/>
      <c r="H12" s="357"/>
      <c r="I12" s="357"/>
      <c r="J12" s="357"/>
      <c r="K12" s="357"/>
      <c r="L12" s="357"/>
      <c r="M12" s="357"/>
      <c r="N12" s="357"/>
      <c r="O12" s="357"/>
      <c r="P12" s="138"/>
      <c r="Q12" s="138"/>
      <c r="R12" s="138"/>
      <c r="S12" s="138"/>
      <c r="T12" s="138"/>
      <c r="U12" s="138"/>
      <c r="V12" s="138"/>
      <c r="W12" s="138"/>
      <c r="X12" s="138"/>
      <c r="Y12" s="138"/>
      <c r="Z12" s="138"/>
    </row>
    <row r="13" spans="1:28" s="17" customFormat="1" ht="18.75" x14ac:dyDescent="0.2">
      <c r="A13" s="358" t="s">
        <v>5</v>
      </c>
      <c r="B13" s="358"/>
      <c r="C13" s="358"/>
      <c r="D13" s="358"/>
      <c r="E13" s="358"/>
      <c r="F13" s="358"/>
      <c r="G13" s="358"/>
      <c r="H13" s="358"/>
      <c r="I13" s="358"/>
      <c r="J13" s="358"/>
      <c r="K13" s="358"/>
      <c r="L13" s="358"/>
      <c r="M13" s="358"/>
      <c r="N13" s="358"/>
      <c r="O13" s="358"/>
      <c r="P13" s="138"/>
      <c r="Q13" s="138"/>
      <c r="R13" s="138"/>
      <c r="S13" s="138"/>
      <c r="T13" s="138"/>
      <c r="U13" s="138"/>
      <c r="V13" s="138"/>
      <c r="W13" s="138"/>
      <c r="X13" s="138"/>
      <c r="Y13" s="138"/>
      <c r="Z13" s="138"/>
    </row>
    <row r="14" spans="1:28" s="136" customFormat="1" ht="15.75" customHeight="1" x14ac:dyDescent="0.2">
      <c r="A14" s="363"/>
      <c r="B14" s="363"/>
      <c r="C14" s="363"/>
      <c r="D14" s="363"/>
      <c r="E14" s="363"/>
      <c r="F14" s="363"/>
      <c r="G14" s="363"/>
      <c r="H14" s="363"/>
      <c r="I14" s="363"/>
      <c r="J14" s="363"/>
      <c r="K14" s="363"/>
      <c r="L14" s="363"/>
      <c r="M14" s="363"/>
      <c r="N14" s="363"/>
      <c r="O14" s="363"/>
      <c r="P14" s="139"/>
      <c r="Q14" s="139"/>
      <c r="R14" s="139"/>
      <c r="S14" s="139"/>
      <c r="T14" s="139"/>
      <c r="U14" s="139"/>
      <c r="V14" s="139"/>
      <c r="W14" s="139"/>
      <c r="X14" s="139"/>
      <c r="Y14" s="139"/>
      <c r="Z14" s="139"/>
    </row>
    <row r="15" spans="1:28" s="137" customFormat="1" ht="15.75" x14ac:dyDescent="0.2">
      <c r="A15" s="357" t="str">
        <f>'1. паспорт местоположение'!A15:C15</f>
        <v>Реконструкция ТП-4  15/0,4кВ п.Северный, Багратионовского р-на</v>
      </c>
      <c r="B15" s="357"/>
      <c r="C15" s="357"/>
      <c r="D15" s="357"/>
      <c r="E15" s="357"/>
      <c r="F15" s="357"/>
      <c r="G15" s="357"/>
      <c r="H15" s="357"/>
      <c r="I15" s="357"/>
      <c r="J15" s="357"/>
      <c r="K15" s="357"/>
      <c r="L15" s="357"/>
      <c r="M15" s="357"/>
      <c r="N15" s="357"/>
      <c r="O15" s="357"/>
      <c r="P15" s="140"/>
      <c r="Q15" s="140"/>
      <c r="R15" s="140"/>
      <c r="S15" s="140"/>
      <c r="T15" s="140"/>
      <c r="U15" s="140"/>
      <c r="V15" s="140"/>
      <c r="W15" s="140"/>
      <c r="X15" s="140"/>
      <c r="Y15" s="140"/>
      <c r="Z15" s="140"/>
    </row>
    <row r="16" spans="1:28" s="137" customFormat="1" ht="15" customHeight="1" x14ac:dyDescent="0.2">
      <c r="A16" s="358" t="s">
        <v>4</v>
      </c>
      <c r="B16" s="358"/>
      <c r="C16" s="358"/>
      <c r="D16" s="358"/>
      <c r="E16" s="358"/>
      <c r="F16" s="358"/>
      <c r="G16" s="358"/>
      <c r="H16" s="358"/>
      <c r="I16" s="358"/>
      <c r="J16" s="358"/>
      <c r="K16" s="358"/>
      <c r="L16" s="358"/>
      <c r="M16" s="358"/>
      <c r="N16" s="358"/>
      <c r="O16" s="358"/>
      <c r="P16" s="141"/>
      <c r="Q16" s="141"/>
      <c r="R16" s="141"/>
      <c r="S16" s="141"/>
      <c r="T16" s="141"/>
      <c r="U16" s="141"/>
      <c r="V16" s="141"/>
      <c r="W16" s="141"/>
      <c r="X16" s="141"/>
      <c r="Y16" s="141"/>
      <c r="Z16" s="141"/>
    </row>
    <row r="17" spans="1:26" s="137" customFormat="1" ht="15" customHeight="1" x14ac:dyDescent="0.2">
      <c r="A17" s="359"/>
      <c r="B17" s="359"/>
      <c r="C17" s="359"/>
      <c r="D17" s="359"/>
      <c r="E17" s="359"/>
      <c r="F17" s="359"/>
      <c r="G17" s="359"/>
      <c r="H17" s="359"/>
      <c r="I17" s="359"/>
      <c r="J17" s="359"/>
      <c r="K17" s="359"/>
      <c r="L17" s="359"/>
      <c r="M17" s="359"/>
      <c r="N17" s="359"/>
      <c r="O17" s="359"/>
      <c r="P17" s="142"/>
      <c r="Q17" s="142"/>
      <c r="R17" s="142"/>
      <c r="S17" s="142"/>
      <c r="T17" s="142"/>
      <c r="U17" s="142"/>
      <c r="V17" s="142"/>
      <c r="W17" s="142"/>
    </row>
    <row r="18" spans="1:26" s="137" customFormat="1" ht="91.5" customHeight="1" x14ac:dyDescent="0.2">
      <c r="A18" s="399" t="s">
        <v>390</v>
      </c>
      <c r="B18" s="399"/>
      <c r="C18" s="399"/>
      <c r="D18" s="399"/>
      <c r="E18" s="399"/>
      <c r="F18" s="399"/>
      <c r="G18" s="399"/>
      <c r="H18" s="399"/>
      <c r="I18" s="399"/>
      <c r="J18" s="399"/>
      <c r="K18" s="399"/>
      <c r="L18" s="399"/>
      <c r="M18" s="399"/>
      <c r="N18" s="399"/>
      <c r="O18" s="399"/>
      <c r="P18" s="143"/>
      <c r="Q18" s="143"/>
      <c r="R18" s="143"/>
      <c r="S18" s="143"/>
      <c r="T18" s="143"/>
      <c r="U18" s="143"/>
      <c r="V18" s="143"/>
      <c r="W18" s="143"/>
      <c r="X18" s="143"/>
      <c r="Y18" s="143"/>
      <c r="Z18" s="143"/>
    </row>
    <row r="19" spans="1:26" s="137" customFormat="1" ht="78" customHeight="1" x14ac:dyDescent="0.2">
      <c r="A19" s="400" t="s">
        <v>3</v>
      </c>
      <c r="B19" s="400" t="s">
        <v>82</v>
      </c>
      <c r="C19" s="400" t="s">
        <v>81</v>
      </c>
      <c r="D19" s="400" t="s">
        <v>73</v>
      </c>
      <c r="E19" s="401" t="s">
        <v>80</v>
      </c>
      <c r="F19" s="402"/>
      <c r="G19" s="402"/>
      <c r="H19" s="402"/>
      <c r="I19" s="403"/>
      <c r="J19" s="400" t="s">
        <v>79</v>
      </c>
      <c r="K19" s="400"/>
      <c r="L19" s="400"/>
      <c r="M19" s="400"/>
      <c r="N19" s="400"/>
      <c r="O19" s="400"/>
      <c r="P19" s="142"/>
      <c r="Q19" s="142"/>
      <c r="R19" s="142"/>
      <c r="S19" s="142"/>
      <c r="T19" s="142"/>
      <c r="U19" s="142"/>
      <c r="V19" s="142"/>
      <c r="W19" s="142"/>
    </row>
    <row r="20" spans="1:26" s="137" customFormat="1" ht="51" customHeight="1" x14ac:dyDescent="0.2">
      <c r="A20" s="400"/>
      <c r="B20" s="400"/>
      <c r="C20" s="400"/>
      <c r="D20" s="400"/>
      <c r="E20" s="216" t="s">
        <v>78</v>
      </c>
      <c r="F20" s="216" t="s">
        <v>77</v>
      </c>
      <c r="G20" s="216" t="s">
        <v>76</v>
      </c>
      <c r="H20" s="216" t="s">
        <v>75</v>
      </c>
      <c r="I20" s="216" t="s">
        <v>74</v>
      </c>
      <c r="J20" s="216">
        <v>2018</v>
      </c>
      <c r="K20" s="216">
        <v>2019</v>
      </c>
      <c r="L20" s="216">
        <v>2020</v>
      </c>
      <c r="M20" s="216">
        <v>2021</v>
      </c>
      <c r="N20" s="216">
        <v>2022</v>
      </c>
      <c r="O20" s="216">
        <v>2023</v>
      </c>
      <c r="P20" s="146"/>
      <c r="Q20" s="146"/>
      <c r="R20" s="146"/>
      <c r="S20" s="146"/>
      <c r="T20" s="146"/>
      <c r="U20" s="146"/>
      <c r="V20" s="146"/>
      <c r="W20" s="146"/>
      <c r="X20" s="147"/>
      <c r="Y20" s="147"/>
      <c r="Z20" s="147"/>
    </row>
    <row r="21" spans="1:26" s="137"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6"/>
      <c r="Q21" s="146"/>
      <c r="R21" s="146"/>
      <c r="S21" s="146"/>
      <c r="T21" s="146"/>
      <c r="U21" s="146"/>
      <c r="V21" s="146"/>
      <c r="W21" s="146"/>
      <c r="X21" s="147"/>
      <c r="Y21" s="147"/>
      <c r="Z21" s="147"/>
    </row>
    <row r="22" spans="1:26" s="137" customFormat="1" ht="18.75" x14ac:dyDescent="0.2">
      <c r="A22" s="217" t="s">
        <v>62</v>
      </c>
      <c r="B22" s="218" t="s">
        <v>547</v>
      </c>
      <c r="C22" s="219">
        <v>0</v>
      </c>
      <c r="D22" s="219">
        <v>0</v>
      </c>
      <c r="E22" s="219">
        <v>0</v>
      </c>
      <c r="F22" s="219">
        <v>0</v>
      </c>
      <c r="G22" s="219">
        <v>0</v>
      </c>
      <c r="H22" s="219">
        <v>0</v>
      </c>
      <c r="I22" s="219">
        <v>0</v>
      </c>
      <c r="J22" s="220">
        <v>0</v>
      </c>
      <c r="K22" s="220">
        <v>0</v>
      </c>
      <c r="L22" s="221">
        <v>0</v>
      </c>
      <c r="M22" s="221">
        <v>0</v>
      </c>
      <c r="N22" s="221">
        <v>0</v>
      </c>
      <c r="O22" s="221">
        <v>0</v>
      </c>
      <c r="P22" s="146"/>
      <c r="Q22" s="146"/>
      <c r="R22" s="146"/>
      <c r="S22" s="146"/>
      <c r="T22" s="146"/>
      <c r="U22" s="146"/>
      <c r="V22" s="147"/>
      <c r="W22" s="147"/>
      <c r="X22" s="147"/>
      <c r="Y22" s="147"/>
      <c r="Z22" s="147"/>
    </row>
    <row r="23" spans="1:26" x14ac:dyDescent="0.25">
      <c r="A23" s="151"/>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row>
    <row r="24" spans="1:26" x14ac:dyDescent="0.25">
      <c r="A24" s="151"/>
      <c r="B24" s="151"/>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row>
    <row r="25" spans="1:26" x14ac:dyDescent="0.25">
      <c r="A25" s="151"/>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row>
    <row r="26" spans="1:26" x14ac:dyDescent="0.25">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row>
    <row r="27" spans="1:26" x14ac:dyDescent="0.25">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row>
    <row r="28" spans="1:26" x14ac:dyDescent="0.25">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row>
    <row r="29" spans="1:26" x14ac:dyDescent="0.2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row>
    <row r="30" spans="1:26" x14ac:dyDescent="0.2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row>
    <row r="31" spans="1:26" x14ac:dyDescent="0.2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row>
    <row r="32" spans="1:26" x14ac:dyDescent="0.2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row>
    <row r="33" spans="1:26"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row>
    <row r="34" spans="1:26"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row>
    <row r="35" spans="1:26"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row>
    <row r="36" spans="1:26"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row>
    <row r="37" spans="1:26"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row>
    <row r="38" spans="1:26"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row>
    <row r="39" spans="1:26"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row>
    <row r="40" spans="1:26"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row>
    <row r="41" spans="1:26"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row>
    <row r="42" spans="1:26"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row>
    <row r="43" spans="1:26"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row>
    <row r="44" spans="1:26"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row>
    <row r="45" spans="1:26"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row>
    <row r="46" spans="1:26"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row>
    <row r="47" spans="1:26"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row>
    <row r="48" spans="1:26"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row>
    <row r="49" spans="1:26"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row>
    <row r="50" spans="1:26"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row>
    <row r="51" spans="1:26"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row>
    <row r="52" spans="1:26"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row>
    <row r="53" spans="1:26"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row>
    <row r="54" spans="1:26"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row>
    <row r="55" spans="1:26"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row>
    <row r="56" spans="1:26"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row>
    <row r="57" spans="1:26"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row>
    <row r="58" spans="1:26"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row>
    <row r="59" spans="1:26"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row>
    <row r="60" spans="1:26"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row>
    <row r="61" spans="1:26"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row>
    <row r="62" spans="1:26"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row>
    <row r="63" spans="1:26"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row>
    <row r="64" spans="1:26"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row>
    <row r="65" spans="1:26"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row>
    <row r="66" spans="1:26"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row>
    <row r="67" spans="1:26"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row>
    <row r="68" spans="1:26"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row>
    <row r="69" spans="1:26"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row>
    <row r="70" spans="1:26"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row>
    <row r="71" spans="1:26" x14ac:dyDescent="0.2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row>
    <row r="72" spans="1:26" x14ac:dyDescent="0.2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row>
    <row r="73" spans="1:26" x14ac:dyDescent="0.2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row>
    <row r="74" spans="1:26" x14ac:dyDescent="0.2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row>
    <row r="75" spans="1:26" x14ac:dyDescent="0.2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row>
    <row r="76" spans="1:26" x14ac:dyDescent="0.2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row>
    <row r="77" spans="1:26" x14ac:dyDescent="0.2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row>
    <row r="78" spans="1:26" x14ac:dyDescent="0.2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row>
    <row r="79" spans="1:26" x14ac:dyDescent="0.2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row>
    <row r="80" spans="1:26" x14ac:dyDescent="0.2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row>
    <row r="81" spans="1:26"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row>
    <row r="82" spans="1:26" x14ac:dyDescent="0.2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row>
    <row r="83" spans="1:26" x14ac:dyDescent="0.2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row>
    <row r="84" spans="1:26" x14ac:dyDescent="0.2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row>
    <row r="85" spans="1:26" x14ac:dyDescent="0.2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row>
    <row r="86" spans="1:26" x14ac:dyDescent="0.2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row>
    <row r="87" spans="1:26" x14ac:dyDescent="0.2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row>
    <row r="88" spans="1:26" x14ac:dyDescent="0.2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row>
    <row r="89" spans="1:26" x14ac:dyDescent="0.2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row>
    <row r="90" spans="1:26" x14ac:dyDescent="0.2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row>
    <row r="91" spans="1:26" x14ac:dyDescent="0.2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row>
    <row r="92" spans="1:26" x14ac:dyDescent="0.2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row>
    <row r="93" spans="1:26" x14ac:dyDescent="0.2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row>
    <row r="94" spans="1:26" x14ac:dyDescent="0.2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row>
    <row r="95" spans="1:26" x14ac:dyDescent="0.2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row>
    <row r="96" spans="1:26" x14ac:dyDescent="0.2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row>
    <row r="97" spans="1:26" x14ac:dyDescent="0.2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row>
    <row r="98" spans="1:26" x14ac:dyDescent="0.2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row>
    <row r="99" spans="1:26" x14ac:dyDescent="0.2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row>
    <row r="100" spans="1:26" x14ac:dyDescent="0.2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row>
    <row r="101" spans="1:26" x14ac:dyDescent="0.2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row>
    <row r="102" spans="1:26" x14ac:dyDescent="0.2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row>
    <row r="103" spans="1:26" x14ac:dyDescent="0.2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row>
    <row r="104" spans="1:26" x14ac:dyDescent="0.2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row>
    <row r="105" spans="1:26" x14ac:dyDescent="0.2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row>
    <row r="106" spans="1:26" x14ac:dyDescent="0.2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row>
    <row r="107" spans="1:26" x14ac:dyDescent="0.2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row>
    <row r="108" spans="1:26" x14ac:dyDescent="0.2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row>
    <row r="109" spans="1:26" x14ac:dyDescent="0.2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row>
    <row r="110" spans="1:26" x14ac:dyDescent="0.2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row>
    <row r="111" spans="1:26" x14ac:dyDescent="0.2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row>
    <row r="112" spans="1:26" x14ac:dyDescent="0.2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row>
    <row r="113" spans="1:26" x14ac:dyDescent="0.2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row>
    <row r="114" spans="1:26" x14ac:dyDescent="0.2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row>
    <row r="115" spans="1:26" x14ac:dyDescent="0.2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row>
    <row r="116" spans="1:26" x14ac:dyDescent="0.2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row>
    <row r="117" spans="1:26" x14ac:dyDescent="0.2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row>
    <row r="118" spans="1:26" x14ac:dyDescent="0.2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row>
    <row r="119" spans="1:26" x14ac:dyDescent="0.2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row>
    <row r="120" spans="1:26" x14ac:dyDescent="0.2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row>
    <row r="121" spans="1:26" x14ac:dyDescent="0.2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row>
    <row r="122" spans="1:26" x14ac:dyDescent="0.2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row>
    <row r="123" spans="1:26" x14ac:dyDescent="0.2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row>
    <row r="124" spans="1:26" x14ac:dyDescent="0.2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row>
    <row r="125" spans="1:26" x14ac:dyDescent="0.2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row>
    <row r="126" spans="1:26" x14ac:dyDescent="0.2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row>
    <row r="127" spans="1:26" x14ac:dyDescent="0.2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row>
    <row r="128" spans="1:26" x14ac:dyDescent="0.2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row>
    <row r="129" spans="1:26" x14ac:dyDescent="0.2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row>
    <row r="130" spans="1:26" x14ac:dyDescent="0.2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row>
    <row r="131" spans="1:26" x14ac:dyDescent="0.2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row>
    <row r="132" spans="1:26" x14ac:dyDescent="0.2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row>
    <row r="133" spans="1:26" x14ac:dyDescent="0.2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row>
    <row r="134" spans="1:26" x14ac:dyDescent="0.2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row>
    <row r="135" spans="1:26" x14ac:dyDescent="0.2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row>
    <row r="136" spans="1:26" x14ac:dyDescent="0.2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row>
    <row r="137" spans="1:26" x14ac:dyDescent="0.2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row>
    <row r="138" spans="1:26" x14ac:dyDescent="0.2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row>
    <row r="139" spans="1:26" x14ac:dyDescent="0.2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row>
    <row r="140" spans="1:26" x14ac:dyDescent="0.2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row>
    <row r="141" spans="1:26" x14ac:dyDescent="0.2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row>
    <row r="142" spans="1:26" x14ac:dyDescent="0.2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row>
    <row r="143" spans="1:26" x14ac:dyDescent="0.2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row>
    <row r="144" spans="1:26" x14ac:dyDescent="0.2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row>
    <row r="145" spans="1:26" x14ac:dyDescent="0.2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row>
    <row r="146" spans="1:26" x14ac:dyDescent="0.2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row>
    <row r="147" spans="1:26" x14ac:dyDescent="0.2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row>
    <row r="148" spans="1:26" x14ac:dyDescent="0.2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row>
    <row r="149" spans="1:26" x14ac:dyDescent="0.2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row>
    <row r="150" spans="1:26" x14ac:dyDescent="0.2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row>
    <row r="151" spans="1:26" x14ac:dyDescent="0.2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row>
    <row r="152" spans="1:26" x14ac:dyDescent="0.2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row>
    <row r="153" spans="1:26" x14ac:dyDescent="0.2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row>
    <row r="154" spans="1:26" x14ac:dyDescent="0.2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row>
    <row r="155" spans="1:26" x14ac:dyDescent="0.2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row>
    <row r="156" spans="1:26" x14ac:dyDescent="0.2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row>
    <row r="157" spans="1:26" x14ac:dyDescent="0.2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row>
    <row r="158" spans="1:26" x14ac:dyDescent="0.2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row>
    <row r="159" spans="1:26" x14ac:dyDescent="0.2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row>
    <row r="160" spans="1:26" x14ac:dyDescent="0.2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row>
    <row r="161" spans="1:26" x14ac:dyDescent="0.2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row>
    <row r="162" spans="1:26" x14ac:dyDescent="0.2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row>
    <row r="163" spans="1:26" x14ac:dyDescent="0.2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row>
    <row r="164" spans="1:26" x14ac:dyDescent="0.2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row>
    <row r="165" spans="1:26" x14ac:dyDescent="0.2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row>
    <row r="166" spans="1:26" x14ac:dyDescent="0.2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row>
    <row r="167" spans="1:26" x14ac:dyDescent="0.2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row>
    <row r="168" spans="1:26" x14ac:dyDescent="0.2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row>
    <row r="169" spans="1:26" x14ac:dyDescent="0.2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row>
    <row r="170" spans="1:26" x14ac:dyDescent="0.2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row>
    <row r="171" spans="1:26" x14ac:dyDescent="0.2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row>
    <row r="172" spans="1:26" x14ac:dyDescent="0.2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row>
    <row r="173" spans="1:26" x14ac:dyDescent="0.2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row>
    <row r="174" spans="1:26" x14ac:dyDescent="0.2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row>
    <row r="175" spans="1:26" x14ac:dyDescent="0.2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row>
    <row r="176" spans="1:26" x14ac:dyDescent="0.2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row>
    <row r="177" spans="1:26" x14ac:dyDescent="0.2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row>
    <row r="178" spans="1:26" x14ac:dyDescent="0.2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row>
    <row r="179" spans="1:26" x14ac:dyDescent="0.2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row>
    <row r="180" spans="1:26" x14ac:dyDescent="0.2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row>
    <row r="181" spans="1:26" x14ac:dyDescent="0.2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row>
    <row r="182" spans="1:26" x14ac:dyDescent="0.2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row>
    <row r="183" spans="1:26" x14ac:dyDescent="0.2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row>
    <row r="184" spans="1:26" x14ac:dyDescent="0.2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row>
    <row r="185" spans="1:26" x14ac:dyDescent="0.2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row>
    <row r="186" spans="1:26" x14ac:dyDescent="0.2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row>
    <row r="187" spans="1:26" x14ac:dyDescent="0.2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row>
    <row r="188" spans="1:26" x14ac:dyDescent="0.2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row>
    <row r="189" spans="1:26" x14ac:dyDescent="0.2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row>
    <row r="190" spans="1:26" x14ac:dyDescent="0.2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row>
    <row r="191" spans="1:26" x14ac:dyDescent="0.2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row>
    <row r="192" spans="1:26" x14ac:dyDescent="0.2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row>
    <row r="193" spans="1:26" x14ac:dyDescent="0.2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row>
    <row r="194" spans="1:26" x14ac:dyDescent="0.2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row>
    <row r="195" spans="1:26" x14ac:dyDescent="0.2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row>
    <row r="196" spans="1:26" x14ac:dyDescent="0.2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row>
    <row r="197" spans="1:26" x14ac:dyDescent="0.2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row>
    <row r="198" spans="1:26" x14ac:dyDescent="0.2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row>
    <row r="199" spans="1:26" x14ac:dyDescent="0.2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row>
    <row r="200" spans="1:26" x14ac:dyDescent="0.2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row>
    <row r="201" spans="1:26" x14ac:dyDescent="0.2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row>
    <row r="202" spans="1:26" x14ac:dyDescent="0.2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row>
    <row r="203" spans="1:26" x14ac:dyDescent="0.2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row>
    <row r="204" spans="1:26" x14ac:dyDescent="0.2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row>
    <row r="205" spans="1:26" x14ac:dyDescent="0.2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row>
    <row r="206" spans="1:26" x14ac:dyDescent="0.2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row>
    <row r="207" spans="1:26" x14ac:dyDescent="0.2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row>
    <row r="208" spans="1:26" x14ac:dyDescent="0.2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row>
    <row r="209" spans="1:26" x14ac:dyDescent="0.2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row>
    <row r="210" spans="1:26" x14ac:dyDescent="0.2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row>
    <row r="211" spans="1:26" x14ac:dyDescent="0.2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row>
    <row r="212" spans="1:26" x14ac:dyDescent="0.2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row>
    <row r="213" spans="1:26" x14ac:dyDescent="0.2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row>
    <row r="214" spans="1:26" x14ac:dyDescent="0.2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row>
    <row r="215" spans="1:26" x14ac:dyDescent="0.2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row>
    <row r="216" spans="1:26" x14ac:dyDescent="0.2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row>
    <row r="217" spans="1:26" x14ac:dyDescent="0.2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row>
    <row r="218" spans="1:26" x14ac:dyDescent="0.2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row>
    <row r="219" spans="1:26" x14ac:dyDescent="0.2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row>
    <row r="220" spans="1:26" x14ac:dyDescent="0.2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row>
    <row r="221" spans="1:26" x14ac:dyDescent="0.2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row>
    <row r="222" spans="1:26" x14ac:dyDescent="0.2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row>
    <row r="223" spans="1:26" x14ac:dyDescent="0.2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row>
    <row r="224" spans="1:26" x14ac:dyDescent="0.2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row>
    <row r="225" spans="1:26" x14ac:dyDescent="0.2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row>
    <row r="226" spans="1:26" x14ac:dyDescent="0.2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row>
    <row r="227" spans="1:26" x14ac:dyDescent="0.2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row>
    <row r="228" spans="1:26" x14ac:dyDescent="0.2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row>
    <row r="229" spans="1:26" x14ac:dyDescent="0.2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row>
    <row r="230" spans="1:26" x14ac:dyDescent="0.2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row>
    <row r="231" spans="1:26" x14ac:dyDescent="0.2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row>
    <row r="232" spans="1:26" x14ac:dyDescent="0.2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row>
    <row r="233" spans="1:26" x14ac:dyDescent="0.2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row>
    <row r="234" spans="1:26" x14ac:dyDescent="0.2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row>
    <row r="235" spans="1:26" x14ac:dyDescent="0.2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row>
    <row r="236" spans="1:26" x14ac:dyDescent="0.2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row>
    <row r="237" spans="1:26" x14ac:dyDescent="0.2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row>
    <row r="238" spans="1:26" x14ac:dyDescent="0.2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row>
    <row r="239" spans="1:26" x14ac:dyDescent="0.2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row>
    <row r="240" spans="1:26" x14ac:dyDescent="0.2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row>
    <row r="241" spans="1:26" x14ac:dyDescent="0.2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row>
    <row r="242" spans="1:26" x14ac:dyDescent="0.2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row>
    <row r="243" spans="1:26" x14ac:dyDescent="0.2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row>
    <row r="244" spans="1:26" x14ac:dyDescent="0.2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row>
    <row r="245" spans="1:26" x14ac:dyDescent="0.2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row>
    <row r="246" spans="1:26" x14ac:dyDescent="0.2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row>
    <row r="247" spans="1:26" x14ac:dyDescent="0.2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row>
    <row r="248" spans="1:26" x14ac:dyDescent="0.2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row>
    <row r="249" spans="1:26" x14ac:dyDescent="0.2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row>
    <row r="250" spans="1:26" x14ac:dyDescent="0.2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row>
    <row r="251" spans="1:26" x14ac:dyDescent="0.2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row>
    <row r="252" spans="1:26" x14ac:dyDescent="0.2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row>
    <row r="253" spans="1:26" x14ac:dyDescent="0.2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row>
    <row r="254" spans="1:26" x14ac:dyDescent="0.2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row>
    <row r="255" spans="1:26" x14ac:dyDescent="0.2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row>
    <row r="256" spans="1:26" x14ac:dyDescent="0.2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row>
    <row r="257" spans="1:26" x14ac:dyDescent="0.2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row>
    <row r="258" spans="1:26" x14ac:dyDescent="0.2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row>
    <row r="259" spans="1:26" x14ac:dyDescent="0.2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row>
    <row r="260" spans="1:26" x14ac:dyDescent="0.2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row>
    <row r="261" spans="1:26" x14ac:dyDescent="0.2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row>
    <row r="262" spans="1:26" x14ac:dyDescent="0.2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row>
    <row r="263" spans="1:26" x14ac:dyDescent="0.2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row>
    <row r="264" spans="1:26" x14ac:dyDescent="0.2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row>
    <row r="265" spans="1:26" x14ac:dyDescent="0.2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row>
    <row r="266" spans="1:26" x14ac:dyDescent="0.2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row>
    <row r="267" spans="1:26" x14ac:dyDescent="0.2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row>
    <row r="268" spans="1:26" x14ac:dyDescent="0.2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row>
    <row r="269" spans="1:26" x14ac:dyDescent="0.2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row>
    <row r="270" spans="1:26" x14ac:dyDescent="0.2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row>
    <row r="271" spans="1:26" x14ac:dyDescent="0.2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row>
    <row r="272" spans="1:26" x14ac:dyDescent="0.2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row>
    <row r="273" spans="1:26" x14ac:dyDescent="0.2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row>
    <row r="274" spans="1:26" x14ac:dyDescent="0.2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row>
    <row r="275" spans="1:26" x14ac:dyDescent="0.2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row>
    <row r="276" spans="1:26" x14ac:dyDescent="0.2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row>
    <row r="277" spans="1:26" x14ac:dyDescent="0.2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row>
    <row r="278" spans="1:26" x14ac:dyDescent="0.2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row>
    <row r="279" spans="1:26" x14ac:dyDescent="0.2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row>
    <row r="280" spans="1:26" x14ac:dyDescent="0.2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row>
    <row r="281" spans="1:26" x14ac:dyDescent="0.2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row>
    <row r="282" spans="1:26" x14ac:dyDescent="0.2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row>
    <row r="283" spans="1:26" x14ac:dyDescent="0.2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row>
    <row r="284" spans="1:26" x14ac:dyDescent="0.2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row>
    <row r="285" spans="1:26" x14ac:dyDescent="0.2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row>
    <row r="286" spans="1:26" x14ac:dyDescent="0.2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row>
    <row r="287" spans="1:26" x14ac:dyDescent="0.2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row>
    <row r="288" spans="1:26" x14ac:dyDescent="0.2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row>
    <row r="289" spans="1:26" x14ac:dyDescent="0.2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row>
    <row r="290" spans="1:26" x14ac:dyDescent="0.2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row>
    <row r="291" spans="1:26" x14ac:dyDescent="0.2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row>
    <row r="292" spans="1:26" x14ac:dyDescent="0.2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row>
    <row r="293" spans="1:26" x14ac:dyDescent="0.2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row>
    <row r="294" spans="1:26" x14ac:dyDescent="0.2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row>
    <row r="295" spans="1:26" x14ac:dyDescent="0.2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row>
    <row r="296" spans="1:26" x14ac:dyDescent="0.2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row>
    <row r="297" spans="1:26" x14ac:dyDescent="0.2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row>
    <row r="298" spans="1:26" x14ac:dyDescent="0.2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row>
    <row r="299" spans="1:26" x14ac:dyDescent="0.2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row>
    <row r="300" spans="1:26" x14ac:dyDescent="0.2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row>
    <row r="301" spans="1:26" x14ac:dyDescent="0.2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row>
    <row r="302" spans="1:26" x14ac:dyDescent="0.2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row>
    <row r="303" spans="1:26" x14ac:dyDescent="0.2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row>
    <row r="304" spans="1:26" x14ac:dyDescent="0.2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row>
    <row r="305" spans="1:26" x14ac:dyDescent="0.2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row>
    <row r="306" spans="1:26" x14ac:dyDescent="0.2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row>
    <row r="307" spans="1:26" x14ac:dyDescent="0.2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row>
    <row r="308" spans="1:26" x14ac:dyDescent="0.2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row>
    <row r="309" spans="1:26" x14ac:dyDescent="0.2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row>
    <row r="310" spans="1:26" x14ac:dyDescent="0.2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row>
    <row r="311" spans="1:26" x14ac:dyDescent="0.2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row>
    <row r="312" spans="1:26" x14ac:dyDescent="0.2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row>
    <row r="313" spans="1:26" x14ac:dyDescent="0.2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row>
    <row r="314" spans="1:26" x14ac:dyDescent="0.2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row>
    <row r="315" spans="1:26" x14ac:dyDescent="0.2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row>
    <row r="316" spans="1:26"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row>
    <row r="317" spans="1:26" x14ac:dyDescent="0.2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row>
    <row r="318" spans="1:26" x14ac:dyDescent="0.2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row>
    <row r="319" spans="1:26" x14ac:dyDescent="0.2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row>
    <row r="320" spans="1:26" x14ac:dyDescent="0.2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row>
    <row r="321" spans="1:26" x14ac:dyDescent="0.2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row>
    <row r="322" spans="1:26" x14ac:dyDescent="0.2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row>
    <row r="323" spans="1:26" x14ac:dyDescent="0.2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row>
    <row r="324" spans="1:26" x14ac:dyDescent="0.2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row>
    <row r="325" spans="1:26" x14ac:dyDescent="0.2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row>
    <row r="326" spans="1:26" x14ac:dyDescent="0.2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row>
    <row r="327" spans="1:26" x14ac:dyDescent="0.2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row>
    <row r="328" spans="1:26" x14ac:dyDescent="0.2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row>
    <row r="329" spans="1:26" x14ac:dyDescent="0.2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row>
    <row r="330" spans="1:26" x14ac:dyDescent="0.2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row>
    <row r="331" spans="1:26" x14ac:dyDescent="0.2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row>
    <row r="332" spans="1:26" x14ac:dyDescent="0.2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row>
    <row r="333" spans="1:26" x14ac:dyDescent="0.2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row>
    <row r="334" spans="1:26" x14ac:dyDescent="0.2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row>
    <row r="335" spans="1:26" x14ac:dyDescent="0.2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row>
    <row r="336" spans="1:26" x14ac:dyDescent="0.2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row>
    <row r="337" spans="1:26" x14ac:dyDescent="0.2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row>
    <row r="338" spans="1:26" x14ac:dyDescent="0.2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row>
    <row r="339" spans="1:26" x14ac:dyDescent="0.2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row>
    <row r="340" spans="1:26" x14ac:dyDescent="0.2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row>
    <row r="341" spans="1:26" x14ac:dyDescent="0.2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row>
    <row r="342" spans="1:26" x14ac:dyDescent="0.2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row>
    <row r="343" spans="1:26" x14ac:dyDescent="0.2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row>
    <row r="344" spans="1:26" x14ac:dyDescent="0.2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row>
    <row r="345" spans="1:26" x14ac:dyDescent="0.2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row>
    <row r="346" spans="1:26" x14ac:dyDescent="0.2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row>
    <row r="347" spans="1:26" x14ac:dyDescent="0.2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row>
    <row r="348" spans="1:26" x14ac:dyDescent="0.2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row>
    <row r="349" spans="1:26" x14ac:dyDescent="0.2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row>
    <row r="350" spans="1:26" x14ac:dyDescent="0.2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row>
    <row r="351" spans="1:26" x14ac:dyDescent="0.2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row>
    <row r="352" spans="1:26" x14ac:dyDescent="0.2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row>
    <row r="353" spans="1:26" x14ac:dyDescent="0.2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row>
    <row r="354" spans="1:26" x14ac:dyDescent="0.2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row>
    <row r="355" spans="1:26" x14ac:dyDescent="0.2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row>
    <row r="356" spans="1:26" x14ac:dyDescent="0.2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row>
    <row r="357" spans="1:26" x14ac:dyDescent="0.2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row>
    <row r="358" spans="1:26" x14ac:dyDescent="0.2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row>
    <row r="359" spans="1:26" x14ac:dyDescent="0.2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row>
    <row r="360" spans="1:26" x14ac:dyDescent="0.2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D1" workbookViewId="0">
      <selection activeCell="M67" sqref="M1:AF1048576"/>
    </sheetView>
  </sheetViews>
  <sheetFormatPr defaultRowHeight="12.75" x14ac:dyDescent="0.2"/>
  <cols>
    <col min="1" max="1" width="66.140625" style="258" customWidth="1"/>
    <col min="2" max="2" width="17.140625" style="258" customWidth="1"/>
    <col min="3" max="3" width="13.85546875" style="258" customWidth="1"/>
    <col min="4" max="5" width="13.5703125" style="258" customWidth="1"/>
    <col min="6" max="6" width="14.5703125" style="258" customWidth="1"/>
    <col min="7" max="7" width="13.42578125" style="258" customWidth="1"/>
    <col min="8" max="12" width="15.42578125" style="258" customWidth="1"/>
    <col min="13" max="13" width="15.42578125" style="258" hidden="1" customWidth="1"/>
    <col min="14" max="14" width="15.42578125" style="330" hidden="1" customWidth="1"/>
    <col min="15" max="19" width="15.42578125" style="258" hidden="1" customWidth="1"/>
    <col min="20" max="29" width="17.28515625" style="258" hidden="1" customWidth="1"/>
    <col min="30" max="31" width="17.28515625" style="248" hidden="1" customWidth="1"/>
    <col min="32" max="32" width="9.140625" style="248" hidden="1" customWidth="1"/>
    <col min="33" max="16384" width="9.140625" style="248"/>
  </cols>
  <sheetData>
    <row r="1" spans="1:45" x14ac:dyDescent="0.2">
      <c r="A1" s="245"/>
      <c r="B1" s="246"/>
      <c r="C1" s="246"/>
      <c r="D1" s="246"/>
      <c r="E1" s="246"/>
      <c r="F1" s="246"/>
      <c r="G1" s="246"/>
      <c r="H1" s="246"/>
      <c r="I1" s="246"/>
      <c r="J1" s="246"/>
      <c r="K1" s="247"/>
      <c r="L1" s="246"/>
      <c r="M1" s="246"/>
      <c r="N1" s="246"/>
      <c r="O1" s="246"/>
      <c r="P1" s="247" t="s">
        <v>66</v>
      </c>
      <c r="Q1" s="246"/>
      <c r="R1" s="246"/>
      <c r="S1" s="246"/>
      <c r="T1" s="246"/>
      <c r="U1" s="246"/>
      <c r="V1" s="246"/>
      <c r="W1" s="246"/>
      <c r="X1" s="246"/>
      <c r="Y1" s="246"/>
      <c r="Z1" s="246"/>
      <c r="AA1" s="246"/>
      <c r="AB1" s="246"/>
      <c r="AC1" s="246"/>
      <c r="AD1" s="246"/>
      <c r="AE1" s="246"/>
      <c r="AF1" s="246"/>
      <c r="AG1" s="246"/>
      <c r="AH1" s="246"/>
      <c r="AI1" s="246"/>
      <c r="AJ1" s="246"/>
      <c r="AK1" s="246"/>
      <c r="AL1" s="246"/>
      <c r="AM1" s="246"/>
      <c r="AN1" s="246"/>
      <c r="AP1" s="249"/>
      <c r="AQ1" s="249"/>
      <c r="AR1" s="250"/>
      <c r="AS1" s="250"/>
    </row>
    <row r="2" spans="1:45" x14ac:dyDescent="0.2">
      <c r="A2" s="245"/>
      <c r="B2" s="246"/>
      <c r="C2" s="246"/>
      <c r="D2" s="246"/>
      <c r="E2" s="246"/>
      <c r="F2" s="246"/>
      <c r="G2" s="246"/>
      <c r="H2" s="246"/>
      <c r="I2" s="246"/>
      <c r="J2" s="246"/>
      <c r="K2" s="251"/>
      <c r="L2" s="246"/>
      <c r="M2" s="246"/>
      <c r="N2" s="246"/>
      <c r="O2" s="246"/>
      <c r="P2" s="251" t="s">
        <v>8</v>
      </c>
      <c r="Q2" s="246"/>
      <c r="R2" s="246"/>
      <c r="S2" s="246"/>
      <c r="T2" s="246"/>
      <c r="U2" s="246"/>
      <c r="V2" s="246"/>
      <c r="W2" s="246"/>
      <c r="X2" s="246"/>
      <c r="Y2" s="246"/>
      <c r="Z2" s="246"/>
      <c r="AA2" s="246"/>
      <c r="AB2" s="246"/>
      <c r="AC2" s="246"/>
      <c r="AD2" s="246"/>
      <c r="AE2" s="246"/>
      <c r="AF2" s="246"/>
      <c r="AG2" s="246"/>
      <c r="AH2" s="246"/>
      <c r="AI2" s="246"/>
      <c r="AJ2" s="246"/>
      <c r="AK2" s="246"/>
      <c r="AL2" s="246"/>
      <c r="AM2" s="246"/>
      <c r="AN2" s="246"/>
      <c r="AP2" s="249"/>
      <c r="AQ2" s="249"/>
      <c r="AR2" s="250"/>
      <c r="AS2" s="250"/>
    </row>
    <row r="3" spans="1:45" x14ac:dyDescent="0.2">
      <c r="A3" s="252"/>
      <c r="B3" s="246"/>
      <c r="C3" s="246"/>
      <c r="D3" s="246"/>
      <c r="E3" s="246"/>
      <c r="F3" s="246"/>
      <c r="G3" s="246"/>
      <c r="H3" s="246"/>
      <c r="I3" s="246"/>
      <c r="J3" s="246"/>
      <c r="K3" s="251"/>
      <c r="L3" s="246"/>
      <c r="M3" s="246"/>
      <c r="N3" s="246"/>
      <c r="O3" s="246"/>
      <c r="P3" s="251" t="s">
        <v>441</v>
      </c>
      <c r="Q3" s="246"/>
      <c r="R3" s="246"/>
      <c r="S3" s="246"/>
      <c r="T3" s="246"/>
      <c r="U3" s="246"/>
      <c r="V3" s="246"/>
      <c r="W3" s="246"/>
      <c r="X3" s="246"/>
      <c r="Y3" s="246"/>
      <c r="Z3" s="246"/>
      <c r="AA3" s="246"/>
      <c r="AB3" s="246"/>
      <c r="AC3" s="246"/>
      <c r="AD3" s="246"/>
      <c r="AE3" s="246"/>
      <c r="AF3" s="246"/>
      <c r="AG3" s="246"/>
      <c r="AH3" s="246"/>
      <c r="AI3" s="246"/>
      <c r="AJ3" s="246"/>
      <c r="AK3" s="246"/>
      <c r="AL3" s="246"/>
      <c r="AM3" s="246"/>
      <c r="AN3" s="246"/>
      <c r="AP3" s="249"/>
      <c r="AQ3" s="249"/>
      <c r="AR3" s="250"/>
      <c r="AS3" s="250"/>
    </row>
    <row r="4" spans="1:45" x14ac:dyDescent="0.2">
      <c r="A4" s="253"/>
      <c r="B4" s="245"/>
      <c r="C4" s="245"/>
      <c r="D4" s="245"/>
      <c r="E4" s="245"/>
      <c r="F4" s="245"/>
      <c r="G4" s="245"/>
      <c r="H4" s="245"/>
      <c r="I4" s="245"/>
      <c r="J4" s="245"/>
      <c r="K4" s="251"/>
      <c r="L4" s="245"/>
      <c r="M4" s="245"/>
      <c r="N4" s="245"/>
      <c r="O4" s="245"/>
      <c r="P4" s="245"/>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c r="AP4" s="249"/>
      <c r="AQ4" s="249"/>
      <c r="AR4" s="250"/>
      <c r="AS4" s="250"/>
    </row>
    <row r="5" spans="1:45" x14ac:dyDescent="0.2">
      <c r="A5" s="412" t="str">
        <f>'1. паспорт местоположение'!A5:C5</f>
        <v>Год раскрытия информации: 2021 год</v>
      </c>
      <c r="B5" s="412"/>
      <c r="C5" s="412"/>
      <c r="D5" s="412"/>
      <c r="E5" s="412"/>
      <c r="F5" s="412"/>
      <c r="G5" s="412"/>
      <c r="H5" s="412"/>
      <c r="I5" s="412"/>
      <c r="J5" s="412"/>
      <c r="K5" s="412"/>
      <c r="L5" s="412"/>
      <c r="M5" s="412"/>
      <c r="N5" s="412"/>
      <c r="O5" s="412"/>
      <c r="P5" s="412"/>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49"/>
      <c r="AQ5" s="249"/>
      <c r="AR5" s="250"/>
      <c r="AS5" s="250"/>
    </row>
    <row r="6" spans="1:45" x14ac:dyDescent="0.2">
      <c r="A6" s="253"/>
      <c r="B6" s="245"/>
      <c r="C6" s="245"/>
      <c r="D6" s="245"/>
      <c r="E6" s="245"/>
      <c r="F6" s="245"/>
      <c r="G6" s="245"/>
      <c r="H6" s="245"/>
      <c r="I6" s="245"/>
      <c r="J6" s="245"/>
      <c r="K6" s="251"/>
      <c r="L6" s="245"/>
      <c r="M6" s="245"/>
      <c r="N6" s="245"/>
      <c r="O6" s="245"/>
      <c r="P6" s="245"/>
      <c r="Q6" s="246"/>
      <c r="R6" s="246"/>
      <c r="S6" s="246"/>
      <c r="T6" s="246"/>
      <c r="U6" s="246"/>
      <c r="V6" s="246"/>
      <c r="W6" s="246"/>
      <c r="X6" s="246"/>
      <c r="Y6" s="246"/>
      <c r="Z6" s="246"/>
      <c r="AA6" s="246"/>
      <c r="AB6" s="246"/>
      <c r="AC6" s="246"/>
      <c r="AD6" s="246"/>
      <c r="AE6" s="246"/>
      <c r="AF6" s="246"/>
      <c r="AG6" s="246"/>
      <c r="AH6" s="246"/>
      <c r="AI6" s="246"/>
      <c r="AJ6" s="246"/>
      <c r="AK6" s="246"/>
      <c r="AL6" s="246"/>
      <c r="AM6" s="246"/>
      <c r="AN6" s="246"/>
      <c r="AO6" s="246"/>
      <c r="AP6" s="249"/>
      <c r="AQ6" s="249"/>
      <c r="AR6" s="250"/>
      <c r="AS6" s="250"/>
    </row>
    <row r="7" spans="1:45" x14ac:dyDescent="0.2">
      <c r="A7" s="412" t="s">
        <v>7</v>
      </c>
      <c r="B7" s="412"/>
      <c r="C7" s="412"/>
      <c r="D7" s="412"/>
      <c r="E7" s="412"/>
      <c r="F7" s="412"/>
      <c r="G7" s="412"/>
      <c r="H7" s="412"/>
      <c r="I7" s="412"/>
      <c r="J7" s="412"/>
      <c r="K7" s="412"/>
      <c r="L7" s="412"/>
      <c r="M7" s="412"/>
      <c r="N7" s="412"/>
      <c r="O7" s="412"/>
      <c r="P7" s="412"/>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49"/>
      <c r="AQ7" s="249"/>
      <c r="AR7" s="250"/>
      <c r="AS7" s="250"/>
    </row>
    <row r="8" spans="1:45" x14ac:dyDescent="0.2">
      <c r="A8" s="256"/>
      <c r="B8" s="256"/>
      <c r="C8" s="256"/>
      <c r="D8" s="256"/>
      <c r="E8" s="256"/>
      <c r="F8" s="256"/>
      <c r="G8" s="256"/>
      <c r="H8" s="256"/>
      <c r="I8" s="256"/>
      <c r="J8" s="256"/>
      <c r="K8" s="256"/>
      <c r="L8" s="254"/>
      <c r="M8" s="254"/>
      <c r="N8" s="254"/>
      <c r="O8" s="254"/>
      <c r="P8" s="254"/>
      <c r="Q8" s="255"/>
      <c r="R8" s="255"/>
      <c r="S8" s="255"/>
      <c r="T8" s="255"/>
      <c r="U8" s="255"/>
      <c r="V8" s="255"/>
      <c r="W8" s="255"/>
      <c r="X8" s="255"/>
      <c r="Y8" s="255"/>
      <c r="Z8" s="246"/>
      <c r="AA8" s="246"/>
      <c r="AB8" s="246"/>
      <c r="AC8" s="246"/>
      <c r="AD8" s="246"/>
      <c r="AE8" s="246"/>
      <c r="AF8" s="246"/>
      <c r="AG8" s="246"/>
      <c r="AH8" s="246"/>
      <c r="AI8" s="246"/>
      <c r="AJ8" s="246"/>
      <c r="AK8" s="246"/>
      <c r="AL8" s="246"/>
      <c r="AM8" s="246"/>
      <c r="AN8" s="246"/>
      <c r="AO8" s="246"/>
      <c r="AP8" s="249"/>
      <c r="AQ8" s="249"/>
      <c r="AR8" s="250"/>
      <c r="AS8" s="250"/>
    </row>
    <row r="9" spans="1:45" x14ac:dyDescent="0.2">
      <c r="A9" s="413" t="str">
        <f>'1. паспорт местоположение'!A9:C9</f>
        <v xml:space="preserve">Акционерное общество "Западная энергетическая компания" </v>
      </c>
      <c r="B9" s="413"/>
      <c r="C9" s="413"/>
      <c r="D9" s="413"/>
      <c r="E9" s="413"/>
      <c r="F9" s="413"/>
      <c r="G9" s="413"/>
      <c r="H9" s="413"/>
      <c r="I9" s="413"/>
      <c r="J9" s="413"/>
      <c r="K9" s="413"/>
      <c r="L9" s="413"/>
      <c r="M9" s="413"/>
      <c r="N9" s="413"/>
      <c r="O9" s="413"/>
      <c r="P9" s="413"/>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49"/>
      <c r="AQ9" s="249"/>
      <c r="AR9" s="250"/>
      <c r="AS9" s="250"/>
    </row>
    <row r="10" spans="1:45" x14ac:dyDescent="0.2">
      <c r="A10" s="411" t="s">
        <v>6</v>
      </c>
      <c r="B10" s="411"/>
      <c r="C10" s="411"/>
      <c r="D10" s="411"/>
      <c r="E10" s="411"/>
      <c r="F10" s="411"/>
      <c r="G10" s="411"/>
      <c r="H10" s="411"/>
      <c r="I10" s="411"/>
      <c r="J10" s="411"/>
      <c r="K10" s="411"/>
      <c r="L10" s="411"/>
      <c r="M10" s="411"/>
      <c r="N10" s="411"/>
      <c r="O10" s="411"/>
      <c r="P10" s="411"/>
      <c r="AD10" s="258"/>
      <c r="AE10" s="258"/>
      <c r="AF10" s="258"/>
      <c r="AG10" s="258"/>
      <c r="AH10" s="258"/>
      <c r="AI10" s="258"/>
      <c r="AJ10" s="258"/>
      <c r="AK10" s="258"/>
      <c r="AL10" s="258"/>
      <c r="AM10" s="258"/>
      <c r="AN10" s="258"/>
      <c r="AO10" s="258"/>
      <c r="AP10" s="249"/>
      <c r="AQ10" s="249"/>
      <c r="AR10" s="250"/>
      <c r="AS10" s="250"/>
    </row>
    <row r="11" spans="1:45" x14ac:dyDescent="0.2">
      <c r="A11" s="256"/>
      <c r="B11" s="256"/>
      <c r="C11" s="256"/>
      <c r="D11" s="256"/>
      <c r="E11" s="256"/>
      <c r="F11" s="256"/>
      <c r="G11" s="256"/>
      <c r="H11" s="256"/>
      <c r="I11" s="256"/>
      <c r="J11" s="256"/>
      <c r="K11" s="256"/>
      <c r="L11" s="254"/>
      <c r="M11" s="254"/>
      <c r="N11" s="254"/>
      <c r="O11" s="254"/>
      <c r="P11" s="254"/>
      <c r="Q11" s="255"/>
      <c r="R11" s="255"/>
      <c r="S11" s="255"/>
      <c r="T11" s="255"/>
      <c r="U11" s="255"/>
      <c r="V11" s="255"/>
      <c r="W11" s="255"/>
      <c r="X11" s="255"/>
      <c r="Y11" s="255"/>
      <c r="Z11" s="246"/>
      <c r="AA11" s="246"/>
      <c r="AB11" s="246"/>
      <c r="AC11" s="246"/>
      <c r="AD11" s="246"/>
      <c r="AE11" s="246"/>
      <c r="AF11" s="246"/>
      <c r="AG11" s="246"/>
      <c r="AH11" s="246"/>
      <c r="AI11" s="246"/>
      <c r="AJ11" s="246"/>
      <c r="AK11" s="246"/>
      <c r="AL11" s="246"/>
      <c r="AM11" s="246"/>
      <c r="AN11" s="246"/>
      <c r="AO11" s="246"/>
      <c r="AP11" s="249"/>
      <c r="AQ11" s="249"/>
      <c r="AR11" s="250"/>
      <c r="AS11" s="250"/>
    </row>
    <row r="12" spans="1:45" x14ac:dyDescent="0.2">
      <c r="A12" s="413" t="str">
        <f>'1. паспорт местоположение'!A12:C12</f>
        <v>J_19-08</v>
      </c>
      <c r="B12" s="413"/>
      <c r="C12" s="413"/>
      <c r="D12" s="413"/>
      <c r="E12" s="413"/>
      <c r="F12" s="413"/>
      <c r="G12" s="413"/>
      <c r="H12" s="413"/>
      <c r="I12" s="413"/>
      <c r="J12" s="413"/>
      <c r="K12" s="413"/>
      <c r="L12" s="413"/>
      <c r="M12" s="413"/>
      <c r="N12" s="413"/>
      <c r="O12" s="413"/>
      <c r="P12" s="413"/>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49"/>
      <c r="AQ12" s="249"/>
      <c r="AR12" s="250"/>
      <c r="AS12" s="250"/>
    </row>
    <row r="13" spans="1:45" x14ac:dyDescent="0.2">
      <c r="A13" s="411" t="s">
        <v>5</v>
      </c>
      <c r="B13" s="411"/>
      <c r="C13" s="411"/>
      <c r="D13" s="411"/>
      <c r="E13" s="411"/>
      <c r="F13" s="411"/>
      <c r="G13" s="411"/>
      <c r="H13" s="411"/>
      <c r="I13" s="411"/>
      <c r="J13" s="411"/>
      <c r="K13" s="411"/>
      <c r="L13" s="411"/>
      <c r="M13" s="411"/>
      <c r="N13" s="411"/>
      <c r="O13" s="411"/>
      <c r="P13" s="411"/>
      <c r="AD13" s="258"/>
      <c r="AE13" s="258"/>
      <c r="AF13" s="258"/>
      <c r="AG13" s="258"/>
      <c r="AH13" s="258"/>
      <c r="AI13" s="258"/>
      <c r="AJ13" s="258"/>
      <c r="AK13" s="258"/>
      <c r="AL13" s="258"/>
      <c r="AM13" s="258"/>
      <c r="AN13" s="258"/>
      <c r="AO13" s="258"/>
      <c r="AP13" s="249"/>
      <c r="AQ13" s="249"/>
      <c r="AR13" s="250"/>
      <c r="AS13" s="250"/>
    </row>
    <row r="14" spans="1:45" x14ac:dyDescent="0.2">
      <c r="A14" s="259"/>
      <c r="B14" s="259"/>
      <c r="C14" s="259"/>
      <c r="D14" s="259"/>
      <c r="E14" s="259"/>
      <c r="F14" s="259"/>
      <c r="G14" s="259"/>
      <c r="H14" s="259"/>
      <c r="I14" s="259"/>
      <c r="J14" s="259"/>
      <c r="K14" s="259"/>
      <c r="L14" s="259"/>
      <c r="M14" s="259"/>
      <c r="N14" s="259"/>
      <c r="O14" s="259"/>
      <c r="P14" s="259"/>
      <c r="Q14" s="260"/>
      <c r="R14" s="260"/>
      <c r="S14" s="260"/>
      <c r="T14" s="260"/>
      <c r="U14" s="260"/>
      <c r="V14" s="260"/>
      <c r="W14" s="260"/>
      <c r="X14" s="260"/>
      <c r="Y14" s="260"/>
      <c r="Z14" s="246"/>
      <c r="AA14" s="246"/>
      <c r="AB14" s="246"/>
      <c r="AC14" s="246"/>
      <c r="AD14" s="246"/>
      <c r="AE14" s="246"/>
      <c r="AF14" s="246"/>
      <c r="AG14" s="246"/>
      <c r="AH14" s="246"/>
      <c r="AI14" s="246"/>
      <c r="AJ14" s="246"/>
      <c r="AK14" s="246"/>
      <c r="AL14" s="246"/>
      <c r="AM14" s="246"/>
      <c r="AN14" s="246"/>
      <c r="AO14" s="246"/>
      <c r="AP14" s="249"/>
      <c r="AQ14" s="249"/>
      <c r="AR14" s="250"/>
      <c r="AS14" s="250"/>
    </row>
    <row r="15" spans="1:45" x14ac:dyDescent="0.2">
      <c r="A15" s="408" t="str">
        <f>'1. паспорт местоположение'!A15:C15</f>
        <v>Реконструкция ТП-4  15/0,4кВ п.Северный, Багратионовского р-на</v>
      </c>
      <c r="B15" s="408"/>
      <c r="C15" s="408"/>
      <c r="D15" s="408"/>
      <c r="E15" s="408"/>
      <c r="F15" s="408"/>
      <c r="G15" s="408"/>
      <c r="H15" s="408"/>
      <c r="I15" s="408"/>
      <c r="J15" s="408"/>
      <c r="K15" s="408"/>
      <c r="L15" s="408"/>
      <c r="M15" s="408"/>
      <c r="N15" s="408"/>
      <c r="O15" s="408"/>
      <c r="P15" s="408"/>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49"/>
      <c r="AQ15" s="249"/>
      <c r="AR15" s="250"/>
      <c r="AS15" s="250"/>
    </row>
    <row r="16" spans="1:45" x14ac:dyDescent="0.2">
      <c r="A16" s="409" t="s">
        <v>4</v>
      </c>
      <c r="B16" s="409"/>
      <c r="C16" s="409"/>
      <c r="D16" s="409"/>
      <c r="E16" s="409"/>
      <c r="F16" s="409"/>
      <c r="G16" s="409"/>
      <c r="H16" s="409"/>
      <c r="I16" s="409"/>
      <c r="J16" s="409"/>
      <c r="K16" s="409"/>
      <c r="L16" s="409"/>
      <c r="M16" s="409"/>
      <c r="N16" s="409"/>
      <c r="O16" s="409"/>
      <c r="P16" s="409"/>
      <c r="AD16" s="258"/>
      <c r="AE16" s="258"/>
      <c r="AF16" s="258"/>
      <c r="AG16" s="258"/>
      <c r="AH16" s="258"/>
      <c r="AI16" s="258"/>
      <c r="AJ16" s="258"/>
      <c r="AK16" s="258"/>
      <c r="AL16" s="258"/>
      <c r="AM16" s="258"/>
      <c r="AN16" s="258"/>
      <c r="AO16" s="258"/>
      <c r="AP16" s="249"/>
      <c r="AQ16" s="249"/>
      <c r="AR16" s="250"/>
      <c r="AS16" s="250"/>
    </row>
    <row r="17" spans="1:45" x14ac:dyDescent="0.2">
      <c r="A17" s="260"/>
      <c r="B17" s="260"/>
      <c r="C17" s="260"/>
      <c r="D17" s="260"/>
      <c r="E17" s="260"/>
      <c r="F17" s="260"/>
      <c r="G17" s="260"/>
      <c r="H17" s="260"/>
      <c r="I17" s="260"/>
      <c r="J17" s="260"/>
      <c r="K17" s="260"/>
      <c r="L17" s="260"/>
      <c r="M17" s="260"/>
      <c r="N17" s="260"/>
      <c r="O17" s="260"/>
      <c r="P17" s="260"/>
      <c r="Q17" s="260"/>
      <c r="R17" s="260"/>
      <c r="S17" s="260"/>
      <c r="T17" s="260"/>
      <c r="U17" s="260"/>
      <c r="V17" s="260"/>
      <c r="W17" s="262"/>
      <c r="X17" s="262"/>
      <c r="Y17" s="262"/>
      <c r="Z17" s="262"/>
      <c r="AA17" s="262"/>
      <c r="AB17" s="262"/>
      <c r="AC17" s="262"/>
      <c r="AD17" s="262"/>
      <c r="AE17" s="262"/>
      <c r="AF17" s="262"/>
      <c r="AG17" s="262"/>
      <c r="AH17" s="262"/>
      <c r="AI17" s="262"/>
      <c r="AJ17" s="262"/>
      <c r="AK17" s="262"/>
      <c r="AL17" s="262"/>
      <c r="AM17" s="262"/>
      <c r="AN17" s="262"/>
      <c r="AO17" s="262"/>
      <c r="AP17" s="249"/>
      <c r="AQ17" s="249"/>
      <c r="AR17" s="250"/>
      <c r="AS17" s="250"/>
    </row>
    <row r="18" spans="1:45" x14ac:dyDescent="0.2">
      <c r="A18" s="410" t="s">
        <v>391</v>
      </c>
      <c r="B18" s="410"/>
      <c r="C18" s="410"/>
      <c r="D18" s="410"/>
      <c r="E18" s="410"/>
      <c r="F18" s="410"/>
      <c r="G18" s="410"/>
      <c r="H18" s="410"/>
      <c r="I18" s="410"/>
      <c r="J18" s="410"/>
      <c r="K18" s="410"/>
      <c r="L18" s="410"/>
      <c r="M18" s="410"/>
      <c r="N18" s="410"/>
      <c r="O18" s="410"/>
      <c r="P18" s="410"/>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49"/>
      <c r="AQ18" s="249"/>
      <c r="AR18" s="250"/>
      <c r="AS18" s="250"/>
    </row>
    <row r="19" spans="1:45" x14ac:dyDescent="0.2">
      <c r="A19" s="263"/>
      <c r="B19" s="263"/>
      <c r="C19" s="263"/>
      <c r="D19" s="263"/>
      <c r="E19" s="263"/>
      <c r="F19" s="263"/>
      <c r="G19" s="263"/>
      <c r="H19" s="263"/>
      <c r="I19" s="263"/>
      <c r="J19" s="263"/>
      <c r="K19" s="263"/>
      <c r="L19" s="263"/>
      <c r="M19" s="263"/>
      <c r="N19" s="263"/>
      <c r="O19" s="263"/>
      <c r="P19" s="263"/>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49"/>
      <c r="AQ19" s="249"/>
      <c r="AR19" s="250"/>
      <c r="AS19" s="250"/>
    </row>
    <row r="20" spans="1:45" x14ac:dyDescent="0.2">
      <c r="A20" s="263"/>
      <c r="B20" s="263"/>
      <c r="C20" s="263"/>
      <c r="D20" s="263"/>
      <c r="E20" s="263"/>
      <c r="F20" s="263"/>
      <c r="G20" s="263"/>
      <c r="H20" s="263"/>
      <c r="I20" s="263"/>
      <c r="J20" s="263"/>
      <c r="K20" s="263"/>
      <c r="L20" s="263"/>
      <c r="M20" s="263"/>
      <c r="N20" s="263"/>
      <c r="O20" s="263"/>
      <c r="P20" s="263"/>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49"/>
      <c r="AQ20" s="249"/>
      <c r="AR20" s="250"/>
      <c r="AS20" s="250"/>
    </row>
    <row r="21" spans="1:45" x14ac:dyDescent="0.2">
      <c r="A21" s="264"/>
      <c r="N21" s="258"/>
      <c r="AP21" s="249"/>
      <c r="AQ21" s="249"/>
      <c r="AR21" s="250"/>
      <c r="AS21" s="250"/>
    </row>
    <row r="22" spans="1:45" x14ac:dyDescent="0.2">
      <c r="A22" s="255"/>
      <c r="N22" s="258"/>
      <c r="AP22" s="249"/>
      <c r="AQ22" s="249"/>
      <c r="AR22" s="250"/>
      <c r="AS22" s="250"/>
    </row>
    <row r="23" spans="1:45" ht="13.5" thickBot="1" x14ac:dyDescent="0.25">
      <c r="A23" s="265" t="s">
        <v>288</v>
      </c>
      <c r="B23" s="265" t="s">
        <v>1</v>
      </c>
      <c r="D23" s="266"/>
      <c r="N23" s="258"/>
    </row>
    <row r="24" spans="1:45" ht="15" x14ac:dyDescent="0.2">
      <c r="A24" s="267" t="s">
        <v>427</v>
      </c>
      <c r="B24" s="228">
        <f>'6.2. Паспорт фин осв ввод'!D30*1000000</f>
        <v>6601680.7945099883</v>
      </c>
      <c r="N24" s="258"/>
    </row>
    <row r="25" spans="1:45" x14ac:dyDescent="0.2">
      <c r="A25" s="268" t="s">
        <v>286</v>
      </c>
      <c r="B25" s="269">
        <v>0</v>
      </c>
      <c r="N25" s="258"/>
    </row>
    <row r="26" spans="1:45" x14ac:dyDescent="0.2">
      <c r="A26" s="270" t="s">
        <v>284</v>
      </c>
      <c r="B26" s="269">
        <v>30</v>
      </c>
      <c r="D26" s="255" t="s">
        <v>287</v>
      </c>
      <c r="N26" s="258"/>
    </row>
    <row r="27" spans="1:45" ht="13.5" thickBot="1" x14ac:dyDescent="0.25">
      <c r="A27" s="271" t="s">
        <v>282</v>
      </c>
      <c r="B27" s="272">
        <v>1</v>
      </c>
      <c r="D27" s="404" t="s">
        <v>285</v>
      </c>
      <c r="E27" s="405"/>
      <c r="F27" s="406"/>
      <c r="G27" s="273" t="str">
        <f>IF(SUM(B89:AG89)=0,"не окупается",SUM(B89:AG89))</f>
        <v>не окупается</v>
      </c>
      <c r="H27" s="274"/>
      <c r="N27" s="258"/>
    </row>
    <row r="28" spans="1:45" ht="15" x14ac:dyDescent="0.2">
      <c r="A28" s="267" t="s">
        <v>281</v>
      </c>
      <c r="B28" s="228">
        <f>B24*0.001</f>
        <v>6601.6807945099881</v>
      </c>
      <c r="D28" s="404" t="s">
        <v>283</v>
      </c>
      <c r="E28" s="405"/>
      <c r="F28" s="406"/>
      <c r="G28" s="273" t="str">
        <f>IF(SUM(B90:AG90)=0,"не окупается",SUM(B90:AG90))</f>
        <v>не окупается</v>
      </c>
      <c r="H28" s="274"/>
      <c r="N28" s="258"/>
    </row>
    <row r="29" spans="1:45" x14ac:dyDescent="0.2">
      <c r="A29" s="270" t="s">
        <v>428</v>
      </c>
      <c r="B29" s="269">
        <v>6</v>
      </c>
      <c r="D29" s="404" t="s">
        <v>620</v>
      </c>
      <c r="E29" s="405"/>
      <c r="F29" s="406"/>
      <c r="G29" s="275">
        <f>L87</f>
        <v>-9679342.4309307765</v>
      </c>
      <c r="H29" s="276"/>
      <c r="N29" s="258"/>
    </row>
    <row r="30" spans="1:45" x14ac:dyDescent="0.2">
      <c r="A30" s="270" t="s">
        <v>280</v>
      </c>
      <c r="B30" s="269">
        <v>6</v>
      </c>
      <c r="D30" s="404"/>
      <c r="E30" s="405"/>
      <c r="F30" s="406"/>
      <c r="G30" s="277"/>
      <c r="H30" s="278"/>
      <c r="N30" s="258"/>
    </row>
    <row r="31" spans="1:45" x14ac:dyDescent="0.2">
      <c r="A31" s="270" t="s">
        <v>259</v>
      </c>
      <c r="B31" s="269">
        <v>0</v>
      </c>
      <c r="N31" s="258"/>
    </row>
    <row r="32" spans="1:45" x14ac:dyDescent="0.2">
      <c r="A32" s="270" t="s">
        <v>279</v>
      </c>
      <c r="B32" s="269">
        <v>1</v>
      </c>
      <c r="N32" s="258"/>
    </row>
    <row r="33" spans="1:31" x14ac:dyDescent="0.2">
      <c r="A33" s="270" t="s">
        <v>278</v>
      </c>
      <c r="B33" s="269">
        <v>1</v>
      </c>
      <c r="N33" s="258"/>
    </row>
    <row r="34" spans="1:31" x14ac:dyDescent="0.2">
      <c r="A34" s="279" t="s">
        <v>621</v>
      </c>
      <c r="B34" s="269">
        <f>B24*0.03</f>
        <v>198050.42383529965</v>
      </c>
      <c r="N34" s="258"/>
    </row>
    <row r="35" spans="1:31" ht="13.5" thickBot="1" x14ac:dyDescent="0.25">
      <c r="A35" s="280" t="s">
        <v>253</v>
      </c>
      <c r="B35" s="281">
        <v>0.2</v>
      </c>
      <c r="N35" s="258"/>
    </row>
    <row r="36" spans="1:31" x14ac:dyDescent="0.2">
      <c r="A36" s="267" t="s">
        <v>429</v>
      </c>
      <c r="B36" s="282">
        <v>0</v>
      </c>
      <c r="N36" s="258"/>
    </row>
    <row r="37" spans="1:31" x14ac:dyDescent="0.2">
      <c r="A37" s="268" t="s">
        <v>277</v>
      </c>
      <c r="B37" s="269"/>
      <c r="N37" s="258"/>
    </row>
    <row r="38" spans="1:31" ht="13.5" thickBot="1" x14ac:dyDescent="0.25">
      <c r="A38" s="279" t="s">
        <v>276</v>
      </c>
      <c r="B38" s="283"/>
      <c r="N38" s="258"/>
    </row>
    <row r="39" spans="1:31" x14ac:dyDescent="0.2">
      <c r="A39" s="284" t="s">
        <v>430</v>
      </c>
      <c r="B39" s="285">
        <v>1</v>
      </c>
      <c r="N39" s="258"/>
    </row>
    <row r="40" spans="1:31" x14ac:dyDescent="0.2">
      <c r="A40" s="286" t="s">
        <v>275</v>
      </c>
      <c r="B40" s="287"/>
      <c r="N40" s="258"/>
    </row>
    <row r="41" spans="1:31" x14ac:dyDescent="0.2">
      <c r="A41" s="286" t="s">
        <v>274</v>
      </c>
      <c r="B41" s="288"/>
      <c r="N41" s="258"/>
    </row>
    <row r="42" spans="1:31" x14ac:dyDescent="0.2">
      <c r="A42" s="286" t="s">
        <v>273</v>
      </c>
      <c r="B42" s="288">
        <v>0</v>
      </c>
      <c r="N42" s="258"/>
    </row>
    <row r="43" spans="1:31" x14ac:dyDescent="0.2">
      <c r="A43" s="286" t="s">
        <v>272</v>
      </c>
      <c r="B43" s="289">
        <v>9.8699999999999996E-2</v>
      </c>
      <c r="N43" s="258"/>
    </row>
    <row r="44" spans="1:31" x14ac:dyDescent="0.2">
      <c r="A44" s="286" t="s">
        <v>271</v>
      </c>
      <c r="B44" s="290">
        <v>1</v>
      </c>
      <c r="N44" s="258"/>
    </row>
    <row r="45" spans="1:31" ht="13.5" thickBot="1" x14ac:dyDescent="0.25">
      <c r="A45" s="291" t="s">
        <v>622</v>
      </c>
      <c r="B45" s="290">
        <f>B44*B43+B42*B41*(1-B35)</f>
        <v>9.8699999999999996E-2</v>
      </c>
      <c r="C45" s="292"/>
      <c r="N45" s="258"/>
    </row>
    <row r="46" spans="1:31" x14ac:dyDescent="0.2">
      <c r="A46" s="293" t="s">
        <v>270</v>
      </c>
      <c r="B46" s="294">
        <v>1</v>
      </c>
      <c r="C46" s="294">
        <v>2</v>
      </c>
      <c r="D46" s="294">
        <v>3</v>
      </c>
      <c r="E46" s="294">
        <v>4</v>
      </c>
      <c r="F46" s="294">
        <v>5</v>
      </c>
      <c r="G46" s="294">
        <v>6</v>
      </c>
      <c r="H46" s="294">
        <v>7</v>
      </c>
      <c r="I46" s="294">
        <v>8</v>
      </c>
      <c r="J46" s="294">
        <v>9</v>
      </c>
      <c r="K46" s="294">
        <v>10</v>
      </c>
      <c r="L46" s="294">
        <v>11</v>
      </c>
      <c r="M46" s="294">
        <v>12</v>
      </c>
      <c r="N46" s="294">
        <v>13</v>
      </c>
      <c r="O46" s="294">
        <v>14</v>
      </c>
      <c r="P46" s="294">
        <v>15</v>
      </c>
      <c r="Q46" s="294">
        <v>16</v>
      </c>
      <c r="R46" s="294">
        <v>17</v>
      </c>
      <c r="S46" s="294">
        <v>18</v>
      </c>
      <c r="T46" s="294">
        <v>19</v>
      </c>
      <c r="U46" s="294">
        <v>20</v>
      </c>
      <c r="V46" s="294">
        <v>21</v>
      </c>
      <c r="W46" s="294">
        <v>22</v>
      </c>
      <c r="X46" s="294">
        <v>23</v>
      </c>
      <c r="Y46" s="294">
        <v>24</v>
      </c>
      <c r="Z46" s="294">
        <v>25</v>
      </c>
      <c r="AA46" s="294">
        <v>26</v>
      </c>
      <c r="AB46" s="294">
        <v>27</v>
      </c>
      <c r="AC46" s="295">
        <v>28</v>
      </c>
      <c r="AD46" s="295">
        <v>29</v>
      </c>
      <c r="AE46" s="295">
        <v>30</v>
      </c>
    </row>
    <row r="47" spans="1:31" x14ac:dyDescent="0.2">
      <c r="A47" s="296" t="s">
        <v>269</v>
      </c>
      <c r="B47" s="297">
        <v>4.8000000000000001E-2</v>
      </c>
      <c r="C47" s="297">
        <v>4.7E-2</v>
      </c>
      <c r="D47" s="297">
        <v>4.7E-2</v>
      </c>
      <c r="E47" s="297">
        <v>4.7E-2</v>
      </c>
      <c r="F47" s="297">
        <v>4.7E-2</v>
      </c>
      <c r="G47" s="297">
        <v>4.7E-2</v>
      </c>
      <c r="H47" s="297">
        <v>4.7E-2</v>
      </c>
      <c r="I47" s="297">
        <v>4.7E-2</v>
      </c>
      <c r="J47" s="297">
        <v>4.7E-2</v>
      </c>
      <c r="K47" s="297">
        <v>4.7E-2</v>
      </c>
      <c r="L47" s="297">
        <v>4.7E-2</v>
      </c>
      <c r="M47" s="297">
        <v>4.7E-2</v>
      </c>
      <c r="N47" s="297">
        <v>4.7E-2</v>
      </c>
      <c r="O47" s="297">
        <v>4.7E-2</v>
      </c>
      <c r="P47" s="297">
        <v>4.7E-2</v>
      </c>
      <c r="Q47" s="297">
        <v>4.7E-2</v>
      </c>
      <c r="R47" s="297">
        <v>4.7E-2</v>
      </c>
      <c r="S47" s="297">
        <v>4.7E-2</v>
      </c>
      <c r="T47" s="297">
        <v>4.7E-2</v>
      </c>
      <c r="U47" s="297">
        <v>4.7E-2</v>
      </c>
      <c r="V47" s="297">
        <v>4.7E-2</v>
      </c>
      <c r="W47" s="297">
        <v>4.7E-2</v>
      </c>
      <c r="X47" s="297">
        <v>4.7E-2</v>
      </c>
      <c r="Y47" s="297">
        <v>4.7E-2</v>
      </c>
      <c r="Z47" s="297">
        <v>4.7E-2</v>
      </c>
      <c r="AA47" s="297">
        <v>4.7E-2</v>
      </c>
      <c r="AB47" s="297">
        <v>4.7E-2</v>
      </c>
      <c r="AC47" s="297">
        <v>4.7E-2</v>
      </c>
      <c r="AD47" s="297">
        <v>4.7E-2</v>
      </c>
      <c r="AE47" s="297">
        <v>4.7E-2</v>
      </c>
    </row>
    <row r="48" spans="1:31" x14ac:dyDescent="0.2">
      <c r="A48" s="296" t="s">
        <v>268</v>
      </c>
      <c r="B48" s="298">
        <f>B47</f>
        <v>4.8000000000000001E-2</v>
      </c>
      <c r="C48" s="298">
        <f t="shared" ref="C48:AE48" si="0">(1+B48)*(1+C47)-1</f>
        <v>9.7256000000000009E-2</v>
      </c>
      <c r="D48" s="298">
        <f t="shared" si="0"/>
        <v>0.14882703200000003</v>
      </c>
      <c r="E48" s="298">
        <f t="shared" si="0"/>
        <v>0.2028219025039999</v>
      </c>
      <c r="F48" s="298">
        <f t="shared" si="0"/>
        <v>0.25935453192168789</v>
      </c>
      <c r="G48" s="298">
        <f t="shared" si="0"/>
        <v>0.31854419492200714</v>
      </c>
      <c r="H48" s="298">
        <f t="shared" si="0"/>
        <v>0.38051577208334142</v>
      </c>
      <c r="I48" s="298">
        <f t="shared" si="0"/>
        <v>0.44540001337125834</v>
      </c>
      <c r="J48" s="298">
        <f t="shared" si="0"/>
        <v>0.51333381399970746</v>
      </c>
      <c r="K48" s="298">
        <f t="shared" si="0"/>
        <v>0.5844605032576935</v>
      </c>
      <c r="L48" s="298">
        <f t="shared" si="0"/>
        <v>0.65893014691080509</v>
      </c>
      <c r="M48" s="298">
        <f t="shared" si="0"/>
        <v>0.73689986381561279</v>
      </c>
      <c r="N48" s="298">
        <f t="shared" si="0"/>
        <v>0.81853415741494651</v>
      </c>
      <c r="O48" s="298">
        <f t="shared" si="0"/>
        <v>0.90400526281344895</v>
      </c>
      <c r="P48" s="298">
        <f t="shared" si="0"/>
        <v>0.99349351016568099</v>
      </c>
      <c r="Q48" s="298">
        <f t="shared" si="0"/>
        <v>1.0871877051434677</v>
      </c>
      <c r="R48" s="298">
        <f t="shared" si="0"/>
        <v>1.1852855272852105</v>
      </c>
      <c r="S48" s="298">
        <f t="shared" si="0"/>
        <v>1.2879939470676152</v>
      </c>
      <c r="T48" s="298">
        <f t="shared" si="0"/>
        <v>1.3955296625797931</v>
      </c>
      <c r="U48" s="298">
        <f t="shared" si="0"/>
        <v>1.5081195567210433</v>
      </c>
      <c r="V48" s="298">
        <f t="shared" si="0"/>
        <v>1.6260011758869322</v>
      </c>
      <c r="W48" s="298">
        <f t="shared" si="0"/>
        <v>1.7494232311536178</v>
      </c>
      <c r="X48" s="298">
        <f t="shared" si="0"/>
        <v>1.8786461230178375</v>
      </c>
      <c r="Y48" s="298">
        <f t="shared" si="0"/>
        <v>2.0139424907996757</v>
      </c>
      <c r="Z48" s="298">
        <f t="shared" si="0"/>
        <v>2.1555977878672601</v>
      </c>
      <c r="AA48" s="298">
        <f t="shared" si="0"/>
        <v>2.303910883897021</v>
      </c>
      <c r="AB48" s="298">
        <f t="shared" si="0"/>
        <v>2.4591946954401807</v>
      </c>
      <c r="AC48" s="298">
        <f t="shared" si="0"/>
        <v>2.621776846125869</v>
      </c>
      <c r="AD48" s="298">
        <f t="shared" si="0"/>
        <v>2.7920003578937846</v>
      </c>
      <c r="AE48" s="298">
        <f t="shared" si="0"/>
        <v>2.9702243747147921</v>
      </c>
    </row>
    <row r="49" spans="1:31" ht="13.5" thickBot="1" x14ac:dyDescent="0.25">
      <c r="A49" s="299" t="s">
        <v>431</v>
      </c>
      <c r="B49" s="300">
        <f>B24*1.2/2*0</f>
        <v>0</v>
      </c>
      <c r="C49" s="300">
        <v>0</v>
      </c>
      <c r="D49" s="300">
        <v>0</v>
      </c>
      <c r="E49" s="300">
        <v>0</v>
      </c>
      <c r="F49" s="300">
        <v>0</v>
      </c>
      <c r="G49" s="300">
        <v>0</v>
      </c>
      <c r="H49" s="300">
        <v>0</v>
      </c>
      <c r="I49" s="300">
        <v>0</v>
      </c>
      <c r="J49" s="300">
        <v>0</v>
      </c>
      <c r="K49" s="300">
        <v>0</v>
      </c>
      <c r="L49" s="300">
        <v>0</v>
      </c>
      <c r="M49" s="300">
        <v>0</v>
      </c>
      <c r="N49" s="300">
        <v>0</v>
      </c>
      <c r="O49" s="300">
        <v>0</v>
      </c>
      <c r="P49" s="300">
        <v>0</v>
      </c>
      <c r="Q49" s="300">
        <v>0</v>
      </c>
      <c r="R49" s="300">
        <v>0</v>
      </c>
      <c r="S49" s="300">
        <v>0</v>
      </c>
      <c r="T49" s="300">
        <v>0</v>
      </c>
      <c r="U49" s="300">
        <v>0</v>
      </c>
      <c r="V49" s="300">
        <v>0</v>
      </c>
      <c r="W49" s="300">
        <v>0</v>
      </c>
      <c r="X49" s="300">
        <v>0</v>
      </c>
      <c r="Y49" s="300">
        <v>0</v>
      </c>
      <c r="Z49" s="300">
        <v>0</v>
      </c>
      <c r="AA49" s="300">
        <v>0</v>
      </c>
      <c r="AB49" s="300">
        <v>0</v>
      </c>
      <c r="AC49" s="300">
        <v>0</v>
      </c>
      <c r="AD49" s="300">
        <v>0</v>
      </c>
      <c r="AE49" s="300">
        <v>0</v>
      </c>
    </row>
    <row r="50" spans="1:31" ht="13.5" thickBot="1" x14ac:dyDescent="0.25">
      <c r="A50" s="301"/>
      <c r="N50" s="258"/>
      <c r="AC50" s="302"/>
      <c r="AD50" s="302"/>
      <c r="AE50" s="302"/>
    </row>
    <row r="51" spans="1:31" x14ac:dyDescent="0.2">
      <c r="A51" s="303" t="s">
        <v>267</v>
      </c>
      <c r="B51" s="294">
        <v>1</v>
      </c>
      <c r="C51" s="294">
        <v>2</v>
      </c>
      <c r="D51" s="294">
        <v>3</v>
      </c>
      <c r="E51" s="294">
        <v>4</v>
      </c>
      <c r="F51" s="294">
        <v>5</v>
      </c>
      <c r="G51" s="294">
        <v>6</v>
      </c>
      <c r="H51" s="294">
        <v>7</v>
      </c>
      <c r="I51" s="294">
        <v>8</v>
      </c>
      <c r="J51" s="294">
        <v>9</v>
      </c>
      <c r="K51" s="294">
        <v>10</v>
      </c>
      <c r="L51" s="294">
        <v>11</v>
      </c>
      <c r="M51" s="294">
        <v>12</v>
      </c>
      <c r="N51" s="294">
        <v>13</v>
      </c>
      <c r="O51" s="294">
        <v>14</v>
      </c>
      <c r="P51" s="294">
        <v>15</v>
      </c>
      <c r="Q51" s="294">
        <v>16</v>
      </c>
      <c r="R51" s="294">
        <v>17</v>
      </c>
      <c r="S51" s="294">
        <v>18</v>
      </c>
      <c r="T51" s="294">
        <v>19</v>
      </c>
      <c r="U51" s="294">
        <v>20</v>
      </c>
      <c r="V51" s="294">
        <v>21</v>
      </c>
      <c r="W51" s="294">
        <v>22</v>
      </c>
      <c r="X51" s="294">
        <v>23</v>
      </c>
      <c r="Y51" s="294">
        <v>24</v>
      </c>
      <c r="Z51" s="294">
        <v>25</v>
      </c>
      <c r="AA51" s="294">
        <v>26</v>
      </c>
      <c r="AB51" s="294">
        <v>27</v>
      </c>
      <c r="AC51" s="294">
        <v>28</v>
      </c>
      <c r="AD51" s="294">
        <v>29</v>
      </c>
      <c r="AE51" s="294">
        <v>30</v>
      </c>
    </row>
    <row r="52" spans="1:31" x14ac:dyDescent="0.2">
      <c r="A52" s="296" t="s">
        <v>266</v>
      </c>
      <c r="B52" s="304">
        <v>0</v>
      </c>
      <c r="C52" s="304">
        <v>0</v>
      </c>
      <c r="D52" s="304">
        <v>0</v>
      </c>
      <c r="E52" s="304">
        <v>0</v>
      </c>
      <c r="F52" s="304">
        <v>0</v>
      </c>
      <c r="G52" s="304">
        <v>0</v>
      </c>
      <c r="H52" s="304">
        <v>0</v>
      </c>
      <c r="I52" s="304">
        <v>0</v>
      </c>
      <c r="J52" s="304">
        <v>0</v>
      </c>
      <c r="K52" s="304">
        <v>0</v>
      </c>
      <c r="L52" s="304">
        <v>0</v>
      </c>
      <c r="M52" s="304">
        <v>0</v>
      </c>
      <c r="N52" s="304">
        <v>0</v>
      </c>
      <c r="O52" s="304">
        <v>0</v>
      </c>
      <c r="P52" s="304">
        <v>0</v>
      </c>
      <c r="Q52" s="304">
        <v>0</v>
      </c>
      <c r="R52" s="304">
        <v>0</v>
      </c>
      <c r="S52" s="304">
        <v>0</v>
      </c>
      <c r="T52" s="304">
        <v>0</v>
      </c>
      <c r="U52" s="304">
        <v>0</v>
      </c>
      <c r="V52" s="304">
        <v>0</v>
      </c>
      <c r="W52" s="304">
        <v>0</v>
      </c>
      <c r="X52" s="304">
        <v>0</v>
      </c>
      <c r="Y52" s="304">
        <v>0</v>
      </c>
      <c r="Z52" s="304">
        <v>0</v>
      </c>
      <c r="AA52" s="304">
        <v>0</v>
      </c>
      <c r="AB52" s="304">
        <v>0</v>
      </c>
      <c r="AC52" s="305">
        <v>0</v>
      </c>
      <c r="AD52" s="305">
        <v>0</v>
      </c>
      <c r="AE52" s="305">
        <v>0</v>
      </c>
    </row>
    <row r="53" spans="1:31" x14ac:dyDescent="0.2">
      <c r="A53" s="296" t="s">
        <v>265</v>
      </c>
      <c r="B53" s="304">
        <v>0</v>
      </c>
      <c r="C53" s="304">
        <v>0</v>
      </c>
      <c r="D53" s="304">
        <v>0</v>
      </c>
      <c r="E53" s="304">
        <v>0</v>
      </c>
      <c r="F53" s="304">
        <v>0</v>
      </c>
      <c r="G53" s="304">
        <v>0</v>
      </c>
      <c r="H53" s="304">
        <v>0</v>
      </c>
      <c r="I53" s="304">
        <v>0</v>
      </c>
      <c r="J53" s="304">
        <v>0</v>
      </c>
      <c r="K53" s="304">
        <v>0</v>
      </c>
      <c r="L53" s="304">
        <v>0</v>
      </c>
      <c r="M53" s="304">
        <v>0</v>
      </c>
      <c r="N53" s="304">
        <v>0</v>
      </c>
      <c r="O53" s="304">
        <v>0</v>
      </c>
      <c r="P53" s="304">
        <v>0</v>
      </c>
      <c r="Q53" s="304">
        <v>0</v>
      </c>
      <c r="R53" s="304">
        <v>0</v>
      </c>
      <c r="S53" s="304">
        <v>0</v>
      </c>
      <c r="T53" s="304">
        <v>0</v>
      </c>
      <c r="U53" s="304">
        <v>0</v>
      </c>
      <c r="V53" s="304">
        <v>0</v>
      </c>
      <c r="W53" s="304">
        <v>0</v>
      </c>
      <c r="X53" s="304">
        <v>0</v>
      </c>
      <c r="Y53" s="304">
        <v>0</v>
      </c>
      <c r="Z53" s="304">
        <v>0</v>
      </c>
      <c r="AA53" s="304">
        <v>0</v>
      </c>
      <c r="AB53" s="304">
        <v>0</v>
      </c>
      <c r="AC53" s="305">
        <v>0</v>
      </c>
      <c r="AD53" s="305">
        <v>0</v>
      </c>
      <c r="AE53" s="305">
        <v>0</v>
      </c>
    </row>
    <row r="54" spans="1:31" x14ac:dyDescent="0.2">
      <c r="A54" s="296" t="s">
        <v>264</v>
      </c>
      <c r="B54" s="304">
        <v>0</v>
      </c>
      <c r="C54" s="304">
        <v>0</v>
      </c>
      <c r="D54" s="304">
        <v>0</v>
      </c>
      <c r="E54" s="304">
        <v>0</v>
      </c>
      <c r="F54" s="304">
        <v>0</v>
      </c>
      <c r="G54" s="304">
        <v>0</v>
      </c>
      <c r="H54" s="304">
        <v>0</v>
      </c>
      <c r="I54" s="304">
        <v>0</v>
      </c>
      <c r="J54" s="304">
        <v>0</v>
      </c>
      <c r="K54" s="304">
        <v>0</v>
      </c>
      <c r="L54" s="304">
        <v>0</v>
      </c>
      <c r="M54" s="304">
        <v>0</v>
      </c>
      <c r="N54" s="304">
        <v>0</v>
      </c>
      <c r="O54" s="304">
        <v>0</v>
      </c>
      <c r="P54" s="304">
        <v>0</v>
      </c>
      <c r="Q54" s="304">
        <v>0</v>
      </c>
      <c r="R54" s="304">
        <v>0</v>
      </c>
      <c r="S54" s="304">
        <v>0</v>
      </c>
      <c r="T54" s="304">
        <v>0</v>
      </c>
      <c r="U54" s="304">
        <v>0</v>
      </c>
      <c r="V54" s="304">
        <v>0</v>
      </c>
      <c r="W54" s="304">
        <v>0</v>
      </c>
      <c r="X54" s="304">
        <v>0</v>
      </c>
      <c r="Y54" s="304">
        <v>0</v>
      </c>
      <c r="Z54" s="304">
        <v>0</v>
      </c>
      <c r="AA54" s="304">
        <v>0</v>
      </c>
      <c r="AB54" s="304">
        <v>0</v>
      </c>
      <c r="AC54" s="305">
        <v>0</v>
      </c>
      <c r="AD54" s="305">
        <v>0</v>
      </c>
      <c r="AE54" s="305">
        <v>0</v>
      </c>
    </row>
    <row r="55" spans="1:31" ht="13.5" thickBot="1" x14ac:dyDescent="0.25">
      <c r="A55" s="299" t="s">
        <v>263</v>
      </c>
      <c r="B55" s="306">
        <v>0</v>
      </c>
      <c r="C55" s="306">
        <v>0</v>
      </c>
      <c r="D55" s="306">
        <v>0</v>
      </c>
      <c r="E55" s="306">
        <v>0</v>
      </c>
      <c r="F55" s="306">
        <v>0</v>
      </c>
      <c r="G55" s="306">
        <v>0</v>
      </c>
      <c r="H55" s="306">
        <v>0</v>
      </c>
      <c r="I55" s="306">
        <v>0</v>
      </c>
      <c r="J55" s="306">
        <v>0</v>
      </c>
      <c r="K55" s="306">
        <v>0</v>
      </c>
      <c r="L55" s="306">
        <v>0</v>
      </c>
      <c r="M55" s="306">
        <v>0</v>
      </c>
      <c r="N55" s="306">
        <v>0</v>
      </c>
      <c r="O55" s="306">
        <v>0</v>
      </c>
      <c r="P55" s="306">
        <v>0</v>
      </c>
      <c r="Q55" s="306">
        <v>0</v>
      </c>
      <c r="R55" s="306">
        <v>0</v>
      </c>
      <c r="S55" s="306">
        <v>0</v>
      </c>
      <c r="T55" s="306">
        <v>0</v>
      </c>
      <c r="U55" s="306">
        <v>0</v>
      </c>
      <c r="V55" s="306">
        <v>0</v>
      </c>
      <c r="W55" s="306">
        <v>0</v>
      </c>
      <c r="X55" s="306">
        <v>0</v>
      </c>
      <c r="Y55" s="306">
        <v>0</v>
      </c>
      <c r="Z55" s="306">
        <v>0</v>
      </c>
      <c r="AA55" s="306">
        <v>0</v>
      </c>
      <c r="AB55" s="306">
        <v>0</v>
      </c>
      <c r="AC55" s="307">
        <v>0</v>
      </c>
      <c r="AD55" s="307">
        <v>0</v>
      </c>
      <c r="AE55" s="307">
        <v>0</v>
      </c>
    </row>
    <row r="56" spans="1:31" ht="13.5" thickBot="1" x14ac:dyDescent="0.25">
      <c r="A56" s="301"/>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9"/>
      <c r="AD56" s="309"/>
      <c r="AE56" s="309"/>
    </row>
    <row r="57" spans="1:31" ht="13.5" thickBot="1" x14ac:dyDescent="0.25">
      <c r="A57" s="303" t="s">
        <v>432</v>
      </c>
      <c r="B57" s="294">
        <v>1</v>
      </c>
      <c r="C57" s="294">
        <v>2</v>
      </c>
      <c r="D57" s="294">
        <v>3</v>
      </c>
      <c r="E57" s="294">
        <v>4</v>
      </c>
      <c r="F57" s="294">
        <v>5</v>
      </c>
      <c r="G57" s="294">
        <v>6</v>
      </c>
      <c r="H57" s="294">
        <v>7</v>
      </c>
      <c r="I57" s="294">
        <v>8</v>
      </c>
      <c r="J57" s="294">
        <v>9</v>
      </c>
      <c r="K57" s="294">
        <v>10</v>
      </c>
      <c r="L57" s="294">
        <v>11</v>
      </c>
      <c r="M57" s="294">
        <v>12</v>
      </c>
      <c r="N57" s="294">
        <v>13</v>
      </c>
      <c r="O57" s="294">
        <v>14</v>
      </c>
      <c r="P57" s="294">
        <v>15</v>
      </c>
      <c r="Q57" s="294">
        <v>16</v>
      </c>
      <c r="R57" s="294">
        <v>17</v>
      </c>
      <c r="S57" s="294">
        <v>18</v>
      </c>
      <c r="T57" s="294">
        <v>19</v>
      </c>
      <c r="U57" s="294">
        <v>20</v>
      </c>
      <c r="V57" s="294">
        <v>21</v>
      </c>
      <c r="W57" s="294">
        <v>22</v>
      </c>
      <c r="X57" s="294">
        <v>23</v>
      </c>
      <c r="Y57" s="294">
        <v>24</v>
      </c>
      <c r="Z57" s="294">
        <v>25</v>
      </c>
      <c r="AA57" s="294">
        <v>26</v>
      </c>
      <c r="AB57" s="294">
        <v>27</v>
      </c>
      <c r="AC57" s="294">
        <v>28</v>
      </c>
      <c r="AD57" s="294">
        <v>29</v>
      </c>
      <c r="AE57" s="294">
        <v>30</v>
      </c>
    </row>
    <row r="58" spans="1:31" x14ac:dyDescent="0.2">
      <c r="A58" s="303" t="s">
        <v>262</v>
      </c>
      <c r="B58" s="294">
        <f t="shared" ref="B58:AE58" si="1">B49*$B$27</f>
        <v>0</v>
      </c>
      <c r="C58" s="294">
        <f t="shared" si="1"/>
        <v>0</v>
      </c>
      <c r="D58" s="294">
        <f t="shared" si="1"/>
        <v>0</v>
      </c>
      <c r="E58" s="294">
        <f t="shared" si="1"/>
        <v>0</v>
      </c>
      <c r="F58" s="294">
        <f t="shared" si="1"/>
        <v>0</v>
      </c>
      <c r="G58" s="294">
        <f t="shared" si="1"/>
        <v>0</v>
      </c>
      <c r="H58" s="294">
        <f t="shared" si="1"/>
        <v>0</v>
      </c>
      <c r="I58" s="294">
        <f t="shared" si="1"/>
        <v>0</v>
      </c>
      <c r="J58" s="294">
        <f t="shared" si="1"/>
        <v>0</v>
      </c>
      <c r="K58" s="294">
        <f t="shared" si="1"/>
        <v>0</v>
      </c>
      <c r="L58" s="294">
        <f t="shared" si="1"/>
        <v>0</v>
      </c>
      <c r="M58" s="294">
        <f t="shared" si="1"/>
        <v>0</v>
      </c>
      <c r="N58" s="294">
        <f t="shared" si="1"/>
        <v>0</v>
      </c>
      <c r="O58" s="294">
        <f t="shared" si="1"/>
        <v>0</v>
      </c>
      <c r="P58" s="294">
        <f t="shared" si="1"/>
        <v>0</v>
      </c>
      <c r="Q58" s="294">
        <f t="shared" si="1"/>
        <v>0</v>
      </c>
      <c r="R58" s="294">
        <f t="shared" si="1"/>
        <v>0</v>
      </c>
      <c r="S58" s="294">
        <f t="shared" si="1"/>
        <v>0</v>
      </c>
      <c r="T58" s="294">
        <f t="shared" si="1"/>
        <v>0</v>
      </c>
      <c r="U58" s="294">
        <f t="shared" si="1"/>
        <v>0</v>
      </c>
      <c r="V58" s="294">
        <f t="shared" si="1"/>
        <v>0</v>
      </c>
      <c r="W58" s="294">
        <f t="shared" si="1"/>
        <v>0</v>
      </c>
      <c r="X58" s="294">
        <f t="shared" si="1"/>
        <v>0</v>
      </c>
      <c r="Y58" s="294">
        <f t="shared" si="1"/>
        <v>0</v>
      </c>
      <c r="Z58" s="294">
        <f t="shared" si="1"/>
        <v>0</v>
      </c>
      <c r="AA58" s="294">
        <f t="shared" si="1"/>
        <v>0</v>
      </c>
      <c r="AB58" s="294">
        <f t="shared" si="1"/>
        <v>0</v>
      </c>
      <c r="AC58" s="294">
        <f t="shared" si="1"/>
        <v>0</v>
      </c>
      <c r="AD58" s="294">
        <f t="shared" si="1"/>
        <v>0</v>
      </c>
      <c r="AE58" s="294">
        <f t="shared" si="1"/>
        <v>0</v>
      </c>
    </row>
    <row r="59" spans="1:31" x14ac:dyDescent="0.2">
      <c r="A59" s="296" t="s">
        <v>261</v>
      </c>
      <c r="B59" s="310">
        <f t="shared" ref="B59:AE59" si="2">SUM(B60:B65)</f>
        <v>0</v>
      </c>
      <c r="C59" s="310">
        <f t="shared" si="2"/>
        <v>-140395.74489657907</v>
      </c>
      <c r="D59" s="310">
        <f t="shared" si="2"/>
        <v>-135554.51231393844</v>
      </c>
      <c r="E59" s="310">
        <f t="shared" si="2"/>
        <v>-130713.27973129776</v>
      </c>
      <c r="F59" s="310">
        <f t="shared" si="2"/>
        <v>-125872.04714865712</v>
      </c>
      <c r="G59" s="310">
        <f t="shared" si="2"/>
        <v>-121030.81456601646</v>
      </c>
      <c r="H59" s="310">
        <f t="shared" si="2"/>
        <v>-109587.90118886581</v>
      </c>
      <c r="I59" s="310">
        <f t="shared" si="2"/>
        <v>-111348.34940073515</v>
      </c>
      <c r="J59" s="310">
        <f t="shared" si="2"/>
        <v>91543.307017205152</v>
      </c>
      <c r="K59" s="310">
        <f t="shared" si="2"/>
        <v>-101665.88423545384</v>
      </c>
      <c r="L59" s="310">
        <f t="shared" si="2"/>
        <v>-96824.651652813176</v>
      </c>
      <c r="M59" s="310">
        <f t="shared" si="2"/>
        <v>-198490.53588826695</v>
      </c>
      <c r="N59" s="310">
        <f t="shared" si="2"/>
        <v>-80540.505693021885</v>
      </c>
      <c r="O59" s="310">
        <f t="shared" si="2"/>
        <v>-82300.953904891212</v>
      </c>
      <c r="P59" s="310">
        <f t="shared" si="2"/>
        <v>-77459.721322250567</v>
      </c>
      <c r="Q59" s="310">
        <f t="shared" si="2"/>
        <v>-72618.488739609907</v>
      </c>
      <c r="R59" s="310">
        <f t="shared" si="2"/>
        <v>130273.1676783304</v>
      </c>
      <c r="S59" s="310">
        <f t="shared" si="2"/>
        <v>-62936.023574328596</v>
      </c>
      <c r="T59" s="310">
        <f t="shared" si="2"/>
        <v>-51493.110197177957</v>
      </c>
      <c r="U59" s="310">
        <f t="shared" si="2"/>
        <v>-53253.558409047291</v>
      </c>
      <c r="V59" s="310">
        <f t="shared" si="2"/>
        <v>-48412.325826406632</v>
      </c>
      <c r="W59" s="310">
        <f t="shared" si="2"/>
        <v>-43571.093243765979</v>
      </c>
      <c r="X59" s="310">
        <f t="shared" si="2"/>
        <v>-38729.86066112532</v>
      </c>
      <c r="Y59" s="310">
        <f t="shared" si="2"/>
        <v>-33888.628078484668</v>
      </c>
      <c r="Z59" s="310">
        <f t="shared" si="2"/>
        <v>169003.02833945563</v>
      </c>
      <c r="AA59" s="310">
        <f t="shared" si="2"/>
        <v>-24206.162913203356</v>
      </c>
      <c r="AB59" s="310">
        <f t="shared" si="2"/>
        <v>-19364.9303305627</v>
      </c>
      <c r="AC59" s="310">
        <f t="shared" si="2"/>
        <v>-14523.697747922042</v>
      </c>
      <c r="AD59" s="310">
        <f t="shared" si="2"/>
        <v>-9682.4651652813845</v>
      </c>
      <c r="AE59" s="310">
        <f t="shared" si="2"/>
        <v>-4841.2325826407268</v>
      </c>
    </row>
    <row r="60" spans="1:31" x14ac:dyDescent="0.2">
      <c r="A60" s="311" t="s">
        <v>260</v>
      </c>
      <c r="B60" s="304"/>
      <c r="C60" s="304"/>
      <c r="D60" s="304"/>
      <c r="E60" s="304"/>
      <c r="F60" s="304"/>
      <c r="G60" s="304"/>
      <c r="H60" s="304">
        <f>B28</f>
        <v>6601.6807945099881</v>
      </c>
      <c r="I60" s="310">
        <v>0</v>
      </c>
      <c r="J60" s="304"/>
      <c r="K60" s="304"/>
      <c r="L60" s="304"/>
      <c r="M60" s="304"/>
      <c r="N60" s="304">
        <f>H60</f>
        <v>6601.6807945099881</v>
      </c>
      <c r="O60" s="310">
        <f>I60</f>
        <v>0</v>
      </c>
      <c r="P60" s="304"/>
      <c r="Q60" s="304"/>
      <c r="R60" s="304"/>
      <c r="S60" s="304"/>
      <c r="T60" s="304">
        <f>N60</f>
        <v>6601.6807945099881</v>
      </c>
      <c r="U60" s="310">
        <f>O60</f>
        <v>0</v>
      </c>
      <c r="V60" s="304"/>
      <c r="W60" s="304"/>
      <c r="X60" s="304"/>
      <c r="Y60" s="304"/>
      <c r="Z60" s="304">
        <v>0</v>
      </c>
      <c r="AA60" s="304"/>
      <c r="AB60" s="304"/>
      <c r="AC60" s="304"/>
      <c r="AD60" s="304"/>
      <c r="AE60" s="304"/>
    </row>
    <row r="61" spans="1:31" x14ac:dyDescent="0.2">
      <c r="A61" s="311" t="s">
        <v>259</v>
      </c>
      <c r="B61" s="304"/>
      <c r="C61" s="304"/>
      <c r="D61" s="304"/>
      <c r="E61" s="304"/>
      <c r="F61" s="304"/>
      <c r="G61" s="304"/>
      <c r="H61" s="304"/>
      <c r="I61" s="304"/>
      <c r="J61" s="304">
        <f>B34</f>
        <v>198050.42383529965</v>
      </c>
      <c r="K61" s="304">
        <v>0</v>
      </c>
      <c r="L61" s="304"/>
      <c r="M61" s="304"/>
      <c r="N61" s="304"/>
      <c r="O61" s="304"/>
      <c r="P61" s="304"/>
      <c r="Q61" s="304"/>
      <c r="R61" s="304">
        <f>J61</f>
        <v>198050.42383529965</v>
      </c>
      <c r="S61" s="304">
        <f>K61</f>
        <v>0</v>
      </c>
      <c r="T61" s="304"/>
      <c r="U61" s="304"/>
      <c r="V61" s="304"/>
      <c r="W61" s="304"/>
      <c r="X61" s="304"/>
      <c r="Y61" s="304"/>
      <c r="Z61" s="304">
        <f>R61</f>
        <v>198050.42383529965</v>
      </c>
      <c r="AA61" s="310">
        <f>S61</f>
        <v>0</v>
      </c>
      <c r="AB61" s="304"/>
      <c r="AC61" s="304"/>
      <c r="AD61" s="304"/>
      <c r="AE61" s="304"/>
    </row>
    <row r="62" spans="1:31" x14ac:dyDescent="0.2">
      <c r="A62" s="311" t="s">
        <v>621</v>
      </c>
      <c r="B62" s="304"/>
      <c r="C62" s="304"/>
      <c r="D62" s="304"/>
      <c r="E62" s="304"/>
      <c r="F62" s="304"/>
      <c r="G62" s="304"/>
      <c r="H62" s="304"/>
      <c r="I62" s="304"/>
      <c r="J62" s="304"/>
      <c r="K62" s="304"/>
      <c r="L62" s="304"/>
      <c r="M62" s="304"/>
      <c r="N62" s="304"/>
      <c r="O62" s="304"/>
      <c r="P62" s="304"/>
      <c r="Q62" s="304"/>
      <c r="R62" s="304"/>
      <c r="S62" s="304"/>
      <c r="T62" s="304"/>
      <c r="U62" s="304"/>
      <c r="V62" s="304"/>
      <c r="W62" s="304"/>
      <c r="X62" s="304"/>
      <c r="Y62" s="304"/>
      <c r="Z62" s="304"/>
      <c r="AA62" s="304"/>
      <c r="AB62" s="304"/>
      <c r="AC62" s="304"/>
      <c r="AD62" s="304"/>
      <c r="AE62" s="304"/>
    </row>
    <row r="63" spans="1:31" x14ac:dyDescent="0.2">
      <c r="A63" s="311" t="s">
        <v>429</v>
      </c>
      <c r="B63" s="312">
        <v>0</v>
      </c>
      <c r="C63" s="312">
        <v>0</v>
      </c>
      <c r="D63" s="312">
        <v>0</v>
      </c>
      <c r="E63" s="312">
        <v>0</v>
      </c>
      <c r="F63" s="312">
        <v>0</v>
      </c>
      <c r="G63" s="312">
        <v>0</v>
      </c>
      <c r="H63" s="312">
        <v>0</v>
      </c>
      <c r="I63" s="312">
        <v>0</v>
      </c>
      <c r="J63" s="312">
        <v>0</v>
      </c>
      <c r="K63" s="312">
        <v>0</v>
      </c>
      <c r="L63" s="312">
        <v>0</v>
      </c>
      <c r="M63" s="312">
        <v>0</v>
      </c>
      <c r="N63" s="312">
        <v>0</v>
      </c>
      <c r="O63" s="312">
        <v>0</v>
      </c>
      <c r="P63" s="312">
        <v>0</v>
      </c>
      <c r="Q63" s="312">
        <v>0</v>
      </c>
      <c r="R63" s="312">
        <v>0</v>
      </c>
      <c r="S63" s="312">
        <v>0</v>
      </c>
      <c r="T63" s="312">
        <v>0</v>
      </c>
      <c r="U63" s="312">
        <v>0</v>
      </c>
      <c r="V63" s="312">
        <v>0</v>
      </c>
      <c r="W63" s="312">
        <v>0</v>
      </c>
      <c r="X63" s="312">
        <v>0</v>
      </c>
      <c r="Y63" s="312">
        <v>0</v>
      </c>
      <c r="Z63" s="312">
        <v>0</v>
      </c>
      <c r="AA63" s="312">
        <v>0</v>
      </c>
      <c r="AB63" s="312">
        <v>0</v>
      </c>
      <c r="AC63" s="312">
        <v>0</v>
      </c>
      <c r="AD63" s="312">
        <v>0</v>
      </c>
      <c r="AE63" s="312">
        <v>0</v>
      </c>
    </row>
    <row r="64" spans="1:31" x14ac:dyDescent="0.2">
      <c r="A64" s="311" t="s">
        <v>429</v>
      </c>
      <c r="B64" s="312">
        <v>0</v>
      </c>
      <c r="C64" s="312">
        <v>0</v>
      </c>
      <c r="D64" s="312">
        <v>0</v>
      </c>
      <c r="E64" s="312">
        <v>0</v>
      </c>
      <c r="F64" s="312">
        <v>0</v>
      </c>
      <c r="G64" s="312">
        <v>0</v>
      </c>
      <c r="H64" s="312">
        <v>0</v>
      </c>
      <c r="I64" s="312">
        <v>0</v>
      </c>
      <c r="J64" s="312">
        <v>0</v>
      </c>
      <c r="K64" s="312">
        <v>0</v>
      </c>
      <c r="L64" s="312">
        <v>0</v>
      </c>
      <c r="M64" s="312">
        <v>0</v>
      </c>
      <c r="N64" s="312">
        <v>0</v>
      </c>
      <c r="O64" s="312">
        <v>0</v>
      </c>
      <c r="P64" s="312">
        <v>0</v>
      </c>
      <c r="Q64" s="312">
        <v>0</v>
      </c>
      <c r="R64" s="312">
        <v>0</v>
      </c>
      <c r="S64" s="312">
        <v>0</v>
      </c>
      <c r="T64" s="312">
        <v>0</v>
      </c>
      <c r="U64" s="312">
        <v>0</v>
      </c>
      <c r="V64" s="312">
        <v>0</v>
      </c>
      <c r="W64" s="312">
        <v>0</v>
      </c>
      <c r="X64" s="312">
        <v>0</v>
      </c>
      <c r="Y64" s="312">
        <v>0</v>
      </c>
      <c r="Z64" s="312">
        <v>0</v>
      </c>
      <c r="AA64" s="312">
        <v>0</v>
      </c>
      <c r="AB64" s="312">
        <v>0</v>
      </c>
      <c r="AC64" s="312">
        <v>0</v>
      </c>
      <c r="AD64" s="312">
        <v>0</v>
      </c>
      <c r="AE64" s="312">
        <v>0</v>
      </c>
    </row>
    <row r="65" spans="1:31" x14ac:dyDescent="0.2">
      <c r="A65" s="311" t="s">
        <v>623</v>
      </c>
      <c r="B65" s="312">
        <v>0</v>
      </c>
      <c r="C65" s="346">
        <f>-($B$24+C67)*0.022</f>
        <v>-140395.74489657907</v>
      </c>
      <c r="D65" s="346">
        <f>-($B$24+D67+C67)*0.022</f>
        <v>-135554.51231393844</v>
      </c>
      <c r="E65" s="347">
        <f>-($B$24+E67+C67+D67)*0.022</f>
        <v>-130713.27973129776</v>
      </c>
      <c r="F65" s="347">
        <f>-($B$24+F67+D67+E67+C67)*0.022</f>
        <v>-125872.04714865712</v>
      </c>
      <c r="G65" s="347">
        <f>-($B$24+G67+E67+F67+D67+C67)*0.022</f>
        <v>-121030.81456601646</v>
      </c>
      <c r="H65" s="347">
        <f>-($B$24+H67+F67+G67+E67+C67+D67)*0.022</f>
        <v>-116189.5819833758</v>
      </c>
      <c r="I65" s="347">
        <f>-($B$24+C67+I67+G67+H67+F67+D67+E67)*0.022</f>
        <v>-111348.34940073515</v>
      </c>
      <c r="J65" s="347">
        <f>-($B$24+D67+J67+H67+I67+G67+E67+F67+C67)*0.022</f>
        <v>-106507.1168180945</v>
      </c>
      <c r="K65" s="347">
        <f>-($B$24+E67+K67+I67+J67+H67+F67+G67+C67+D67)*0.022</f>
        <v>-101665.88423545384</v>
      </c>
      <c r="L65" s="347">
        <f>-($B$24+F67+L67+J67+K67+I67+G67+H67+E67+D67+C67)*0.022</f>
        <v>-96824.651652813176</v>
      </c>
      <c r="M65" s="347">
        <f>(-$B$24+G67+M67+K67+L67+J67+H67+I67+F67+E67+D67+C67)*0.022</f>
        <v>-198490.53588826695</v>
      </c>
      <c r="N65" s="347">
        <f>-($B$24+H67+N67+L67+M67+K67+I67+J67+G67+F67+E67+C67+D67)*0.022</f>
        <v>-87142.186487531872</v>
      </c>
      <c r="O65" s="347">
        <f>-($B$24+I67+O67+M67+N67+L67+J67+K67+H67+G67+F67+D67+C67+E67)*0.022</f>
        <v>-82300.953904891212</v>
      </c>
      <c r="P65" s="347">
        <f>-($B$24+J67+P67+N67+O67+M67+K67+L67+I67+H67+G67+E67+F67+C67+D67)*0.022</f>
        <v>-77459.721322250567</v>
      </c>
      <c r="Q65" s="347">
        <f>-($B$24+K67+Q67+O67+P67+N67+L67+M67+J67+I67+H67+F67+G67+D67+C67+E67)*0.022</f>
        <v>-72618.488739609907</v>
      </c>
      <c r="R65" s="347">
        <f>-($B$24+L67+R67+P67+Q67+O67+M67+N67+K67+J67+I67+G67+H67+E67+D67+C67+F67)*0.022</f>
        <v>-67777.256156969248</v>
      </c>
      <c r="S65" s="347">
        <f>-($B$24+M67+S67+Q67+R67+P67+N67+O67+L67+K67+J67+H67+I67+F67+E67+D67+C67+G67)*0.022</f>
        <v>-62936.023574328596</v>
      </c>
      <c r="T65" s="347">
        <f>-($B$24+N67+T67+R67+S67+Q67+O67+P67+M67+L67+K67+I67+J67+G67+F67+E67+D67+C67+H67)*0.022</f>
        <v>-58094.790991687943</v>
      </c>
      <c r="U65" s="347">
        <f>-($B$24+O67+U67+S67+T67+R67+P67+Q67+N67+M67+L67+J67+K67+H67+G67+F67+E67+C67+D67++I67)*0.022</f>
        <v>-53253.558409047291</v>
      </c>
      <c r="V65" s="347">
        <f>-($B$24+P67+V67+T67+U67+S67+Q67+R67+O67+N67+M67+K67+L67+I67+H67+G67+F67+D67+E67+C67+J67)*0.022</f>
        <v>-48412.325826406632</v>
      </c>
      <c r="W65" s="347">
        <f>-($B$24+Q67+W67+U67+V67+T67+R67+S67+P67+O67+N67+L67+M67+J67+I67+H67+G67+E67+F67+D67+C67+K67)*0.022</f>
        <v>-43571.093243765979</v>
      </c>
      <c r="X65" s="347">
        <f>-($B$24+R67+X67+V67+W67+U67+S67+T67+Q67+P67+O67+M67+N67+K67+J67+I67+H67+F67+G67+E67+D67+C67+L67)*0.022</f>
        <v>-38729.86066112532</v>
      </c>
      <c r="Y65" s="347">
        <f>-($B$24+S67+Y67+W67+X67+V67+T67+U67+R67+Q67+P67+N67+O67+L67+K67+J67+I67+G67+H67+F67+E67+D67+C67+M67)*0.022</f>
        <v>-33888.628078484668</v>
      </c>
      <c r="Z65" s="347">
        <f>-($B$24+T67+Z67+X67+Y67+W67+U67+V67+S67+R67+Q67+O67+P67+M67+L67+K67+J67+H67+I67+G67+F67+E67+D67+C67+N67)*0.022</f>
        <v>-29047.395495844012</v>
      </c>
      <c r="AA65" s="347">
        <f>-($B$24+U67+AA67+Y67+Z67+X67+V67+W67+T67+S67+R67+P67+Q67+N67+M67+L67+K67+I67+J67+H67+G67+F67+E67+D67+C67+O67)*0.022</f>
        <v>-24206.162913203356</v>
      </c>
      <c r="AB65" s="347">
        <f>-($B$24+V67+AB67+Z67+AA67+Y67+W67+X67+U67+T67+S67+Q67+R67+O67+N67+M67+L67+J67+K67+I67+H67+G67+F67+E67+D67+C67+P67)*0.022</f>
        <v>-19364.9303305627</v>
      </c>
      <c r="AC65" s="347">
        <f>-($B$24+W67+AC67+AA67+AB67+Z67+X67+Y67+V67+U67+T67+R67+S67+P67+O67+N67+M67+K67+L67+J67+I67+H67+G67+F67+E67+D67+C67+Q67)*0.022</f>
        <v>-14523.697747922042</v>
      </c>
      <c r="AD65" s="347">
        <f>-($B$24+X67+AD67+AB67+AC67+AA67+Y67+Z67+W67+V67+U67+S67+T67+Q67+P67+O67+N67+L67+M67+K67+J67+I67+H67+G67+F67+E67+D67+C67+R67)*0.022</f>
        <v>-9682.4651652813845</v>
      </c>
      <c r="AE65" s="347">
        <f>-($B$24+Y67+AE67+AC67+AD67+AB67+Z67+AA67+X67+W67+V67+T67+U67+R67+Q67+P67+O67+M67+N67+L67+K67+J67+I67+H67+G67+F67+E67+D67+C67+S67)*0.022</f>
        <v>-4841.2325826407268</v>
      </c>
    </row>
    <row r="66" spans="1:31" x14ac:dyDescent="0.2">
      <c r="A66" s="313" t="s">
        <v>624</v>
      </c>
      <c r="B66" s="314">
        <f t="shared" ref="B66:AE66" si="3">B58+B59</f>
        <v>0</v>
      </c>
      <c r="C66" s="314">
        <f t="shared" si="3"/>
        <v>-140395.74489657907</v>
      </c>
      <c r="D66" s="314">
        <f t="shared" si="3"/>
        <v>-135554.51231393844</v>
      </c>
      <c r="E66" s="314">
        <f t="shared" si="3"/>
        <v>-130713.27973129776</v>
      </c>
      <c r="F66" s="314">
        <f t="shared" si="3"/>
        <v>-125872.04714865712</v>
      </c>
      <c r="G66" s="314">
        <f t="shared" si="3"/>
        <v>-121030.81456601646</v>
      </c>
      <c r="H66" s="314">
        <f t="shared" si="3"/>
        <v>-109587.90118886581</v>
      </c>
      <c r="I66" s="314">
        <f t="shared" si="3"/>
        <v>-111348.34940073515</v>
      </c>
      <c r="J66" s="314">
        <f t="shared" si="3"/>
        <v>91543.307017205152</v>
      </c>
      <c r="K66" s="314">
        <f t="shared" si="3"/>
        <v>-101665.88423545384</v>
      </c>
      <c r="L66" s="314">
        <f t="shared" si="3"/>
        <v>-96824.651652813176</v>
      </c>
      <c r="M66" s="314">
        <f t="shared" si="3"/>
        <v>-198490.53588826695</v>
      </c>
      <c r="N66" s="314">
        <f t="shared" si="3"/>
        <v>-80540.505693021885</v>
      </c>
      <c r="O66" s="314">
        <f t="shared" si="3"/>
        <v>-82300.953904891212</v>
      </c>
      <c r="P66" s="314">
        <f t="shared" si="3"/>
        <v>-77459.721322250567</v>
      </c>
      <c r="Q66" s="314">
        <f t="shared" si="3"/>
        <v>-72618.488739609907</v>
      </c>
      <c r="R66" s="314">
        <f t="shared" si="3"/>
        <v>130273.1676783304</v>
      </c>
      <c r="S66" s="314">
        <f t="shared" si="3"/>
        <v>-62936.023574328596</v>
      </c>
      <c r="T66" s="314">
        <f t="shared" si="3"/>
        <v>-51493.110197177957</v>
      </c>
      <c r="U66" s="314">
        <f t="shared" si="3"/>
        <v>-53253.558409047291</v>
      </c>
      <c r="V66" s="314">
        <f t="shared" si="3"/>
        <v>-48412.325826406632</v>
      </c>
      <c r="W66" s="314">
        <f t="shared" si="3"/>
        <v>-43571.093243765979</v>
      </c>
      <c r="X66" s="314">
        <f t="shared" si="3"/>
        <v>-38729.86066112532</v>
      </c>
      <c r="Y66" s="314">
        <f t="shared" si="3"/>
        <v>-33888.628078484668</v>
      </c>
      <c r="Z66" s="314">
        <f t="shared" si="3"/>
        <v>169003.02833945563</v>
      </c>
      <c r="AA66" s="314">
        <f t="shared" si="3"/>
        <v>-24206.162913203356</v>
      </c>
      <c r="AB66" s="314">
        <f t="shared" si="3"/>
        <v>-19364.9303305627</v>
      </c>
      <c r="AC66" s="314">
        <f t="shared" si="3"/>
        <v>-14523.697747922042</v>
      </c>
      <c r="AD66" s="314">
        <f t="shared" si="3"/>
        <v>-9682.4651652813845</v>
      </c>
      <c r="AE66" s="314">
        <f t="shared" si="3"/>
        <v>-4841.2325826407268</v>
      </c>
    </row>
    <row r="67" spans="1:31" x14ac:dyDescent="0.2">
      <c r="A67" s="311" t="s">
        <v>255</v>
      </c>
      <c r="B67" s="315">
        <v>0</v>
      </c>
      <c r="C67" s="315">
        <f>-($B$24)*$B$27/$B$26</f>
        <v>-220056.02648366627</v>
      </c>
      <c r="D67" s="315">
        <f>C67</f>
        <v>-220056.02648366627</v>
      </c>
      <c r="E67" s="316">
        <f t="shared" ref="E67:AE67" si="4">D67</f>
        <v>-220056.02648366627</v>
      </c>
      <c r="F67" s="316">
        <f t="shared" si="4"/>
        <v>-220056.02648366627</v>
      </c>
      <c r="G67" s="316">
        <f t="shared" si="4"/>
        <v>-220056.02648366627</v>
      </c>
      <c r="H67" s="316">
        <f t="shared" si="4"/>
        <v>-220056.02648366627</v>
      </c>
      <c r="I67" s="316">
        <f t="shared" si="4"/>
        <v>-220056.02648366627</v>
      </c>
      <c r="J67" s="316">
        <f t="shared" si="4"/>
        <v>-220056.02648366627</v>
      </c>
      <c r="K67" s="316">
        <f t="shared" si="4"/>
        <v>-220056.02648366627</v>
      </c>
      <c r="L67" s="316">
        <f t="shared" si="4"/>
        <v>-220056.02648366627</v>
      </c>
      <c r="M67" s="316">
        <f t="shared" si="4"/>
        <v>-220056.02648366627</v>
      </c>
      <c r="N67" s="316">
        <f t="shared" si="4"/>
        <v>-220056.02648366627</v>
      </c>
      <c r="O67" s="316">
        <f t="shared" si="4"/>
        <v>-220056.02648366627</v>
      </c>
      <c r="P67" s="316">
        <f t="shared" si="4"/>
        <v>-220056.02648366627</v>
      </c>
      <c r="Q67" s="316">
        <f t="shared" si="4"/>
        <v>-220056.02648366627</v>
      </c>
      <c r="R67" s="316">
        <f t="shared" si="4"/>
        <v>-220056.02648366627</v>
      </c>
      <c r="S67" s="316">
        <f t="shared" si="4"/>
        <v>-220056.02648366627</v>
      </c>
      <c r="T67" s="316">
        <f t="shared" si="4"/>
        <v>-220056.02648366627</v>
      </c>
      <c r="U67" s="316">
        <f t="shared" si="4"/>
        <v>-220056.02648366627</v>
      </c>
      <c r="V67" s="316">
        <f t="shared" si="4"/>
        <v>-220056.02648366627</v>
      </c>
      <c r="W67" s="316">
        <f t="shared" si="4"/>
        <v>-220056.02648366627</v>
      </c>
      <c r="X67" s="316">
        <f t="shared" si="4"/>
        <v>-220056.02648366627</v>
      </c>
      <c r="Y67" s="316">
        <f t="shared" si="4"/>
        <v>-220056.02648366627</v>
      </c>
      <c r="Z67" s="316">
        <f t="shared" si="4"/>
        <v>-220056.02648366627</v>
      </c>
      <c r="AA67" s="316">
        <f t="shared" si="4"/>
        <v>-220056.02648366627</v>
      </c>
      <c r="AB67" s="316">
        <f t="shared" si="4"/>
        <v>-220056.02648366627</v>
      </c>
      <c r="AC67" s="316">
        <f t="shared" si="4"/>
        <v>-220056.02648366627</v>
      </c>
      <c r="AD67" s="316">
        <f t="shared" si="4"/>
        <v>-220056.02648366627</v>
      </c>
      <c r="AE67" s="316">
        <f t="shared" si="4"/>
        <v>-220056.02648366627</v>
      </c>
    </row>
    <row r="68" spans="1:31" x14ac:dyDescent="0.2">
      <c r="A68" s="313" t="s">
        <v>625</v>
      </c>
      <c r="B68" s="314">
        <f t="shared" ref="B68:AE68" si="5">B66+B67</f>
        <v>0</v>
      </c>
      <c r="C68" s="314">
        <f>C66+C67</f>
        <v>-360451.77138024534</v>
      </c>
      <c r="D68" s="314">
        <f t="shared" si="5"/>
        <v>-355610.53879760474</v>
      </c>
      <c r="E68" s="314">
        <f t="shared" si="5"/>
        <v>-350769.30621496402</v>
      </c>
      <c r="F68" s="314">
        <f t="shared" si="5"/>
        <v>-345928.07363232342</v>
      </c>
      <c r="G68" s="314">
        <f t="shared" si="5"/>
        <v>-341086.8410496827</v>
      </c>
      <c r="H68" s="314">
        <f t="shared" si="5"/>
        <v>-329643.9276725321</v>
      </c>
      <c r="I68" s="314">
        <f t="shared" si="5"/>
        <v>-331404.37588440144</v>
      </c>
      <c r="J68" s="314">
        <f t="shared" si="5"/>
        <v>-128512.71946646112</v>
      </c>
      <c r="K68" s="314">
        <f t="shared" si="5"/>
        <v>-321721.91071912012</v>
      </c>
      <c r="L68" s="314">
        <f t="shared" si="5"/>
        <v>-316880.67813647946</v>
      </c>
      <c r="M68" s="314">
        <f t="shared" si="5"/>
        <v>-418546.56237193325</v>
      </c>
      <c r="N68" s="314">
        <f t="shared" si="5"/>
        <v>-300596.53217668814</v>
      </c>
      <c r="O68" s="314">
        <f t="shared" si="5"/>
        <v>-302356.98038855748</v>
      </c>
      <c r="P68" s="314">
        <f t="shared" si="5"/>
        <v>-297515.74780591682</v>
      </c>
      <c r="Q68" s="314">
        <f t="shared" si="5"/>
        <v>-292674.51522327616</v>
      </c>
      <c r="R68" s="314">
        <f t="shared" si="5"/>
        <v>-89782.858805335869</v>
      </c>
      <c r="S68" s="314">
        <f t="shared" si="5"/>
        <v>-282992.05005799484</v>
      </c>
      <c r="T68" s="314">
        <f t="shared" si="5"/>
        <v>-271549.13668084424</v>
      </c>
      <c r="U68" s="314">
        <f t="shared" si="5"/>
        <v>-273309.58489271358</v>
      </c>
      <c r="V68" s="314">
        <f t="shared" si="5"/>
        <v>-268468.35231007292</v>
      </c>
      <c r="W68" s="314">
        <f t="shared" si="5"/>
        <v>-263627.11972743226</v>
      </c>
      <c r="X68" s="314">
        <f t="shared" si="5"/>
        <v>-258785.8871447916</v>
      </c>
      <c r="Y68" s="314">
        <f t="shared" si="5"/>
        <v>-253944.65456215094</v>
      </c>
      <c r="Z68" s="314">
        <f t="shared" si="5"/>
        <v>-51052.998144210636</v>
      </c>
      <c r="AA68" s="314">
        <f t="shared" si="5"/>
        <v>-244262.18939686962</v>
      </c>
      <c r="AB68" s="314">
        <f t="shared" si="5"/>
        <v>-239420.95681422896</v>
      </c>
      <c r="AC68" s="314">
        <f t="shared" si="5"/>
        <v>-234579.7242315883</v>
      </c>
      <c r="AD68" s="314">
        <f t="shared" si="5"/>
        <v>-229738.49164894765</v>
      </c>
      <c r="AE68" s="314">
        <f t="shared" si="5"/>
        <v>-224897.25906630699</v>
      </c>
    </row>
    <row r="69" spans="1:31" x14ac:dyDescent="0.2">
      <c r="A69" s="311" t="s">
        <v>254</v>
      </c>
      <c r="B69" s="312">
        <v>0</v>
      </c>
      <c r="C69" s="312">
        <v>0</v>
      </c>
      <c r="D69" s="312">
        <v>0</v>
      </c>
      <c r="E69" s="312">
        <v>0</v>
      </c>
      <c r="F69" s="312">
        <v>0</v>
      </c>
      <c r="G69" s="312">
        <v>0</v>
      </c>
      <c r="H69" s="312">
        <v>0</v>
      </c>
      <c r="I69" s="312">
        <v>0</v>
      </c>
      <c r="J69" s="312">
        <v>0</v>
      </c>
      <c r="K69" s="312">
        <v>0</v>
      </c>
      <c r="L69" s="312">
        <v>0</v>
      </c>
      <c r="M69" s="312">
        <v>0</v>
      </c>
      <c r="N69" s="312">
        <v>0</v>
      </c>
      <c r="O69" s="312">
        <v>0</v>
      </c>
      <c r="P69" s="312">
        <v>0</v>
      </c>
      <c r="Q69" s="312">
        <v>0</v>
      </c>
      <c r="R69" s="312">
        <v>0</v>
      </c>
      <c r="S69" s="312">
        <v>0</v>
      </c>
      <c r="T69" s="312">
        <v>0</v>
      </c>
      <c r="U69" s="312">
        <v>0</v>
      </c>
      <c r="V69" s="312">
        <v>0</v>
      </c>
      <c r="W69" s="312">
        <v>0</v>
      </c>
      <c r="X69" s="312">
        <v>0</v>
      </c>
      <c r="Y69" s="312">
        <v>0</v>
      </c>
      <c r="Z69" s="312">
        <v>0</v>
      </c>
      <c r="AA69" s="312">
        <v>0</v>
      </c>
      <c r="AB69" s="312">
        <v>0</v>
      </c>
      <c r="AC69" s="312">
        <v>0</v>
      </c>
      <c r="AD69" s="312">
        <v>0</v>
      </c>
      <c r="AE69" s="312">
        <v>0</v>
      </c>
    </row>
    <row r="70" spans="1:31" x14ac:dyDescent="0.2">
      <c r="A70" s="313" t="s">
        <v>258</v>
      </c>
      <c r="B70" s="314">
        <f t="shared" ref="B70:AE70" si="6">B68+B69</f>
        <v>0</v>
      </c>
      <c r="C70" s="314">
        <f t="shared" si="6"/>
        <v>-360451.77138024534</v>
      </c>
      <c r="D70" s="314">
        <f t="shared" si="6"/>
        <v>-355610.53879760474</v>
      </c>
      <c r="E70" s="314">
        <f t="shared" si="6"/>
        <v>-350769.30621496402</v>
      </c>
      <c r="F70" s="314">
        <f t="shared" si="6"/>
        <v>-345928.07363232342</v>
      </c>
      <c r="G70" s="314">
        <f t="shared" si="6"/>
        <v>-341086.8410496827</v>
      </c>
      <c r="H70" s="314">
        <f t="shared" si="6"/>
        <v>-329643.9276725321</v>
      </c>
      <c r="I70" s="314">
        <f t="shared" si="6"/>
        <v>-331404.37588440144</v>
      </c>
      <c r="J70" s="314">
        <f t="shared" si="6"/>
        <v>-128512.71946646112</v>
      </c>
      <c r="K70" s="314">
        <f t="shared" si="6"/>
        <v>-321721.91071912012</v>
      </c>
      <c r="L70" s="314">
        <f t="shared" si="6"/>
        <v>-316880.67813647946</v>
      </c>
      <c r="M70" s="314">
        <f t="shared" si="6"/>
        <v>-418546.56237193325</v>
      </c>
      <c r="N70" s="314">
        <f t="shared" si="6"/>
        <v>-300596.53217668814</v>
      </c>
      <c r="O70" s="314">
        <f t="shared" si="6"/>
        <v>-302356.98038855748</v>
      </c>
      <c r="P70" s="314">
        <f t="shared" si="6"/>
        <v>-297515.74780591682</v>
      </c>
      <c r="Q70" s="314">
        <f t="shared" si="6"/>
        <v>-292674.51522327616</v>
      </c>
      <c r="R70" s="314">
        <f t="shared" si="6"/>
        <v>-89782.858805335869</v>
      </c>
      <c r="S70" s="314">
        <f t="shared" si="6"/>
        <v>-282992.05005799484</v>
      </c>
      <c r="T70" s="314">
        <f t="shared" si="6"/>
        <v>-271549.13668084424</v>
      </c>
      <c r="U70" s="314">
        <f t="shared" si="6"/>
        <v>-273309.58489271358</v>
      </c>
      <c r="V70" s="314">
        <f t="shared" si="6"/>
        <v>-268468.35231007292</v>
      </c>
      <c r="W70" s="314">
        <f t="shared" si="6"/>
        <v>-263627.11972743226</v>
      </c>
      <c r="X70" s="314">
        <f t="shared" si="6"/>
        <v>-258785.8871447916</v>
      </c>
      <c r="Y70" s="314">
        <f t="shared" si="6"/>
        <v>-253944.65456215094</v>
      </c>
      <c r="Z70" s="314">
        <f t="shared" si="6"/>
        <v>-51052.998144210636</v>
      </c>
      <c r="AA70" s="314">
        <f t="shared" si="6"/>
        <v>-244262.18939686962</v>
      </c>
      <c r="AB70" s="314">
        <f t="shared" si="6"/>
        <v>-239420.95681422896</v>
      </c>
      <c r="AC70" s="314">
        <f t="shared" si="6"/>
        <v>-234579.7242315883</v>
      </c>
      <c r="AD70" s="314">
        <f t="shared" si="6"/>
        <v>-229738.49164894765</v>
      </c>
      <c r="AE70" s="314">
        <f t="shared" si="6"/>
        <v>-224897.25906630699</v>
      </c>
    </row>
    <row r="71" spans="1:31" x14ac:dyDescent="0.2">
      <c r="A71" s="311" t="s">
        <v>253</v>
      </c>
      <c r="B71" s="315">
        <f t="shared" ref="B71:AE71" si="7">-B70*$B$35</f>
        <v>0</v>
      </c>
      <c r="C71" s="315">
        <f t="shared" si="7"/>
        <v>72090.354276049067</v>
      </c>
      <c r="D71" s="315">
        <f t="shared" si="7"/>
        <v>71122.10775952095</v>
      </c>
      <c r="E71" s="315">
        <f t="shared" si="7"/>
        <v>70153.861242992803</v>
      </c>
      <c r="F71" s="315">
        <f t="shared" si="7"/>
        <v>69185.614726464686</v>
      </c>
      <c r="G71" s="315">
        <f t="shared" si="7"/>
        <v>68217.36820993654</v>
      </c>
      <c r="H71" s="315">
        <f t="shared" si="7"/>
        <v>65928.785534506416</v>
      </c>
      <c r="I71" s="315">
        <f t="shared" si="7"/>
        <v>66280.87517688029</v>
      </c>
      <c r="J71" s="315">
        <f t="shared" si="7"/>
        <v>25702.543893292226</v>
      </c>
      <c r="K71" s="315">
        <f t="shared" si="7"/>
        <v>64344.382143824027</v>
      </c>
      <c r="L71" s="315">
        <f t="shared" si="7"/>
        <v>63376.135627295895</v>
      </c>
      <c r="M71" s="315">
        <f t="shared" si="7"/>
        <v>83709.31247438665</v>
      </c>
      <c r="N71" s="315">
        <f t="shared" si="7"/>
        <v>60119.306435337632</v>
      </c>
      <c r="O71" s="315">
        <f t="shared" si="7"/>
        <v>60471.396077711499</v>
      </c>
      <c r="P71" s="315">
        <f t="shared" si="7"/>
        <v>59503.149561183367</v>
      </c>
      <c r="Q71" s="315">
        <f t="shared" si="7"/>
        <v>58534.903044655235</v>
      </c>
      <c r="R71" s="315">
        <f t="shared" si="7"/>
        <v>17956.571761067175</v>
      </c>
      <c r="S71" s="315">
        <f t="shared" si="7"/>
        <v>56598.410011598971</v>
      </c>
      <c r="T71" s="315">
        <f t="shared" si="7"/>
        <v>54309.827336168848</v>
      </c>
      <c r="U71" s="315">
        <f t="shared" si="7"/>
        <v>54661.916978542722</v>
      </c>
      <c r="V71" s="315">
        <f t="shared" si="7"/>
        <v>53693.67046201459</v>
      </c>
      <c r="W71" s="315">
        <f t="shared" si="7"/>
        <v>52725.423945486458</v>
      </c>
      <c r="X71" s="315">
        <f t="shared" si="7"/>
        <v>51757.177428958326</v>
      </c>
      <c r="Y71" s="315">
        <f t="shared" si="7"/>
        <v>50788.930912430194</v>
      </c>
      <c r="Z71" s="315">
        <f t="shared" si="7"/>
        <v>10210.599628842128</v>
      </c>
      <c r="AA71" s="315">
        <f t="shared" si="7"/>
        <v>48852.437879373931</v>
      </c>
      <c r="AB71" s="315">
        <f t="shared" si="7"/>
        <v>47884.191362845799</v>
      </c>
      <c r="AC71" s="315">
        <f t="shared" si="7"/>
        <v>46915.944846317667</v>
      </c>
      <c r="AD71" s="315">
        <f t="shared" si="7"/>
        <v>45947.698329789535</v>
      </c>
      <c r="AE71" s="315">
        <f t="shared" si="7"/>
        <v>44979.451813261403</v>
      </c>
    </row>
    <row r="72" spans="1:31" ht="13.5" thickBot="1" x14ac:dyDescent="0.25">
      <c r="A72" s="317" t="s">
        <v>257</v>
      </c>
      <c r="B72" s="318">
        <f t="shared" ref="B72:AE72" si="8">B70+B71</f>
        <v>0</v>
      </c>
      <c r="C72" s="318">
        <f t="shared" si="8"/>
        <v>-288361.41710419627</v>
      </c>
      <c r="D72" s="318">
        <f t="shared" si="8"/>
        <v>-284488.4310380838</v>
      </c>
      <c r="E72" s="318">
        <f t="shared" si="8"/>
        <v>-280615.44497197121</v>
      </c>
      <c r="F72" s="318">
        <f t="shared" si="8"/>
        <v>-276742.45890585874</v>
      </c>
      <c r="G72" s="318">
        <f t="shared" si="8"/>
        <v>-272869.47283974616</v>
      </c>
      <c r="H72" s="318">
        <f t="shared" si="8"/>
        <v>-263715.14213802567</v>
      </c>
      <c r="I72" s="318">
        <f t="shared" si="8"/>
        <v>-265123.50070752116</v>
      </c>
      <c r="J72" s="318">
        <f t="shared" si="8"/>
        <v>-102810.17557316889</v>
      </c>
      <c r="K72" s="318">
        <f t="shared" si="8"/>
        <v>-257377.52857529611</v>
      </c>
      <c r="L72" s="318">
        <f t="shared" si="8"/>
        <v>-253504.54250918358</v>
      </c>
      <c r="M72" s="318">
        <f t="shared" si="8"/>
        <v>-334837.2498975466</v>
      </c>
      <c r="N72" s="318">
        <f t="shared" si="8"/>
        <v>-240477.2257413505</v>
      </c>
      <c r="O72" s="318">
        <f t="shared" si="8"/>
        <v>-241885.584310846</v>
      </c>
      <c r="P72" s="318">
        <f t="shared" si="8"/>
        <v>-238012.59824473347</v>
      </c>
      <c r="Q72" s="318">
        <f t="shared" si="8"/>
        <v>-234139.61217862094</v>
      </c>
      <c r="R72" s="318">
        <f t="shared" si="8"/>
        <v>-71826.287044268698</v>
      </c>
      <c r="S72" s="318">
        <f t="shared" si="8"/>
        <v>-226393.64004639589</v>
      </c>
      <c r="T72" s="318">
        <f t="shared" si="8"/>
        <v>-217239.30934467539</v>
      </c>
      <c r="U72" s="318">
        <f t="shared" si="8"/>
        <v>-218647.66791417086</v>
      </c>
      <c r="V72" s="318">
        <f t="shared" si="8"/>
        <v>-214774.68184805833</v>
      </c>
      <c r="W72" s="318">
        <f t="shared" si="8"/>
        <v>-210901.6957819458</v>
      </c>
      <c r="X72" s="318">
        <f t="shared" si="8"/>
        <v>-207028.70971583328</v>
      </c>
      <c r="Y72" s="318">
        <f t="shared" si="8"/>
        <v>-203155.72364972075</v>
      </c>
      <c r="Z72" s="318">
        <f t="shared" si="8"/>
        <v>-40842.398515368506</v>
      </c>
      <c r="AA72" s="318">
        <f t="shared" si="8"/>
        <v>-195409.75151749569</v>
      </c>
      <c r="AB72" s="318">
        <f t="shared" si="8"/>
        <v>-191536.76545138317</v>
      </c>
      <c r="AC72" s="318">
        <f t="shared" si="8"/>
        <v>-187663.77938527064</v>
      </c>
      <c r="AD72" s="318">
        <f t="shared" si="8"/>
        <v>-183790.79331915811</v>
      </c>
      <c r="AE72" s="318">
        <f t="shared" si="8"/>
        <v>-179917.80725304558</v>
      </c>
    </row>
    <row r="73" spans="1:31" ht="13.5" thickBot="1" x14ac:dyDescent="0.25">
      <c r="A73" s="301"/>
      <c r="B73" s="319">
        <v>0.5</v>
      </c>
      <c r="C73" s="319">
        <v>1.5</v>
      </c>
      <c r="D73" s="319">
        <v>2.5</v>
      </c>
      <c r="E73" s="319">
        <v>3.5</v>
      </c>
      <c r="F73" s="319">
        <v>4.5</v>
      </c>
      <c r="G73" s="319">
        <v>5.5</v>
      </c>
      <c r="H73" s="319">
        <v>6.5</v>
      </c>
      <c r="I73" s="319">
        <v>7.5</v>
      </c>
      <c r="J73" s="319">
        <v>8.5</v>
      </c>
      <c r="K73" s="319">
        <v>9.5</v>
      </c>
      <c r="L73" s="319">
        <v>10.5</v>
      </c>
      <c r="M73" s="319">
        <v>11.5</v>
      </c>
      <c r="N73" s="319">
        <v>12.5</v>
      </c>
      <c r="O73" s="319">
        <v>13.5</v>
      </c>
      <c r="P73" s="319">
        <v>14.5</v>
      </c>
      <c r="Q73" s="319">
        <v>15.5</v>
      </c>
      <c r="R73" s="319">
        <v>16.5</v>
      </c>
      <c r="S73" s="319">
        <v>17.5</v>
      </c>
      <c r="T73" s="319">
        <v>18.5</v>
      </c>
      <c r="U73" s="319">
        <v>19.5</v>
      </c>
      <c r="V73" s="319">
        <v>20.5</v>
      </c>
      <c r="W73" s="319">
        <v>21.5</v>
      </c>
      <c r="X73" s="319">
        <v>22.5</v>
      </c>
      <c r="Y73" s="319">
        <v>23.5</v>
      </c>
      <c r="Z73" s="319">
        <v>24.5</v>
      </c>
      <c r="AA73" s="319">
        <v>25.5</v>
      </c>
      <c r="AB73" s="319">
        <v>26.5</v>
      </c>
      <c r="AC73" s="319">
        <v>27.5</v>
      </c>
      <c r="AD73" s="319">
        <v>28.5</v>
      </c>
      <c r="AE73" s="319">
        <v>29.5</v>
      </c>
    </row>
    <row r="74" spans="1:31" x14ac:dyDescent="0.2">
      <c r="A74" s="303" t="s">
        <v>256</v>
      </c>
      <c r="B74" s="294">
        <v>1</v>
      </c>
      <c r="C74" s="294">
        <v>2</v>
      </c>
      <c r="D74" s="294">
        <v>3</v>
      </c>
      <c r="E74" s="294">
        <v>4</v>
      </c>
      <c r="F74" s="294">
        <v>5</v>
      </c>
      <c r="G74" s="294">
        <v>6</v>
      </c>
      <c r="H74" s="294">
        <v>7</v>
      </c>
      <c r="I74" s="294">
        <v>8</v>
      </c>
      <c r="J74" s="294">
        <v>9</v>
      </c>
      <c r="K74" s="294">
        <v>10</v>
      </c>
      <c r="L74" s="294">
        <v>11</v>
      </c>
      <c r="M74" s="294">
        <v>12</v>
      </c>
      <c r="N74" s="294">
        <v>13</v>
      </c>
      <c r="O74" s="294">
        <v>14</v>
      </c>
      <c r="P74" s="294">
        <v>15</v>
      </c>
      <c r="Q74" s="294">
        <v>16</v>
      </c>
      <c r="R74" s="294">
        <v>17</v>
      </c>
      <c r="S74" s="294">
        <v>18</v>
      </c>
      <c r="T74" s="294">
        <v>19</v>
      </c>
      <c r="U74" s="294">
        <v>20</v>
      </c>
      <c r="V74" s="294">
        <v>21</v>
      </c>
      <c r="W74" s="294">
        <v>22</v>
      </c>
      <c r="X74" s="294">
        <v>23</v>
      </c>
      <c r="Y74" s="294">
        <v>24</v>
      </c>
      <c r="Z74" s="294">
        <v>25</v>
      </c>
      <c r="AA74" s="294">
        <v>26</v>
      </c>
      <c r="AB74" s="294">
        <v>27</v>
      </c>
      <c r="AC74" s="294">
        <v>28</v>
      </c>
      <c r="AD74" s="294">
        <v>29</v>
      </c>
      <c r="AE74" s="294">
        <v>30</v>
      </c>
    </row>
    <row r="75" spans="1:31" x14ac:dyDescent="0.2">
      <c r="A75" s="320" t="s">
        <v>625</v>
      </c>
      <c r="B75" s="314">
        <f t="shared" ref="B75:AE75" si="9">B68</f>
        <v>0</v>
      </c>
      <c r="C75" s="314">
        <f t="shared" si="9"/>
        <v>-360451.77138024534</v>
      </c>
      <c r="D75" s="314">
        <f t="shared" si="9"/>
        <v>-355610.53879760474</v>
      </c>
      <c r="E75" s="314">
        <f t="shared" si="9"/>
        <v>-350769.30621496402</v>
      </c>
      <c r="F75" s="314">
        <f t="shared" si="9"/>
        <v>-345928.07363232342</v>
      </c>
      <c r="G75" s="314">
        <f t="shared" si="9"/>
        <v>-341086.8410496827</v>
      </c>
      <c r="H75" s="314">
        <f t="shared" si="9"/>
        <v>-329643.9276725321</v>
      </c>
      <c r="I75" s="314">
        <f t="shared" si="9"/>
        <v>-331404.37588440144</v>
      </c>
      <c r="J75" s="314">
        <f t="shared" si="9"/>
        <v>-128512.71946646112</v>
      </c>
      <c r="K75" s="314">
        <f t="shared" si="9"/>
        <v>-321721.91071912012</v>
      </c>
      <c r="L75" s="314">
        <f t="shared" si="9"/>
        <v>-316880.67813647946</v>
      </c>
      <c r="M75" s="314">
        <f t="shared" si="9"/>
        <v>-418546.56237193325</v>
      </c>
      <c r="N75" s="314">
        <f t="shared" si="9"/>
        <v>-300596.53217668814</v>
      </c>
      <c r="O75" s="314">
        <f t="shared" si="9"/>
        <v>-302356.98038855748</v>
      </c>
      <c r="P75" s="314">
        <f t="shared" si="9"/>
        <v>-297515.74780591682</v>
      </c>
      <c r="Q75" s="314">
        <f t="shared" si="9"/>
        <v>-292674.51522327616</v>
      </c>
      <c r="R75" s="314">
        <f t="shared" si="9"/>
        <v>-89782.858805335869</v>
      </c>
      <c r="S75" s="314">
        <f t="shared" si="9"/>
        <v>-282992.05005799484</v>
      </c>
      <c r="T75" s="314">
        <f t="shared" si="9"/>
        <v>-271549.13668084424</v>
      </c>
      <c r="U75" s="314">
        <f t="shared" si="9"/>
        <v>-273309.58489271358</v>
      </c>
      <c r="V75" s="314">
        <f t="shared" si="9"/>
        <v>-268468.35231007292</v>
      </c>
      <c r="W75" s="314">
        <f t="shared" si="9"/>
        <v>-263627.11972743226</v>
      </c>
      <c r="X75" s="314">
        <f t="shared" si="9"/>
        <v>-258785.8871447916</v>
      </c>
      <c r="Y75" s="314">
        <f t="shared" si="9"/>
        <v>-253944.65456215094</v>
      </c>
      <c r="Z75" s="314">
        <f t="shared" si="9"/>
        <v>-51052.998144210636</v>
      </c>
      <c r="AA75" s="314">
        <f t="shared" si="9"/>
        <v>-244262.18939686962</v>
      </c>
      <c r="AB75" s="314">
        <f t="shared" si="9"/>
        <v>-239420.95681422896</v>
      </c>
      <c r="AC75" s="314">
        <f t="shared" si="9"/>
        <v>-234579.7242315883</v>
      </c>
      <c r="AD75" s="314">
        <f t="shared" si="9"/>
        <v>-229738.49164894765</v>
      </c>
      <c r="AE75" s="314">
        <f t="shared" si="9"/>
        <v>-224897.25906630699</v>
      </c>
    </row>
    <row r="76" spans="1:31" x14ac:dyDescent="0.2">
      <c r="A76" s="311" t="s">
        <v>255</v>
      </c>
      <c r="B76" s="315">
        <f t="shared" ref="B76:AE76" si="10">-B67</f>
        <v>0</v>
      </c>
      <c r="C76" s="315">
        <f t="shared" si="10"/>
        <v>220056.02648366627</v>
      </c>
      <c r="D76" s="315">
        <f t="shared" si="10"/>
        <v>220056.02648366627</v>
      </c>
      <c r="E76" s="315">
        <f t="shared" si="10"/>
        <v>220056.02648366627</v>
      </c>
      <c r="F76" s="315">
        <f t="shared" si="10"/>
        <v>220056.02648366627</v>
      </c>
      <c r="G76" s="315">
        <f t="shared" si="10"/>
        <v>220056.02648366627</v>
      </c>
      <c r="H76" s="315">
        <f t="shared" si="10"/>
        <v>220056.02648366627</v>
      </c>
      <c r="I76" s="315">
        <f t="shared" si="10"/>
        <v>220056.02648366627</v>
      </c>
      <c r="J76" s="315">
        <f t="shared" si="10"/>
        <v>220056.02648366627</v>
      </c>
      <c r="K76" s="315">
        <f t="shared" si="10"/>
        <v>220056.02648366627</v>
      </c>
      <c r="L76" s="315">
        <f t="shared" si="10"/>
        <v>220056.02648366627</v>
      </c>
      <c r="M76" s="315">
        <f t="shared" si="10"/>
        <v>220056.02648366627</v>
      </c>
      <c r="N76" s="315">
        <f t="shared" si="10"/>
        <v>220056.02648366627</v>
      </c>
      <c r="O76" s="315">
        <f t="shared" si="10"/>
        <v>220056.02648366627</v>
      </c>
      <c r="P76" s="315">
        <f t="shared" si="10"/>
        <v>220056.02648366627</v>
      </c>
      <c r="Q76" s="315">
        <f t="shared" si="10"/>
        <v>220056.02648366627</v>
      </c>
      <c r="R76" s="315">
        <f t="shared" si="10"/>
        <v>220056.02648366627</v>
      </c>
      <c r="S76" s="315">
        <f t="shared" si="10"/>
        <v>220056.02648366627</v>
      </c>
      <c r="T76" s="315">
        <f t="shared" si="10"/>
        <v>220056.02648366627</v>
      </c>
      <c r="U76" s="315">
        <f t="shared" si="10"/>
        <v>220056.02648366627</v>
      </c>
      <c r="V76" s="315">
        <f t="shared" si="10"/>
        <v>220056.02648366627</v>
      </c>
      <c r="W76" s="315">
        <f t="shared" si="10"/>
        <v>220056.02648366627</v>
      </c>
      <c r="X76" s="315">
        <f t="shared" si="10"/>
        <v>220056.02648366627</v>
      </c>
      <c r="Y76" s="315">
        <f t="shared" si="10"/>
        <v>220056.02648366627</v>
      </c>
      <c r="Z76" s="315">
        <f t="shared" si="10"/>
        <v>220056.02648366627</v>
      </c>
      <c r="AA76" s="315">
        <f t="shared" si="10"/>
        <v>220056.02648366627</v>
      </c>
      <c r="AB76" s="315">
        <f t="shared" si="10"/>
        <v>220056.02648366627</v>
      </c>
      <c r="AC76" s="315">
        <f t="shared" si="10"/>
        <v>220056.02648366627</v>
      </c>
      <c r="AD76" s="315">
        <f t="shared" si="10"/>
        <v>220056.02648366627</v>
      </c>
      <c r="AE76" s="315">
        <f t="shared" si="10"/>
        <v>220056.02648366627</v>
      </c>
    </row>
    <row r="77" spans="1:31" x14ac:dyDescent="0.2">
      <c r="A77" s="311" t="s">
        <v>254</v>
      </c>
      <c r="B77" s="315">
        <f t="shared" ref="B77:AE77" si="11">B69</f>
        <v>0</v>
      </c>
      <c r="C77" s="315">
        <f t="shared" si="11"/>
        <v>0</v>
      </c>
      <c r="D77" s="315">
        <f t="shared" si="11"/>
        <v>0</v>
      </c>
      <c r="E77" s="315">
        <f t="shared" si="11"/>
        <v>0</v>
      </c>
      <c r="F77" s="315">
        <f t="shared" si="11"/>
        <v>0</v>
      </c>
      <c r="G77" s="315">
        <f t="shared" si="11"/>
        <v>0</v>
      </c>
      <c r="H77" s="315">
        <f t="shared" si="11"/>
        <v>0</v>
      </c>
      <c r="I77" s="315">
        <f t="shared" si="11"/>
        <v>0</v>
      </c>
      <c r="J77" s="315">
        <f t="shared" si="11"/>
        <v>0</v>
      </c>
      <c r="K77" s="315">
        <f t="shared" si="11"/>
        <v>0</v>
      </c>
      <c r="L77" s="315">
        <f t="shared" si="11"/>
        <v>0</v>
      </c>
      <c r="M77" s="315">
        <f t="shared" si="11"/>
        <v>0</v>
      </c>
      <c r="N77" s="315">
        <f t="shared" si="11"/>
        <v>0</v>
      </c>
      <c r="O77" s="315">
        <f t="shared" si="11"/>
        <v>0</v>
      </c>
      <c r="P77" s="315">
        <f t="shared" si="11"/>
        <v>0</v>
      </c>
      <c r="Q77" s="315">
        <f t="shared" si="11"/>
        <v>0</v>
      </c>
      <c r="R77" s="315">
        <f t="shared" si="11"/>
        <v>0</v>
      </c>
      <c r="S77" s="315">
        <f t="shared" si="11"/>
        <v>0</v>
      </c>
      <c r="T77" s="315">
        <f t="shared" si="11"/>
        <v>0</v>
      </c>
      <c r="U77" s="315">
        <f t="shared" si="11"/>
        <v>0</v>
      </c>
      <c r="V77" s="315">
        <f t="shared" si="11"/>
        <v>0</v>
      </c>
      <c r="W77" s="315">
        <f t="shared" si="11"/>
        <v>0</v>
      </c>
      <c r="X77" s="315">
        <f t="shared" si="11"/>
        <v>0</v>
      </c>
      <c r="Y77" s="315">
        <f t="shared" si="11"/>
        <v>0</v>
      </c>
      <c r="Z77" s="315">
        <f t="shared" si="11"/>
        <v>0</v>
      </c>
      <c r="AA77" s="315">
        <f t="shared" si="11"/>
        <v>0</v>
      </c>
      <c r="AB77" s="315">
        <f t="shared" si="11"/>
        <v>0</v>
      </c>
      <c r="AC77" s="315">
        <f t="shared" si="11"/>
        <v>0</v>
      </c>
      <c r="AD77" s="315">
        <f t="shared" si="11"/>
        <v>0</v>
      </c>
      <c r="AE77" s="315">
        <f t="shared" si="11"/>
        <v>0</v>
      </c>
    </row>
    <row r="78" spans="1:31" x14ac:dyDescent="0.2">
      <c r="A78" s="311" t="s">
        <v>253</v>
      </c>
      <c r="B78" s="315">
        <f>IF(SUM($B$71:B71)+SUM($A$78:A78)&gt;0,0,SUM($B$71:B71)-SUM($A$78:A78))</f>
        <v>0</v>
      </c>
      <c r="C78" s="315">
        <f>IF(SUM($B$71:C71)+SUM($A$78:B78)&gt;0,0,SUM($B$71:C71)-SUM($A$78:B78))</f>
        <v>0</v>
      </c>
      <c r="D78" s="315">
        <f>IF(SUM($B$71:D71)+SUM($A$78:C78)&gt;0,0,SUM($B$71:D71)-SUM($A$78:C78))</f>
        <v>0</v>
      </c>
      <c r="E78" s="315">
        <f>IF(SUM($B$71:E71)+SUM($A$78:D78)&gt;0,0,SUM($B$71:E71)-SUM($A$78:D78))</f>
        <v>0</v>
      </c>
      <c r="F78" s="315">
        <f>IF(SUM($B$71:F71)+SUM($A$78:E78)&gt;0,0,SUM($B$71:F71)-SUM($A$78:E78))</f>
        <v>0</v>
      </c>
      <c r="G78" s="315">
        <f>IF(SUM($B$71:G71)+SUM($A$78:F78)&gt;0,0,SUM($B$71:G71)-SUM($A$78:F78))</f>
        <v>0</v>
      </c>
      <c r="H78" s="315">
        <f>IF(SUM($B$71:H71)+SUM($A$78:G78)&gt;0,0,SUM($B$71:H71)-SUM($A$78:G78))</f>
        <v>0</v>
      </c>
      <c r="I78" s="315">
        <f>IF(SUM($B$71:I71)+SUM($A$78:H78)&gt;0,0,SUM($B$71:I71)-SUM($A$78:H78))</f>
        <v>0</v>
      </c>
      <c r="J78" s="315">
        <f>IF(SUM($B$71:J71)+SUM($A$78:I78)&gt;0,0,SUM($B$71:J71)-SUM($A$78:I78))</f>
        <v>0</v>
      </c>
      <c r="K78" s="315">
        <f>IF(SUM($B$71:K71)+SUM($A$78:J78)&gt;0,0,SUM($B$71:K71)-SUM($A$78:J78))</f>
        <v>0</v>
      </c>
      <c r="L78" s="315">
        <f>IF(SUM($B$71:L71)+SUM($A$78:K78)&gt;0,0,SUM($B$71:L71)-SUM($A$78:K78))</f>
        <v>0</v>
      </c>
      <c r="M78" s="315">
        <f>IF(SUM($B$71:M71)+SUM($A$78:L78)&gt;0,0,SUM($B$71:M71)-SUM($A$78:L78))</f>
        <v>0</v>
      </c>
      <c r="N78" s="315">
        <f>IF(SUM($B$71:N71)+SUM($A$78:M78)&gt;0,0,SUM($B$71:N71)-SUM($A$78:M78))</f>
        <v>0</v>
      </c>
      <c r="O78" s="315">
        <f>IF(SUM($B$71:O71)+SUM($A$78:N78)&gt;0,0,SUM($B$71:O71)-SUM($A$78:N78))</f>
        <v>0</v>
      </c>
      <c r="P78" s="315">
        <f>IF(SUM($B$71:P71)+SUM($A$78:O78)&gt;0,0,SUM($B$71:P71)-SUM($A$78:O78))</f>
        <v>0</v>
      </c>
      <c r="Q78" s="315">
        <f>IF(SUM($B$71:Q71)+SUM($A$78:P78)&gt;0,0,SUM($B$71:Q71)-SUM($A$78:P78))</f>
        <v>0</v>
      </c>
      <c r="R78" s="315">
        <f>IF(SUM($B$71:R71)+SUM($A$78:Q78)&gt;0,0,SUM($B$71:R71)-SUM($A$78:Q78))</f>
        <v>0</v>
      </c>
      <c r="S78" s="315">
        <f>IF(SUM($B$71:S71)+SUM($A$78:R78)&gt;0,0,SUM($B$71:S71)-SUM($A$78:R78))</f>
        <v>0</v>
      </c>
      <c r="T78" s="315">
        <f>IF(SUM($B$71:T71)+SUM($A$78:S78)&gt;0,0,SUM($B$71:T71)-SUM($A$78:S78))</f>
        <v>0</v>
      </c>
      <c r="U78" s="315">
        <f>IF(SUM($B$71:U71)+SUM($A$78:T78)&gt;0,0,SUM($B$71:U71)-SUM($A$78:T78))</f>
        <v>0</v>
      </c>
      <c r="V78" s="315">
        <f>IF(SUM($B$71:V71)+SUM($A$78:U78)&gt;0,0,SUM($B$71:V71)-SUM($A$78:U78))</f>
        <v>0</v>
      </c>
      <c r="W78" s="315">
        <f>IF(SUM($B$71:W71)+SUM($A$78:V78)&gt;0,0,SUM($B$71:W71)-SUM($A$78:V78))</f>
        <v>0</v>
      </c>
      <c r="X78" s="315">
        <f>IF(SUM($B$71:X71)+SUM($A$78:W78)&gt;0,0,SUM($B$71:X71)-SUM($A$78:W78))</f>
        <v>0</v>
      </c>
      <c r="Y78" s="315">
        <f>IF(SUM($B$71:Y71)+SUM($A$78:X78)&gt;0,0,SUM($B$71:Y71)-SUM($A$78:X78))</f>
        <v>0</v>
      </c>
      <c r="Z78" s="315">
        <f>IF(SUM($B$71:Z71)+SUM($A$78:Y78)&gt;0,0,SUM($B$71:Z71)-SUM($A$78:Y78))</f>
        <v>0</v>
      </c>
      <c r="AA78" s="315">
        <f>IF(SUM($B$71:AA71)+SUM($A$78:Z78)&gt;0,0,SUM($B$71:AA71)-SUM($A$78:Z78))</f>
        <v>0</v>
      </c>
      <c r="AB78" s="315">
        <f>IF(SUM($B$71:AB71)+SUM($A$78:AA78)&gt;0,0,SUM($B$71:AB71)-SUM($A$78:AA78))</f>
        <v>0</v>
      </c>
      <c r="AC78" s="315">
        <f>IF(SUM($B$71:AC71)+SUM($A$78:AB78)&gt;0,0,SUM($B$71:AC71)-SUM($A$78:AB78))</f>
        <v>0</v>
      </c>
      <c r="AD78" s="315">
        <f>IF(SUM($B$71:AD71)+SUM($A$78:AC78)&gt;0,0,SUM($B$71:AD71)-SUM($A$78:AC78))</f>
        <v>0</v>
      </c>
      <c r="AE78" s="315">
        <f>IF(SUM($B$71:AE71)+SUM($A$78:AD78)&gt;0,0,SUM($B$71:AE71)-SUM($A$78:AD78))</f>
        <v>0</v>
      </c>
    </row>
    <row r="79" spans="1:31" x14ac:dyDescent="0.2">
      <c r="A79" s="311" t="s">
        <v>252</v>
      </c>
      <c r="B79" s="315">
        <f>IF(((SUM($B$58:B58)+SUM($B$60:B64))+SUM($B$81:B81))&lt;0,((SUM($B$58:B58)+SUM($B$60:B64))+SUM($B$81:B81))*0.2-SUM($A$79:A79),IF(SUM(A$79:$A79)&lt;0,0-SUM(A$79:$A79),0))</f>
        <v>-1584403.3906823974</v>
      </c>
      <c r="C79" s="315">
        <f>IF(((SUM($B$58:C58)+SUM($B$60:C64))+SUM($B$81:C81))&lt;0,((SUM($B$58:C58)+SUM($B$60:C64))+SUM($B$81:C81))*0.2-SUM($A$79:B79),IF(SUM($A$79:B79)&lt;0,0-SUM($A$79:B79),0))</f>
        <v>0</v>
      </c>
      <c r="D79" s="315">
        <f>IF(((SUM($B$58:D58)+SUM($B$60:D64))+SUM($B$81:D81))&lt;0,((SUM($B$58:D58)+SUM($B$60:D64))+SUM($B$81:D81))*0.2-SUM($A$79:C79),IF(SUM($A$79:C79)&lt;0,0-SUM($A$79:C79),0))</f>
        <v>0</v>
      </c>
      <c r="E79" s="315">
        <f>IF(((SUM($B$58:E58)+SUM($B$60:E64))+SUM($B$81:E81))&lt;0,((SUM($B$58:E58)+SUM($B$60:E64))+SUM($B$81:E81))*0.2-SUM($A$79:D79),IF(SUM($A$79:D79)&lt;0,0-SUM($A$79:D79),0))</f>
        <v>0</v>
      </c>
      <c r="F79" s="315">
        <f>IF(((SUM($B$58:F58)+SUM($B$60:F64))+SUM($B$81:F81))&lt;0,((SUM($B$58:F58)+SUM($B$60:F64))+SUM($B$81:F81))*0.2-SUM($A$79:E79),IF(SUM($A$79:E79)&lt;0,0-SUM($A$79:E79),0))</f>
        <v>0</v>
      </c>
      <c r="G79" s="315">
        <f>IF(((SUM($B$58:G58)+SUM($B$60:G64))+SUM($B$81:G81))&lt;0,((SUM($B$58:G58)+SUM($B$60:G64))+SUM($B$81:G81))*0.2-SUM($A$79:F79),IF(SUM($A$79:F79)&lt;0,0-SUM($A$79:F79),0))</f>
        <v>0</v>
      </c>
      <c r="H79" s="315">
        <f>IF(((SUM($B$58:H58)+SUM($B$60:H64))+SUM($B$81:H81))&lt;0,((SUM($B$58:H58)+SUM($B$60:H64))+SUM($B$81:H81))*0.2-SUM($A$79:G79),IF(SUM($A$79:G79)&lt;0,0-SUM($A$79:G79),0))</f>
        <v>1320.3361589021515</v>
      </c>
      <c r="I79" s="315">
        <f>IF(((SUM($B$58:I58)+SUM($B$60:I64))+SUM($B$81:I81))&lt;0,((SUM($B$58:I58)+SUM($B$60:I64))+SUM($B$81:I81))*0.2-SUM($A$79:H79),IF(SUM($A$79:H79)&lt;0,0-SUM($A$79:H79),0))</f>
        <v>0</v>
      </c>
      <c r="J79" s="315">
        <f>IF(((SUM($B$58:J58)+SUM($B$60:J64))+SUM($B$81:J81))&lt;0,((SUM($B$58:J58)+SUM($B$60:J64))+SUM($B$81:J81))*0.2-SUM($A$79:I79),IF(SUM($A$79:I79)&lt;0,0-SUM($A$79:I79),0))</f>
        <v>39610.084767059889</v>
      </c>
      <c r="K79" s="315">
        <f>IF(((SUM($B$58:K58)+SUM($B$60:K64))+SUM($B$81:K81))&lt;0,((SUM($B$58:K58)+SUM($B$60:K64))+SUM($B$81:K81))*0.2-SUM($A$79:J79),IF(SUM($A$79:J79)&lt;0,0-SUM($A$79:J79),0))</f>
        <v>0</v>
      </c>
      <c r="L79" s="315">
        <f>IF(((SUM($B$58:L58)+SUM($B$60:L64))+SUM($B$81:L81))&lt;0,((SUM($B$58:L58)+SUM($B$60:L64))+SUM($B$81:L81))*0.2-SUM($A$79:K79),IF(SUM($A$79:K79)&lt;0,0-SUM($A$79:K79),0))</f>
        <v>0</v>
      </c>
      <c r="M79" s="315">
        <f>IF(((SUM($B$58:M58)+SUM($B$60:M64))+SUM($B$81:M81))&lt;0,((SUM($B$58:M58)+SUM($B$60:M64))+SUM($B$81:M81))*0.2-SUM($A$79:L79),IF(SUM($A$79:L79)&lt;0,0-SUM($A$79:L79),0))</f>
        <v>0</v>
      </c>
      <c r="N79" s="315">
        <f>IF(((SUM($B$58:N58)+SUM($B$60:N64))+SUM($B$81:N81))&lt;0,((SUM($B$58:N58)+SUM($B$60:N64))+SUM($B$81:N81))*0.2-SUM($A$79:M79),IF(SUM($A$79:M79)&lt;0,0-SUM($A$79:M79),0))</f>
        <v>1320.3361589021515</v>
      </c>
      <c r="O79" s="315">
        <f>IF(((SUM($B$58:O58)+SUM($B$60:O64))+SUM($B$81:O81))&lt;0,((SUM($B$58:O58)+SUM($B$60:O64))+SUM($B$81:O81))*0.2-SUM($A$79:N79),IF(SUM($A$79:N79)&lt;0,0-SUM($A$79:N79),0))</f>
        <v>0</v>
      </c>
      <c r="P79" s="315">
        <f>IF(((SUM($B$58:P58)+SUM($B$60:P64))+SUM($B$81:P81))&lt;0,((SUM($B$58:P58)+SUM($B$60:P64))+SUM($B$81:P81))*0.2-SUM($A$79:O79),IF(SUM($A$79:O79)&lt;0,0-SUM($A$79:O79),0))</f>
        <v>0</v>
      </c>
      <c r="Q79" s="315">
        <f>IF(((SUM($B$58:Q58)+SUM($B$60:Q64))+SUM($B$81:Q81))&lt;0,((SUM($B$58:Q58)+SUM($B$60:Q64))+SUM($B$81:Q81))*0.2-SUM($A$79:P79),IF(SUM($A$79:P79)&lt;0,0-SUM($A$79:P79),0))</f>
        <v>0</v>
      </c>
      <c r="R79" s="315">
        <f>IF(((SUM($B$58:R58)+SUM($B$60:R64))+SUM($B$81:R81))&lt;0,((SUM($B$58:R58)+SUM($B$60:R64))+SUM($B$81:R81))*0.2-SUM($A$79:Q79),IF(SUM($A$79:Q79)&lt;0,0-SUM($A$79:Q79),0))</f>
        <v>39610.084767059656</v>
      </c>
      <c r="S79" s="315">
        <f>IF(((SUM($B$58:S58)+SUM($B$60:S64))+SUM($B$81:S81))&lt;0,((SUM($B$58:S58)+SUM($B$60:S64))+SUM($B$81:S81))*0.2-SUM($A$79:R79),IF(SUM($A$79:R79)&lt;0,0-SUM($A$79:R79),0))</f>
        <v>0</v>
      </c>
      <c r="T79" s="315">
        <f>IF(((SUM($B$58:T58)+SUM($B$60:T64))+SUM($B$81:T81))&lt;0,((SUM($B$58:T58)+SUM($B$60:T64))+SUM($B$81:T81))*0.2-SUM($A$79:S79),IF(SUM($A$79:S79)&lt;0,0-SUM($A$79:S79),0))</f>
        <v>1320.3361589021515</v>
      </c>
      <c r="U79" s="315">
        <f>IF(((SUM($B$58:U58)+SUM($B$60:U64))+SUM($B$81:U81))&lt;0,((SUM($B$58:U58)+SUM($B$60:U64))+SUM($B$81:U81))*0.2-SUM($A$79:T79),IF(SUM($A$79:T79)&lt;0,0-SUM($A$79:T79),0))</f>
        <v>0</v>
      </c>
      <c r="V79" s="315">
        <f>IF(((SUM($B$58:V58)+SUM($B$60:V64))+SUM($B$81:V81))&lt;0,((SUM($B$58:V58)+SUM($B$60:V64))+SUM($B$81:V81))*0.2-SUM($A$79:U79),IF(SUM($A$79:U79)&lt;0,0-SUM($A$79:U79),0))</f>
        <v>0</v>
      </c>
      <c r="W79" s="315">
        <f>IF(((SUM($B$58:W58)+SUM($B$60:W64))+SUM($B$81:W81))&lt;0,((SUM($B$58:W58)+SUM($B$60:W64))+SUM($B$81:W81))*0.2-SUM($A$79:V79),IF(SUM($A$79:V79)&lt;0,0-SUM($A$79:V79),0))</f>
        <v>0</v>
      </c>
      <c r="X79" s="315">
        <f>IF(((SUM($B$58:X58)+SUM($B$60:X64))+SUM($B$81:X81))&lt;0,((SUM($B$58:X58)+SUM($B$60:X64))+SUM($B$81:X81))*0.2-SUM($A$79:W79),IF(SUM($A$79:W79)&lt;0,0-SUM($A$79:W79),0))</f>
        <v>0</v>
      </c>
      <c r="Y79" s="315">
        <f>IF(((SUM($B$58:Y58)+SUM($B$60:Y64))+SUM($B$81:Y81))&lt;0,((SUM($B$58:Y58)+SUM($B$60:Y64))+SUM($B$81:Y81))*0.2-SUM($A$79:X79),IF(SUM($A$79:X79)&lt;0,0-SUM($A$79:X79),0))</f>
        <v>0</v>
      </c>
      <c r="Z79" s="315">
        <f>IF(((SUM($B$58:Z58)+SUM($B$60:Z64))+SUM($B$81:Z81))&lt;0,((SUM($B$58:Z58)+SUM($B$60:Z64))+SUM($B$81:Z81))*0.2-SUM($A$79:Y79),IF(SUM($A$79:Y79)&lt;0,0-SUM($A$79:Y79),0))</f>
        <v>39610.084767059889</v>
      </c>
      <c r="AA79" s="315">
        <f>IF(((SUM($B$58:AA58)+SUM($B$60:AA64))+SUM($B$81:AA81))&lt;0,((SUM($B$58:AA58)+SUM($B$60:AA64))+SUM($B$81:AA81))*0.2-SUM($A$79:Z79),IF(SUM($A$79:Z79)&lt;0,0-SUM($A$79:Z79),0))</f>
        <v>0</v>
      </c>
      <c r="AB79" s="315">
        <f>IF(((SUM($B$58:AB58)+SUM($B$60:AB64))+SUM($B$81:AB81))&lt;0,((SUM($B$58:AB58)+SUM($B$60:AB64))+SUM($B$81:AB81))*0.2-SUM($A$79:AA79),IF(SUM($A$79:AA79)&lt;0,0-SUM($A$79:AA79),0))</f>
        <v>0</v>
      </c>
      <c r="AC79" s="315">
        <f>IF(((SUM($B$58:AC58)+SUM($B$60:AC64))+SUM($B$81:AC81))&lt;0,((SUM($B$58:AC58)+SUM($B$60:AC64))+SUM($B$81:AC81))*0.2-SUM($A$79:AB79),IF(SUM($A$79:AB79)&lt;0,0-SUM($A$79:AB79),0))</f>
        <v>0</v>
      </c>
      <c r="AD79" s="315">
        <f>IF(((SUM($B$58:AD58)+SUM($B$60:AD64))+SUM($B$81:AD81))&lt;0,((SUM($B$58:AD58)+SUM($B$60:AD64))+SUM($B$81:AD81))*0.2-SUM($A$79:AC79),IF(SUM($A$79:AC79)&lt;0,0-SUM($A$79:AC79),0))</f>
        <v>0</v>
      </c>
      <c r="AE79" s="315">
        <f>IF(((SUM($B$58:AE58)+SUM($B$60:AE64))+SUM($B$81:AE81))&lt;0,((SUM($B$58:AE58)+SUM($B$60:AE64))+SUM($B$81:AE81))*0.2-SUM($A$79:AD79),IF(SUM($A$79:AD79)&lt;0,0-SUM($A$79:AD79),0))</f>
        <v>0</v>
      </c>
    </row>
    <row r="80" spans="1:31" x14ac:dyDescent="0.2">
      <c r="A80" s="311" t="s">
        <v>251</v>
      </c>
      <c r="B80" s="315">
        <f>-B58*($B$38)</f>
        <v>0</v>
      </c>
      <c r="C80" s="315">
        <f t="shared" ref="C80:AE80" si="12">-C58*($B$38)</f>
        <v>0</v>
      </c>
      <c r="D80" s="315">
        <f t="shared" si="12"/>
        <v>0</v>
      </c>
      <c r="E80" s="315">
        <f t="shared" si="12"/>
        <v>0</v>
      </c>
      <c r="F80" s="315">
        <f t="shared" si="12"/>
        <v>0</v>
      </c>
      <c r="G80" s="315">
        <f t="shared" si="12"/>
        <v>0</v>
      </c>
      <c r="H80" s="315">
        <f t="shared" si="12"/>
        <v>0</v>
      </c>
      <c r="I80" s="315">
        <f t="shared" si="12"/>
        <v>0</v>
      </c>
      <c r="J80" s="315">
        <f t="shared" si="12"/>
        <v>0</v>
      </c>
      <c r="K80" s="315">
        <f t="shared" si="12"/>
        <v>0</v>
      </c>
      <c r="L80" s="315">
        <f t="shared" si="12"/>
        <v>0</v>
      </c>
      <c r="M80" s="315">
        <f t="shared" si="12"/>
        <v>0</v>
      </c>
      <c r="N80" s="315">
        <f t="shared" si="12"/>
        <v>0</v>
      </c>
      <c r="O80" s="315">
        <f t="shared" si="12"/>
        <v>0</v>
      </c>
      <c r="P80" s="315">
        <f t="shared" si="12"/>
        <v>0</v>
      </c>
      <c r="Q80" s="315">
        <f t="shared" si="12"/>
        <v>0</v>
      </c>
      <c r="R80" s="315">
        <f t="shared" si="12"/>
        <v>0</v>
      </c>
      <c r="S80" s="315">
        <f t="shared" si="12"/>
        <v>0</v>
      </c>
      <c r="T80" s="315">
        <f t="shared" si="12"/>
        <v>0</v>
      </c>
      <c r="U80" s="315">
        <f t="shared" si="12"/>
        <v>0</v>
      </c>
      <c r="V80" s="315">
        <f t="shared" si="12"/>
        <v>0</v>
      </c>
      <c r="W80" s="315">
        <f t="shared" si="12"/>
        <v>0</v>
      </c>
      <c r="X80" s="315">
        <f t="shared" si="12"/>
        <v>0</v>
      </c>
      <c r="Y80" s="315">
        <f t="shared" si="12"/>
        <v>0</v>
      </c>
      <c r="Z80" s="315">
        <f t="shared" si="12"/>
        <v>0</v>
      </c>
      <c r="AA80" s="315">
        <f t="shared" si="12"/>
        <v>0</v>
      </c>
      <c r="AB80" s="315">
        <f t="shared" si="12"/>
        <v>0</v>
      </c>
      <c r="AC80" s="315">
        <f t="shared" si="12"/>
        <v>0</v>
      </c>
      <c r="AD80" s="315">
        <f t="shared" si="12"/>
        <v>0</v>
      </c>
      <c r="AE80" s="315">
        <f t="shared" si="12"/>
        <v>0</v>
      </c>
    </row>
    <row r="81" spans="1:31" x14ac:dyDescent="0.2">
      <c r="A81" s="311" t="s">
        <v>433</v>
      </c>
      <c r="B81" s="321">
        <f>-'6.2. Паспорт фин осв ввод'!V24*1000000</f>
        <v>-7922016.9534119861</v>
      </c>
      <c r="C81" s="321"/>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row>
    <row r="82" spans="1:31" x14ac:dyDescent="0.2">
      <c r="A82" s="311" t="s">
        <v>250</v>
      </c>
      <c r="B82" s="312">
        <v>0</v>
      </c>
      <c r="C82" s="312">
        <v>0</v>
      </c>
      <c r="D82" s="312">
        <v>0</v>
      </c>
      <c r="E82" s="312">
        <v>0</v>
      </c>
      <c r="F82" s="312">
        <v>0</v>
      </c>
      <c r="G82" s="312">
        <v>0</v>
      </c>
      <c r="H82" s="312">
        <v>0</v>
      </c>
      <c r="I82" s="312">
        <v>0</v>
      </c>
      <c r="J82" s="312">
        <v>0</v>
      </c>
      <c r="K82" s="312">
        <v>0</v>
      </c>
      <c r="L82" s="312">
        <v>0</v>
      </c>
      <c r="M82" s="312">
        <v>0</v>
      </c>
      <c r="N82" s="312">
        <v>0</v>
      </c>
      <c r="O82" s="312">
        <v>0</v>
      </c>
      <c r="P82" s="312">
        <v>0</v>
      </c>
      <c r="Q82" s="312">
        <v>0</v>
      </c>
      <c r="R82" s="312">
        <v>0</v>
      </c>
      <c r="S82" s="312">
        <v>0</v>
      </c>
      <c r="T82" s="312">
        <v>0</v>
      </c>
      <c r="U82" s="312">
        <v>0</v>
      </c>
      <c r="V82" s="312">
        <v>0</v>
      </c>
      <c r="W82" s="312">
        <v>0</v>
      </c>
      <c r="X82" s="312">
        <v>0</v>
      </c>
      <c r="Y82" s="312">
        <v>0</v>
      </c>
      <c r="Z82" s="312">
        <v>0</v>
      </c>
      <c r="AA82" s="312">
        <v>0</v>
      </c>
      <c r="AB82" s="312">
        <v>0</v>
      </c>
      <c r="AC82" s="312">
        <v>0</v>
      </c>
      <c r="AD82" s="312">
        <v>0</v>
      </c>
      <c r="AE82" s="312">
        <v>0</v>
      </c>
    </row>
    <row r="83" spans="1:31" x14ac:dyDescent="0.2">
      <c r="A83" s="313" t="s">
        <v>249</v>
      </c>
      <c r="B83" s="314">
        <f t="shared" ref="B83:AE83" si="13">SUM(B75:B82)</f>
        <v>-9506420.3440943845</v>
      </c>
      <c r="C83" s="314">
        <f t="shared" si="13"/>
        <v>-140395.74489657907</v>
      </c>
      <c r="D83" s="314">
        <f t="shared" si="13"/>
        <v>-135554.51231393847</v>
      </c>
      <c r="E83" s="314">
        <f t="shared" si="13"/>
        <v>-130713.27973129775</v>
      </c>
      <c r="F83" s="314">
        <f t="shared" si="13"/>
        <v>-125872.04714865715</v>
      </c>
      <c r="G83" s="314">
        <f t="shared" si="13"/>
        <v>-121030.81456601643</v>
      </c>
      <c r="H83" s="314">
        <f t="shared" si="13"/>
        <v>-108267.56502996368</v>
      </c>
      <c r="I83" s="314">
        <f t="shared" si="13"/>
        <v>-111348.34940073517</v>
      </c>
      <c r="J83" s="314">
        <f t="shared" si="13"/>
        <v>131153.39178426506</v>
      </c>
      <c r="K83" s="314">
        <f t="shared" si="13"/>
        <v>-101665.88423545385</v>
      </c>
      <c r="L83" s="314">
        <f t="shared" si="13"/>
        <v>-96824.651652813191</v>
      </c>
      <c r="M83" s="314">
        <f t="shared" si="13"/>
        <v>-198490.53588826698</v>
      </c>
      <c r="N83" s="314">
        <f t="shared" si="13"/>
        <v>-79220.169534119719</v>
      </c>
      <c r="O83" s="314">
        <f t="shared" si="13"/>
        <v>-82300.953904891212</v>
      </c>
      <c r="P83" s="314">
        <f t="shared" si="13"/>
        <v>-77459.721322250552</v>
      </c>
      <c r="Q83" s="314">
        <f t="shared" si="13"/>
        <v>-72618.488739609893</v>
      </c>
      <c r="R83" s="314">
        <f t="shared" si="13"/>
        <v>169883.25244539004</v>
      </c>
      <c r="S83" s="314">
        <f t="shared" si="13"/>
        <v>-62936.023574328574</v>
      </c>
      <c r="T83" s="314">
        <f t="shared" si="13"/>
        <v>-50172.77403827582</v>
      </c>
      <c r="U83" s="314">
        <f t="shared" si="13"/>
        <v>-53253.558409047313</v>
      </c>
      <c r="V83" s="314">
        <f t="shared" si="13"/>
        <v>-48412.325826406654</v>
      </c>
      <c r="W83" s="314">
        <f t="shared" si="13"/>
        <v>-43571.093243765994</v>
      </c>
      <c r="X83" s="314">
        <f t="shared" si="13"/>
        <v>-38729.860661125334</v>
      </c>
      <c r="Y83" s="314">
        <f t="shared" si="13"/>
        <v>-33888.628078484675</v>
      </c>
      <c r="Z83" s="314">
        <f t="shared" si="13"/>
        <v>208613.11310651552</v>
      </c>
      <c r="AA83" s="314">
        <f t="shared" si="13"/>
        <v>-24206.162913203356</v>
      </c>
      <c r="AB83" s="314">
        <f t="shared" si="13"/>
        <v>-19364.930330562696</v>
      </c>
      <c r="AC83" s="314">
        <f t="shared" si="13"/>
        <v>-14523.697747922037</v>
      </c>
      <c r="AD83" s="314">
        <f t="shared" si="13"/>
        <v>-9682.4651652813773</v>
      </c>
      <c r="AE83" s="314">
        <f t="shared" si="13"/>
        <v>-4841.2325826407177</v>
      </c>
    </row>
    <row r="84" spans="1:31" x14ac:dyDescent="0.2">
      <c r="A84" s="313" t="s">
        <v>626</v>
      </c>
      <c r="B84" s="314">
        <f>SUM($B$83:B83)</f>
        <v>-9506420.3440943845</v>
      </c>
      <c r="C84" s="314">
        <f>SUM($B$83:C83)</f>
        <v>-9646816.088990964</v>
      </c>
      <c r="D84" s="314">
        <f>SUM($B$83:D83)</f>
        <v>-9782370.6013049018</v>
      </c>
      <c r="E84" s="314">
        <f>SUM($B$83:E83)</f>
        <v>-9913083.8810361996</v>
      </c>
      <c r="F84" s="314">
        <f>SUM($B$83:F83)</f>
        <v>-10038955.928184858</v>
      </c>
      <c r="G84" s="314">
        <f>SUM($B$83:G83)</f>
        <v>-10159986.742750874</v>
      </c>
      <c r="H84" s="314">
        <f>SUM($B$83:H83)</f>
        <v>-10268254.307780838</v>
      </c>
      <c r="I84" s="314">
        <f>SUM($B$83:I83)</f>
        <v>-10379602.657181572</v>
      </c>
      <c r="J84" s="314">
        <f>SUM($B$83:J83)</f>
        <v>-10248449.265397307</v>
      </c>
      <c r="K84" s="314">
        <f>SUM($B$83:K83)</f>
        <v>-10350115.149632761</v>
      </c>
      <c r="L84" s="314">
        <f>SUM($B$83:L83)</f>
        <v>-10446939.801285574</v>
      </c>
      <c r="M84" s="314">
        <f>SUM($B$83:M83)</f>
        <v>-10645430.337173842</v>
      </c>
      <c r="N84" s="314">
        <f>SUM($B$83:N83)</f>
        <v>-10724650.506707961</v>
      </c>
      <c r="O84" s="314">
        <f>SUM($B$83:O83)</f>
        <v>-10806951.460612852</v>
      </c>
      <c r="P84" s="314">
        <f>SUM($B$83:P83)</f>
        <v>-10884411.181935102</v>
      </c>
      <c r="Q84" s="314">
        <f>SUM($B$83:Q83)</f>
        <v>-10957029.670674711</v>
      </c>
      <c r="R84" s="314">
        <f>SUM($B$83:R83)</f>
        <v>-10787146.418229321</v>
      </c>
      <c r="S84" s="314">
        <f>SUM($B$83:S83)</f>
        <v>-10850082.441803649</v>
      </c>
      <c r="T84" s="314">
        <f>SUM($B$83:T83)</f>
        <v>-10900255.215841925</v>
      </c>
      <c r="U84" s="314">
        <f>SUM($B$83:U83)</f>
        <v>-10953508.774250973</v>
      </c>
      <c r="V84" s="314">
        <f>SUM($B$83:V83)</f>
        <v>-11001921.100077379</v>
      </c>
      <c r="W84" s="314">
        <f>SUM($B$83:W83)</f>
        <v>-11045492.193321146</v>
      </c>
      <c r="X84" s="314">
        <f>SUM($B$83:X83)</f>
        <v>-11084222.053982271</v>
      </c>
      <c r="Y84" s="314">
        <f>SUM($B$83:Y83)</f>
        <v>-11118110.682060756</v>
      </c>
      <c r="Z84" s="314">
        <f>SUM($B$83:Z83)</f>
        <v>-10909497.568954241</v>
      </c>
      <c r="AA84" s="314">
        <f>SUM($B$83:AA83)</f>
        <v>-10933703.731867444</v>
      </c>
      <c r="AB84" s="314">
        <f>SUM($B$83:AB83)</f>
        <v>-10953068.662198007</v>
      </c>
      <c r="AC84" s="314">
        <f>SUM($B$83:AC83)</f>
        <v>-10967592.359945929</v>
      </c>
      <c r="AD84" s="314">
        <f>SUM($B$83:AD83)</f>
        <v>-10977274.82511121</v>
      </c>
      <c r="AE84" s="314">
        <f>SUM($B$83:AE83)</f>
        <v>-10982116.05769385</v>
      </c>
    </row>
    <row r="85" spans="1:31" x14ac:dyDescent="0.2">
      <c r="A85" s="322" t="s">
        <v>434</v>
      </c>
      <c r="B85" s="323">
        <f t="shared" ref="B85:AE85" si="14">1/POWER((1+$B$43),B73)</f>
        <v>0.95402649883562884</v>
      </c>
      <c r="C85" s="323">
        <f t="shared" si="14"/>
        <v>0.86832301705254278</v>
      </c>
      <c r="D85" s="323">
        <f t="shared" si="14"/>
        <v>0.79031857381682236</v>
      </c>
      <c r="E85" s="323">
        <f t="shared" si="14"/>
        <v>0.71932153801476506</v>
      </c>
      <c r="F85" s="323">
        <f t="shared" si="14"/>
        <v>0.65470241013449082</v>
      </c>
      <c r="G85" s="323">
        <f t="shared" si="14"/>
        <v>0.59588824077044755</v>
      </c>
      <c r="H85" s="323">
        <f t="shared" si="14"/>
        <v>0.54235755053285484</v>
      </c>
      <c r="I85" s="323">
        <f t="shared" si="14"/>
        <v>0.49363570631915432</v>
      </c>
      <c r="J85" s="323">
        <f t="shared" si="14"/>
        <v>0.44929071295090039</v>
      </c>
      <c r="K85" s="323">
        <f t="shared" si="14"/>
        <v>0.40892938286238317</v>
      </c>
      <c r="L85" s="323">
        <f t="shared" si="14"/>
        <v>0.37219384987929666</v>
      </c>
      <c r="M85" s="323">
        <f t="shared" si="14"/>
        <v>0.3387583961766602</v>
      </c>
      <c r="N85" s="323">
        <f t="shared" si="14"/>
        <v>0.30832656428202437</v>
      </c>
      <c r="O85" s="323">
        <f t="shared" si="14"/>
        <v>0.28062852851736092</v>
      </c>
      <c r="P85" s="323">
        <f t="shared" si="14"/>
        <v>0.25541870257336935</v>
      </c>
      <c r="Q85" s="323">
        <f t="shared" si="14"/>
        <v>0.23247356200361272</v>
      </c>
      <c r="R85" s="323">
        <f t="shared" si="14"/>
        <v>0.21158966233149432</v>
      </c>
      <c r="S85" s="323">
        <f t="shared" si="14"/>
        <v>0.19258183519750091</v>
      </c>
      <c r="T85" s="323">
        <f t="shared" si="14"/>
        <v>0.17528154655274497</v>
      </c>
      <c r="U85" s="323">
        <f t="shared" si="14"/>
        <v>0.15953540234162647</v>
      </c>
      <c r="V85" s="323">
        <f t="shared" si="14"/>
        <v>0.14520378842416171</v>
      </c>
      <c r="W85" s="323">
        <f t="shared" si="14"/>
        <v>0.13215963267876735</v>
      </c>
      <c r="X85" s="323">
        <f t="shared" si="14"/>
        <v>0.12028727830960895</v>
      </c>
      <c r="Y85" s="323">
        <f t="shared" si="14"/>
        <v>0.10948145836862559</v>
      </c>
      <c r="Z85" s="323">
        <f t="shared" si="14"/>
        <v>9.9646362399768443E-2</v>
      </c>
      <c r="AA85" s="323">
        <f t="shared" si="14"/>
        <v>9.0694786929797461E-2</v>
      </c>
      <c r="AB85" s="323">
        <f t="shared" si="14"/>
        <v>8.2547362273411681E-2</v>
      </c>
      <c r="AC85" s="323">
        <f t="shared" si="14"/>
        <v>7.5131848797134526E-2</v>
      </c>
      <c r="AD85" s="323">
        <f t="shared" si="14"/>
        <v>6.8382496402234039E-2</v>
      </c>
      <c r="AE85" s="323">
        <f t="shared" si="14"/>
        <v>6.2239461547496142E-2</v>
      </c>
    </row>
    <row r="86" spans="1:31" x14ac:dyDescent="0.2">
      <c r="A86" s="320" t="s">
        <v>627</v>
      </c>
      <c r="B86" s="314">
        <f t="shared" ref="B86:AE86" si="15">B83*B85</f>
        <v>-9069376.9173361603</v>
      </c>
      <c r="C86" s="314">
        <f t="shared" si="15"/>
        <v>-121908.85678993668</v>
      </c>
      <c r="D86" s="314">
        <f t="shared" si="15"/>
        <v>-107131.24884638673</v>
      </c>
      <c r="E86" s="314">
        <f t="shared" si="15"/>
        <v>-94024.877415271316</v>
      </c>
      <c r="F86" s="314">
        <f t="shared" si="15"/>
        <v>-82408.732636788103</v>
      </c>
      <c r="G86" s="314">
        <f t="shared" si="15"/>
        <v>-72120.839170757783</v>
      </c>
      <c r="H86" s="314">
        <f t="shared" si="15"/>
        <v>-58719.731371807669</v>
      </c>
      <c r="I86" s="314">
        <f t="shared" si="15"/>
        <v>-54965.521103903891</v>
      </c>
      <c r="J86" s="314">
        <f t="shared" si="15"/>
        <v>58926.000900681211</v>
      </c>
      <c r="K86" s="314">
        <f t="shared" si="15"/>
        <v>-41574.167298562636</v>
      </c>
      <c r="L86" s="314">
        <f t="shared" si="15"/>
        <v>-36037.539861882346</v>
      </c>
      <c r="M86" s="314">
        <f t="shared" si="15"/>
        <v>-67240.335593755139</v>
      </c>
      <c r="N86" s="314">
        <f t="shared" si="15"/>
        <v>-24425.682694294632</v>
      </c>
      <c r="O86" s="314">
        <f t="shared" si="15"/>
        <v>-23095.995589904771</v>
      </c>
      <c r="P86" s="314">
        <f t="shared" si="15"/>
        <v>-19784.661521823989</v>
      </c>
      <c r="Q86" s="314">
        <f t="shared" si="15"/>
        <v>-16881.878744616351</v>
      </c>
      <c r="R86" s="314">
        <f t="shared" si="15"/>
        <v>35945.540020696084</v>
      </c>
      <c r="S86" s="314">
        <f t="shared" si="15"/>
        <v>-12120.334919977378</v>
      </c>
      <c r="T86" s="314">
        <f t="shared" si="15"/>
        <v>-8794.3614282703966</v>
      </c>
      <c r="U86" s="314">
        <f t="shared" si="15"/>
        <v>-8495.8278669106694</v>
      </c>
      <c r="V86" s="314">
        <f t="shared" si="15"/>
        <v>-7029.653116419131</v>
      </c>
      <c r="W86" s="314">
        <f t="shared" si="15"/>
        <v>-5758.3396785084351</v>
      </c>
      <c r="X86" s="314">
        <f t="shared" si="15"/>
        <v>-4658.7095282371583</v>
      </c>
      <c r="Y86" s="314">
        <f t="shared" si="15"/>
        <v>-3710.1764241444562</v>
      </c>
      <c r="Z86" s="314">
        <f t="shared" si="15"/>
        <v>20787.53786995573</v>
      </c>
      <c r="AA86" s="314">
        <f t="shared" si="15"/>
        <v>-2195.3727878009436</v>
      </c>
      <c r="AB86" s="314">
        <f t="shared" si="15"/>
        <v>-1598.5239193963366</v>
      </c>
      <c r="AC86" s="314">
        <f t="shared" si="15"/>
        <v>-1091.1922631721618</v>
      </c>
      <c r="AD86" s="314">
        <f t="shared" si="15"/>
        <v>-662.11113932961018</v>
      </c>
      <c r="AE86" s="314">
        <f t="shared" si="15"/>
        <v>-301.31570916975238</v>
      </c>
    </row>
    <row r="87" spans="1:31" x14ac:dyDescent="0.2">
      <c r="A87" s="320" t="s">
        <v>628</v>
      </c>
      <c r="B87" s="314">
        <f>SUM($B$86:B86)</f>
        <v>-9069376.9173361603</v>
      </c>
      <c r="C87" s="314">
        <f>SUM($B$86:C86)</f>
        <v>-9191285.7741260976</v>
      </c>
      <c r="D87" s="314">
        <f>SUM($B$86:D86)</f>
        <v>-9298417.0229724851</v>
      </c>
      <c r="E87" s="314">
        <f>SUM($B$86:E86)</f>
        <v>-9392441.9003877565</v>
      </c>
      <c r="F87" s="314">
        <f>SUM($B$86:F86)</f>
        <v>-9474850.6330245454</v>
      </c>
      <c r="G87" s="314">
        <f>SUM($B$86:G86)</f>
        <v>-9546971.4721953031</v>
      </c>
      <c r="H87" s="314">
        <f>SUM($B$86:H86)</f>
        <v>-9605691.20356711</v>
      </c>
      <c r="I87" s="314">
        <f>SUM($B$86:I86)</f>
        <v>-9660656.7246710137</v>
      </c>
      <c r="J87" s="314">
        <f>SUM($B$86:J86)</f>
        <v>-9601730.7237703316</v>
      </c>
      <c r="K87" s="314">
        <f>SUM($B$86:K86)</f>
        <v>-9643304.8910688944</v>
      </c>
      <c r="L87" s="314">
        <f>SUM($B$86:L86)</f>
        <v>-9679342.4309307765</v>
      </c>
      <c r="M87" s="314">
        <f>SUM($B$86:M86)</f>
        <v>-9746582.7665245309</v>
      </c>
      <c r="N87" s="314">
        <f>SUM($B$86:N86)</f>
        <v>-9771008.4492188264</v>
      </c>
      <c r="O87" s="314">
        <f>SUM($B$86:O86)</f>
        <v>-9794104.4448087309</v>
      </c>
      <c r="P87" s="314">
        <f>SUM($B$86:P86)</f>
        <v>-9813889.1063305549</v>
      </c>
      <c r="Q87" s="314">
        <f>SUM($B$86:Q86)</f>
        <v>-9830770.985075172</v>
      </c>
      <c r="R87" s="314">
        <f>SUM($B$86:R86)</f>
        <v>-9794825.4450544752</v>
      </c>
      <c r="S87" s="314">
        <f>SUM($B$86:S86)</f>
        <v>-9806945.7799744532</v>
      </c>
      <c r="T87" s="314">
        <f>SUM($B$86:T86)</f>
        <v>-9815740.1414027233</v>
      </c>
      <c r="U87" s="314">
        <f>SUM($B$86:U86)</f>
        <v>-9824235.9692696333</v>
      </c>
      <c r="V87" s="314">
        <f>SUM($B$86:V86)</f>
        <v>-9831265.6223860532</v>
      </c>
      <c r="W87" s="314">
        <f>SUM($B$86:W86)</f>
        <v>-9837023.9620645624</v>
      </c>
      <c r="X87" s="314">
        <f>SUM($B$86:X86)</f>
        <v>-9841682.6715927999</v>
      </c>
      <c r="Y87" s="314">
        <f>SUM($B$86:Y86)</f>
        <v>-9845392.8480169438</v>
      </c>
      <c r="Z87" s="314">
        <f>SUM($B$86:Z86)</f>
        <v>-9824605.3101469874</v>
      </c>
      <c r="AA87" s="314">
        <f>SUM($B$86:AA86)</f>
        <v>-9826800.682934789</v>
      </c>
      <c r="AB87" s="314">
        <f>SUM($B$86:AB86)</f>
        <v>-9828399.2068541851</v>
      </c>
      <c r="AC87" s="314">
        <f>SUM($B$86:AC86)</f>
        <v>-9829490.399117358</v>
      </c>
      <c r="AD87" s="314">
        <f>SUM($B$86:AD86)</f>
        <v>-9830152.5102566872</v>
      </c>
      <c r="AE87" s="314">
        <f>SUM($B$86:AE86)</f>
        <v>-9830453.8259658571</v>
      </c>
    </row>
    <row r="88" spans="1:31" x14ac:dyDescent="0.2">
      <c r="A88" s="320" t="s">
        <v>629</v>
      </c>
      <c r="B88" s="324">
        <f>IF((ISERR(IRR($B$83:B83))),0,IF(IRR($B$83:B83)&lt;0,0,IRR($B$83:B83)))</f>
        <v>0</v>
      </c>
      <c r="C88" s="324">
        <f>IF((ISERR(IRR($B$83:C83))),0,IF(IRR($B$83:C83)&lt;0,0,IRR($B$83:C83)))</f>
        <v>0</v>
      </c>
      <c r="D88" s="324">
        <f>IF((ISERR(IRR($B$83:D83))),0,IF(IRR($B$83:D83)&lt;0,0,IRR($B$83:D83)))</f>
        <v>0</v>
      </c>
      <c r="E88" s="324">
        <f>IF((ISERR(IRR($B$83:E83))),0,IF(IRR($B$83:E83)&lt;0,0,IRR($B$83:E83)))</f>
        <v>0</v>
      </c>
      <c r="F88" s="324">
        <f>IF((ISERR(IRR($B$83:F83))),0,IF(IRR($B$83:F83)&lt;0,0,IRR($B$83:F83)))</f>
        <v>0</v>
      </c>
      <c r="G88" s="324">
        <f>IF((ISERR(IRR($B$83:G83))),0,IF(IRR($B$83:G83)&lt;0,0,IRR($B$83:G83)))</f>
        <v>0</v>
      </c>
      <c r="H88" s="324">
        <f>IF((ISERR(IRR($B$83:H83))),0,IF(IRR($B$83:H83)&lt;0,0,IRR($B$83:H83)))</f>
        <v>0</v>
      </c>
      <c r="I88" s="324">
        <f>IF((ISERR(IRR($B$83:I83))),0,IF(IRR($B$83:I83)&lt;0,0,IRR($B$83:I83)))</f>
        <v>0</v>
      </c>
      <c r="J88" s="324">
        <f>IF((ISERR(IRR($B$83:J83))),0,IF(IRR($B$83:J83)&lt;0,0,IRR($B$83:J83)))</f>
        <v>0</v>
      </c>
      <c r="K88" s="324">
        <f>IF((ISERR(IRR($B$83:K83))),0,IF(IRR($B$83:K83)&lt;0,0,IRR($B$83:K83)))</f>
        <v>0</v>
      </c>
      <c r="L88" s="324">
        <f>IF((ISERR(IRR($B$83:L83))),0,IF(IRR($B$83:L83)&lt;0,0,IRR($B$83:L83)))</f>
        <v>0</v>
      </c>
      <c r="M88" s="324">
        <f>IF((ISERR(IRR($B$83:M83))),0,IF(IRR($B$83:M83)&lt;0,0,IRR($B$83:M83)))</f>
        <v>0</v>
      </c>
      <c r="N88" s="324">
        <f>IF((ISERR(IRR($B$83:N83))),0,IF(IRR($B$83:N83)&lt;0,0,IRR($B$83:N83)))</f>
        <v>0</v>
      </c>
      <c r="O88" s="324">
        <f>IF((ISERR(IRR($B$83:O83))),0,IF(IRR($B$83:O83)&lt;0,0,IRR($B$83:O83)))</f>
        <v>0</v>
      </c>
      <c r="P88" s="324">
        <f>IF((ISERR(IRR($B$83:P83))),0,IF(IRR($B$83:P83)&lt;0,0,IRR($B$83:P83)))</f>
        <v>0</v>
      </c>
      <c r="Q88" s="324">
        <f>IF((ISERR(IRR($B$83:Q83))),0,IF(IRR($B$83:Q83)&lt;0,0,IRR($B$83:Q83)))</f>
        <v>0</v>
      </c>
      <c r="R88" s="324">
        <f>IF((ISERR(IRR($B$83:R83))),0,IF(IRR($B$83:R83)&lt;0,0,IRR($B$83:R83)))</f>
        <v>0</v>
      </c>
      <c r="S88" s="324">
        <f>IF((ISERR(IRR($B$83:S83))),0,IF(IRR($B$83:S83)&lt;0,0,IRR($B$83:S83)))</f>
        <v>0</v>
      </c>
      <c r="T88" s="324">
        <f>IF((ISERR(IRR($B$83:T83))),0,IF(IRR($B$83:T83)&lt;0,0,IRR($B$83:T83)))</f>
        <v>0</v>
      </c>
      <c r="U88" s="324">
        <f>IF((ISERR(IRR($B$83:U83))),0,IF(IRR($B$83:U83)&lt;0,0,IRR($B$83:U83)))</f>
        <v>0</v>
      </c>
      <c r="V88" s="324">
        <f>IF((ISERR(IRR($B$83:V83))),0,IF(IRR($B$83:V83)&lt;0,0,IRR($B$83:V83)))</f>
        <v>0</v>
      </c>
      <c r="W88" s="324">
        <f>IF((ISERR(IRR($B$83:W83))),0,IF(IRR($B$83:W83)&lt;0,0,IRR($B$83:W83)))</f>
        <v>0</v>
      </c>
      <c r="X88" s="324">
        <f>IF((ISERR(IRR($B$83:X83))),0,IF(IRR($B$83:X83)&lt;0,0,IRR($B$83:X83)))</f>
        <v>0</v>
      </c>
      <c r="Y88" s="324">
        <f>IF((ISERR(IRR($B$83:Y83))),0,IF(IRR($B$83:Y83)&lt;0,0,IRR($B$83:Y83)))</f>
        <v>0</v>
      </c>
      <c r="Z88" s="324">
        <f>IF((ISERR(IRR($B$83:Z83))),0,IF(IRR($B$83:Z83)&lt;0,0,IRR($B$83:Z83)))</f>
        <v>0</v>
      </c>
      <c r="AA88" s="324">
        <f>IF((ISERR(IRR($B$83:AA83))),0,IF(IRR($B$83:AA83)&lt;0,0,IRR($B$83:AA83)))</f>
        <v>0</v>
      </c>
      <c r="AB88" s="324">
        <f>IF((ISERR(IRR($B$83:AB83))),0,IF(IRR($B$83:AB83)&lt;0,0,IRR($B$83:AB83)))</f>
        <v>0</v>
      </c>
      <c r="AC88" s="324">
        <f>IF((ISERR(IRR($B$83:AC83))),0,IF(IRR($B$83:AC83)&lt;0,0,IRR($B$83:AC83)))</f>
        <v>0</v>
      </c>
      <c r="AD88" s="324">
        <f>IF((ISERR(IRR($B$83:AD83))),0,IF(IRR($B$83:AD83)&lt;0,0,IRR($B$83:AD83)))</f>
        <v>0</v>
      </c>
      <c r="AE88" s="324">
        <f>IF((ISERR(IRR($B$83:AE83))),0,IF(IRR($B$83:AE83)&lt;0,0,IRR($B$83:AE83)))</f>
        <v>0</v>
      </c>
    </row>
    <row r="89" spans="1:31" x14ac:dyDescent="0.2">
      <c r="A89" s="320" t="s">
        <v>630</v>
      </c>
      <c r="B89" s="325">
        <f t="shared" ref="B89:AE89" si="16">IF(AND(B84&gt;0,A84&lt;0),(B74-(B84/(B84-A84))),0)</f>
        <v>0</v>
      </c>
      <c r="C89" s="325">
        <f t="shared" si="16"/>
        <v>0</v>
      </c>
      <c r="D89" s="325">
        <f t="shared" si="16"/>
        <v>0</v>
      </c>
      <c r="E89" s="325">
        <f t="shared" si="16"/>
        <v>0</v>
      </c>
      <c r="F89" s="325">
        <f t="shared" si="16"/>
        <v>0</v>
      </c>
      <c r="G89" s="325">
        <f t="shared" si="16"/>
        <v>0</v>
      </c>
      <c r="H89" s="325">
        <f t="shared" si="16"/>
        <v>0</v>
      </c>
      <c r="I89" s="325">
        <f t="shared" si="16"/>
        <v>0</v>
      </c>
      <c r="J89" s="325">
        <f t="shared" si="16"/>
        <v>0</v>
      </c>
      <c r="K89" s="325">
        <f t="shared" si="16"/>
        <v>0</v>
      </c>
      <c r="L89" s="325">
        <f t="shared" si="16"/>
        <v>0</v>
      </c>
      <c r="M89" s="325">
        <f t="shared" si="16"/>
        <v>0</v>
      </c>
      <c r="N89" s="325">
        <f t="shared" si="16"/>
        <v>0</v>
      </c>
      <c r="O89" s="325">
        <f t="shared" si="16"/>
        <v>0</v>
      </c>
      <c r="P89" s="325">
        <f t="shared" si="16"/>
        <v>0</v>
      </c>
      <c r="Q89" s="325">
        <f t="shared" si="16"/>
        <v>0</v>
      </c>
      <c r="R89" s="325">
        <f t="shared" si="16"/>
        <v>0</v>
      </c>
      <c r="S89" s="325">
        <f t="shared" si="16"/>
        <v>0</v>
      </c>
      <c r="T89" s="325">
        <f t="shared" si="16"/>
        <v>0</v>
      </c>
      <c r="U89" s="325">
        <f t="shared" si="16"/>
        <v>0</v>
      </c>
      <c r="V89" s="325">
        <f t="shared" si="16"/>
        <v>0</v>
      </c>
      <c r="W89" s="325">
        <f t="shared" si="16"/>
        <v>0</v>
      </c>
      <c r="X89" s="325">
        <f t="shared" si="16"/>
        <v>0</v>
      </c>
      <c r="Y89" s="325">
        <f t="shared" si="16"/>
        <v>0</v>
      </c>
      <c r="Z89" s="325">
        <f t="shared" si="16"/>
        <v>0</v>
      </c>
      <c r="AA89" s="325">
        <f t="shared" si="16"/>
        <v>0</v>
      </c>
      <c r="AB89" s="325">
        <f t="shared" si="16"/>
        <v>0</v>
      </c>
      <c r="AC89" s="325">
        <f t="shared" si="16"/>
        <v>0</v>
      </c>
      <c r="AD89" s="325">
        <f t="shared" si="16"/>
        <v>0</v>
      </c>
      <c r="AE89" s="325">
        <f t="shared" si="16"/>
        <v>0</v>
      </c>
    </row>
    <row r="90" spans="1:31" ht="13.5" thickBot="1" x14ac:dyDescent="0.25">
      <c r="A90" s="326" t="s">
        <v>631</v>
      </c>
      <c r="B90" s="327">
        <f t="shared" ref="B90:AE90" si="17">IF(AND(B87&gt;0,A87&lt;0),(B74-(B87/(B87-A87))),0)</f>
        <v>0</v>
      </c>
      <c r="C90" s="327">
        <f t="shared" si="17"/>
        <v>0</v>
      </c>
      <c r="D90" s="327">
        <f t="shared" si="17"/>
        <v>0</v>
      </c>
      <c r="E90" s="327">
        <f t="shared" si="17"/>
        <v>0</v>
      </c>
      <c r="F90" s="327">
        <f t="shared" si="17"/>
        <v>0</v>
      </c>
      <c r="G90" s="327">
        <f t="shared" si="17"/>
        <v>0</v>
      </c>
      <c r="H90" s="327">
        <f t="shared" si="17"/>
        <v>0</v>
      </c>
      <c r="I90" s="327">
        <f t="shared" si="17"/>
        <v>0</v>
      </c>
      <c r="J90" s="327">
        <f t="shared" si="17"/>
        <v>0</v>
      </c>
      <c r="K90" s="327">
        <f t="shared" si="17"/>
        <v>0</v>
      </c>
      <c r="L90" s="327">
        <f t="shared" si="17"/>
        <v>0</v>
      </c>
      <c r="M90" s="327">
        <f t="shared" si="17"/>
        <v>0</v>
      </c>
      <c r="N90" s="327">
        <f t="shared" si="17"/>
        <v>0</v>
      </c>
      <c r="O90" s="327">
        <f t="shared" si="17"/>
        <v>0</v>
      </c>
      <c r="P90" s="327">
        <f t="shared" si="17"/>
        <v>0</v>
      </c>
      <c r="Q90" s="327">
        <f t="shared" si="17"/>
        <v>0</v>
      </c>
      <c r="R90" s="327">
        <f t="shared" si="17"/>
        <v>0</v>
      </c>
      <c r="S90" s="327">
        <f t="shared" si="17"/>
        <v>0</v>
      </c>
      <c r="T90" s="327">
        <f t="shared" si="17"/>
        <v>0</v>
      </c>
      <c r="U90" s="327">
        <f t="shared" si="17"/>
        <v>0</v>
      </c>
      <c r="V90" s="327">
        <f t="shared" si="17"/>
        <v>0</v>
      </c>
      <c r="W90" s="327">
        <f t="shared" si="17"/>
        <v>0</v>
      </c>
      <c r="X90" s="327">
        <f t="shared" si="17"/>
        <v>0</v>
      </c>
      <c r="Y90" s="327">
        <f t="shared" si="17"/>
        <v>0</v>
      </c>
      <c r="Z90" s="327">
        <f t="shared" si="17"/>
        <v>0</v>
      </c>
      <c r="AA90" s="327">
        <f t="shared" si="17"/>
        <v>0</v>
      </c>
      <c r="AB90" s="327">
        <f t="shared" si="17"/>
        <v>0</v>
      </c>
      <c r="AC90" s="327">
        <f t="shared" si="17"/>
        <v>0</v>
      </c>
      <c r="AD90" s="327">
        <f t="shared" si="17"/>
        <v>0</v>
      </c>
      <c r="AE90" s="327">
        <f t="shared" si="17"/>
        <v>0</v>
      </c>
    </row>
    <row r="91" spans="1:31" x14ac:dyDescent="0.2">
      <c r="A91" s="328"/>
      <c r="B91" s="328">
        <v>2022</v>
      </c>
      <c r="C91" s="328">
        <f t="shared" ref="C91:R92" si="18">B91+1</f>
        <v>2023</v>
      </c>
      <c r="D91" s="328">
        <f t="shared" si="18"/>
        <v>2024</v>
      </c>
      <c r="E91" s="328">
        <f t="shared" si="18"/>
        <v>2025</v>
      </c>
      <c r="F91" s="328">
        <f t="shared" si="18"/>
        <v>2026</v>
      </c>
      <c r="G91" s="328">
        <f t="shared" si="18"/>
        <v>2027</v>
      </c>
      <c r="H91" s="328">
        <f t="shared" si="18"/>
        <v>2028</v>
      </c>
      <c r="I91" s="328">
        <f t="shared" si="18"/>
        <v>2029</v>
      </c>
      <c r="J91" s="328">
        <f t="shared" si="18"/>
        <v>2030</v>
      </c>
      <c r="K91" s="328">
        <f t="shared" si="18"/>
        <v>2031</v>
      </c>
      <c r="L91" s="328">
        <f t="shared" si="18"/>
        <v>2032</v>
      </c>
      <c r="M91" s="328">
        <f t="shared" si="18"/>
        <v>2033</v>
      </c>
      <c r="N91" s="328">
        <f t="shared" si="18"/>
        <v>2034</v>
      </c>
      <c r="O91" s="328">
        <f t="shared" si="18"/>
        <v>2035</v>
      </c>
      <c r="P91" s="328">
        <f t="shared" si="18"/>
        <v>2036</v>
      </c>
      <c r="Q91" s="328">
        <f t="shared" si="18"/>
        <v>2037</v>
      </c>
      <c r="R91" s="328">
        <f t="shared" si="18"/>
        <v>2038</v>
      </c>
      <c r="S91" s="328">
        <f t="shared" ref="S91:AE92" si="19">R91+1</f>
        <v>2039</v>
      </c>
      <c r="T91" s="328">
        <f t="shared" si="19"/>
        <v>2040</v>
      </c>
      <c r="U91" s="328">
        <f t="shared" si="19"/>
        <v>2041</v>
      </c>
      <c r="V91" s="328">
        <f t="shared" si="19"/>
        <v>2042</v>
      </c>
      <c r="W91" s="328">
        <f t="shared" si="19"/>
        <v>2043</v>
      </c>
      <c r="X91" s="328">
        <f t="shared" si="19"/>
        <v>2044</v>
      </c>
      <c r="Y91" s="328">
        <f t="shared" si="19"/>
        <v>2045</v>
      </c>
      <c r="Z91" s="328">
        <f t="shared" si="19"/>
        <v>2046</v>
      </c>
      <c r="AA91" s="328">
        <f t="shared" si="19"/>
        <v>2047</v>
      </c>
      <c r="AB91" s="328">
        <f t="shared" si="19"/>
        <v>2048</v>
      </c>
      <c r="AC91" s="328">
        <f t="shared" si="19"/>
        <v>2049</v>
      </c>
      <c r="AD91" s="328">
        <f t="shared" si="19"/>
        <v>2050</v>
      </c>
      <c r="AE91" s="328">
        <f t="shared" si="19"/>
        <v>2051</v>
      </c>
    </row>
    <row r="92" spans="1:31" x14ac:dyDescent="0.2">
      <c r="B92" s="258">
        <v>1</v>
      </c>
      <c r="C92" s="258">
        <f>B92+1</f>
        <v>2</v>
      </c>
      <c r="D92" s="258">
        <f t="shared" si="18"/>
        <v>3</v>
      </c>
      <c r="E92" s="258">
        <f t="shared" si="18"/>
        <v>4</v>
      </c>
      <c r="F92" s="258">
        <f t="shared" si="18"/>
        <v>5</v>
      </c>
      <c r="G92" s="258">
        <f t="shared" si="18"/>
        <v>6</v>
      </c>
      <c r="H92" s="258">
        <f t="shared" si="18"/>
        <v>7</v>
      </c>
      <c r="I92" s="258">
        <f t="shared" si="18"/>
        <v>8</v>
      </c>
      <c r="J92" s="258">
        <f t="shared" si="18"/>
        <v>9</v>
      </c>
      <c r="K92" s="258">
        <f t="shared" si="18"/>
        <v>10</v>
      </c>
      <c r="L92" s="258">
        <f t="shared" si="18"/>
        <v>11</v>
      </c>
      <c r="M92" s="258">
        <f t="shared" si="18"/>
        <v>12</v>
      </c>
      <c r="N92" s="258">
        <f t="shared" si="18"/>
        <v>13</v>
      </c>
      <c r="O92" s="258">
        <f t="shared" si="18"/>
        <v>14</v>
      </c>
      <c r="P92" s="258">
        <f t="shared" si="18"/>
        <v>15</v>
      </c>
      <c r="Q92" s="258">
        <f t="shared" si="18"/>
        <v>16</v>
      </c>
      <c r="R92" s="258">
        <f t="shared" si="18"/>
        <v>17</v>
      </c>
      <c r="S92" s="258">
        <f t="shared" si="19"/>
        <v>18</v>
      </c>
      <c r="T92" s="258">
        <f t="shared" si="19"/>
        <v>19</v>
      </c>
      <c r="U92" s="258">
        <f t="shared" si="19"/>
        <v>20</v>
      </c>
      <c r="V92" s="258">
        <f t="shared" si="19"/>
        <v>21</v>
      </c>
      <c r="W92" s="258">
        <f t="shared" si="19"/>
        <v>22</v>
      </c>
      <c r="X92" s="258">
        <f t="shared" si="19"/>
        <v>23</v>
      </c>
      <c r="Y92" s="258">
        <f t="shared" si="19"/>
        <v>24</v>
      </c>
      <c r="Z92" s="258">
        <f t="shared" si="19"/>
        <v>25</v>
      </c>
      <c r="AA92" s="258">
        <f t="shared" si="19"/>
        <v>26</v>
      </c>
      <c r="AB92" s="258">
        <f t="shared" si="19"/>
        <v>27</v>
      </c>
      <c r="AC92" s="258">
        <f t="shared" si="19"/>
        <v>28</v>
      </c>
      <c r="AD92" s="258">
        <f t="shared" si="19"/>
        <v>29</v>
      </c>
      <c r="AE92" s="258">
        <f t="shared" si="19"/>
        <v>30</v>
      </c>
    </row>
    <row r="93" spans="1:31" x14ac:dyDescent="0.2">
      <c r="A93" s="407" t="s">
        <v>632</v>
      </c>
      <c r="B93" s="407"/>
      <c r="C93" s="407"/>
      <c r="D93" s="407"/>
      <c r="E93" s="407"/>
      <c r="F93" s="407"/>
      <c r="G93" s="407"/>
      <c r="H93" s="407"/>
      <c r="I93" s="407"/>
      <c r="J93" s="407"/>
      <c r="K93" s="407"/>
      <c r="L93" s="407"/>
      <c r="M93" s="407"/>
      <c r="N93" s="407"/>
      <c r="O93" s="407"/>
      <c r="P93" s="407"/>
      <c r="Q93" s="407"/>
      <c r="R93" s="407"/>
      <c r="S93" s="407"/>
      <c r="T93" s="407"/>
      <c r="U93" s="407"/>
      <c r="V93" s="407"/>
      <c r="W93" s="407"/>
      <c r="X93" s="407"/>
      <c r="Y93" s="407"/>
      <c r="Z93" s="407"/>
      <c r="AA93" s="407"/>
      <c r="AB93" s="407"/>
      <c r="AC93" s="407"/>
    </row>
    <row r="94" spans="1:31" x14ac:dyDescent="0.2">
      <c r="A94" s="407" t="s">
        <v>635</v>
      </c>
      <c r="B94" s="407"/>
      <c r="C94" s="407"/>
      <c r="D94" s="407"/>
      <c r="E94" s="407"/>
      <c r="F94" s="407"/>
      <c r="G94" s="407"/>
      <c r="H94" s="407"/>
      <c r="I94" s="407"/>
      <c r="N94" s="258"/>
    </row>
    <row r="95" spans="1:31" x14ac:dyDescent="0.2">
      <c r="C95" s="329"/>
      <c r="N95" s="258"/>
    </row>
    <row r="96" spans="1:31" x14ac:dyDescent="0.2">
      <c r="N96" s="258"/>
    </row>
    <row r="97" spans="14:14" s="248" customFormat="1" x14ac:dyDescent="0.2">
      <c r="N97" s="258"/>
    </row>
    <row r="98" spans="14:14" s="248" customFormat="1" x14ac:dyDescent="0.2">
      <c r="N98" s="258"/>
    </row>
    <row r="99" spans="14:14" s="248" customFormat="1" x14ac:dyDescent="0.2">
      <c r="N99" s="258"/>
    </row>
    <row r="100" spans="14:14" s="248" customFormat="1" x14ac:dyDescent="0.2">
      <c r="N100" s="258"/>
    </row>
    <row r="101" spans="14:14" s="248" customFormat="1" x14ac:dyDescent="0.2">
      <c r="N101" s="258"/>
    </row>
    <row r="102" spans="14:14" s="248" customFormat="1" x14ac:dyDescent="0.2">
      <c r="N102" s="258"/>
    </row>
    <row r="103" spans="14:14" s="248" customFormat="1" x14ac:dyDescent="0.2">
      <c r="N103" s="258"/>
    </row>
    <row r="104" spans="14:14" s="248" customFormat="1" x14ac:dyDescent="0.2">
      <c r="N104" s="258"/>
    </row>
    <row r="105" spans="14:14" s="248" customFormat="1" x14ac:dyDescent="0.2">
      <c r="N105" s="258"/>
    </row>
    <row r="106" spans="14:14" s="248" customFormat="1" x14ac:dyDescent="0.2">
      <c r="N106" s="258"/>
    </row>
    <row r="107" spans="14:14" s="248" customFormat="1" x14ac:dyDescent="0.2">
      <c r="N107" s="258"/>
    </row>
    <row r="108" spans="14:14" s="248" customFormat="1" x14ac:dyDescent="0.2">
      <c r="N108" s="258"/>
    </row>
    <row r="109" spans="14:14" s="248" customFormat="1" x14ac:dyDescent="0.2">
      <c r="N109" s="258"/>
    </row>
    <row r="110" spans="14:14" s="248" customFormat="1" x14ac:dyDescent="0.2">
      <c r="N110" s="258"/>
    </row>
    <row r="111" spans="14:14" s="248" customFormat="1" x14ac:dyDescent="0.2">
      <c r="N111" s="258"/>
    </row>
    <row r="112" spans="14:14" s="248" customFormat="1" x14ac:dyDescent="0.2">
      <c r="N112" s="258"/>
    </row>
    <row r="113" spans="14:14" s="248" customFormat="1" x14ac:dyDescent="0.2">
      <c r="N113" s="258"/>
    </row>
    <row r="114" spans="14:14" s="248" customFormat="1" x14ac:dyDescent="0.2">
      <c r="N114" s="258"/>
    </row>
    <row r="115" spans="14:14" s="248" customFormat="1" x14ac:dyDescent="0.2">
      <c r="N115" s="258"/>
    </row>
    <row r="116" spans="14:14" s="248" customFormat="1" x14ac:dyDescent="0.2">
      <c r="N116" s="258"/>
    </row>
    <row r="117" spans="14:14" s="248" customFormat="1" x14ac:dyDescent="0.2">
      <c r="N117" s="258"/>
    </row>
    <row r="118" spans="14:14" s="248" customFormat="1" x14ac:dyDescent="0.2">
      <c r="N118" s="258"/>
    </row>
    <row r="119" spans="14:14" s="248" customFormat="1" x14ac:dyDescent="0.2">
      <c r="N119" s="258"/>
    </row>
    <row r="120" spans="14:14" s="248" customFormat="1" x14ac:dyDescent="0.2">
      <c r="N120" s="258"/>
    </row>
    <row r="121" spans="14:14" s="248" customFormat="1" x14ac:dyDescent="0.2">
      <c r="N121" s="258"/>
    </row>
    <row r="122" spans="14:14" s="248" customFormat="1" x14ac:dyDescent="0.2">
      <c r="N122" s="258"/>
    </row>
    <row r="123" spans="14:14" s="248" customFormat="1" x14ac:dyDescent="0.2">
      <c r="N123" s="258"/>
    </row>
    <row r="124" spans="14:14" s="248" customFormat="1" x14ac:dyDescent="0.2">
      <c r="N124" s="258"/>
    </row>
    <row r="125" spans="14:14" s="248" customFormat="1" x14ac:dyDescent="0.2">
      <c r="N125" s="258"/>
    </row>
    <row r="126" spans="14:14" s="248" customFormat="1" x14ac:dyDescent="0.2">
      <c r="N126" s="258"/>
    </row>
    <row r="127" spans="14:14" s="248" customFormat="1" x14ac:dyDescent="0.2">
      <c r="N127" s="258"/>
    </row>
    <row r="128" spans="14:14" s="248" customFormat="1" x14ac:dyDescent="0.2">
      <c r="N128" s="258"/>
    </row>
    <row r="129" spans="14:14" s="248" customFormat="1" x14ac:dyDescent="0.2">
      <c r="N129" s="258"/>
    </row>
    <row r="130" spans="14:14" s="248" customFormat="1" x14ac:dyDescent="0.2">
      <c r="N130" s="258"/>
    </row>
    <row r="131" spans="14:14" s="248" customFormat="1" x14ac:dyDescent="0.2">
      <c r="N131" s="258"/>
    </row>
    <row r="132" spans="14:14" s="248" customFormat="1" x14ac:dyDescent="0.2">
      <c r="N132" s="258"/>
    </row>
    <row r="133" spans="14:14" s="248" customFormat="1" x14ac:dyDescent="0.2">
      <c r="N133" s="258"/>
    </row>
    <row r="134" spans="14:14" s="248" customFormat="1" x14ac:dyDescent="0.2">
      <c r="N134" s="258"/>
    </row>
    <row r="135" spans="14:14" s="248" customFormat="1" x14ac:dyDescent="0.2">
      <c r="N135" s="258"/>
    </row>
    <row r="136" spans="14:14" s="248" customFormat="1" x14ac:dyDescent="0.2">
      <c r="N136" s="258"/>
    </row>
    <row r="137" spans="14:14" s="248" customFormat="1" x14ac:dyDescent="0.2">
      <c r="N137" s="258"/>
    </row>
    <row r="138" spans="14:14" s="248" customFormat="1" x14ac:dyDescent="0.2">
      <c r="N138" s="258"/>
    </row>
    <row r="139" spans="14:14" s="248" customFormat="1" x14ac:dyDescent="0.2">
      <c r="N139" s="258"/>
    </row>
    <row r="140" spans="14:14" s="248" customFormat="1" x14ac:dyDescent="0.2">
      <c r="N140" s="258"/>
    </row>
    <row r="141" spans="14:14" s="248" customFormat="1" x14ac:dyDescent="0.2">
      <c r="N141" s="258"/>
    </row>
    <row r="142" spans="14:14" s="248" customFormat="1" x14ac:dyDescent="0.2">
      <c r="N142" s="258"/>
    </row>
    <row r="143" spans="14:14" s="248" customFormat="1" x14ac:dyDescent="0.2">
      <c r="N143" s="258"/>
    </row>
    <row r="144" spans="14:14" s="248" customFormat="1" x14ac:dyDescent="0.2">
      <c r="N144" s="258"/>
    </row>
    <row r="145" spans="14:14" s="248" customFormat="1" x14ac:dyDescent="0.2">
      <c r="N145" s="258"/>
    </row>
    <row r="146" spans="14:14" s="248" customFormat="1" x14ac:dyDescent="0.2">
      <c r="N146" s="258"/>
    </row>
    <row r="147" spans="14:14" s="248" customFormat="1" x14ac:dyDescent="0.2">
      <c r="N147" s="258"/>
    </row>
    <row r="148" spans="14:14" s="248" customFormat="1" x14ac:dyDescent="0.2">
      <c r="N148" s="258"/>
    </row>
    <row r="149" spans="14:14" s="248" customFormat="1" x14ac:dyDescent="0.2">
      <c r="N149" s="258"/>
    </row>
    <row r="150" spans="14:14" s="248" customFormat="1" x14ac:dyDescent="0.2">
      <c r="N150" s="258"/>
    </row>
    <row r="151" spans="14:14" s="248" customFormat="1" x14ac:dyDescent="0.2">
      <c r="N151" s="258"/>
    </row>
    <row r="152" spans="14:14" s="248" customFormat="1" x14ac:dyDescent="0.2">
      <c r="N152" s="258"/>
    </row>
    <row r="153" spans="14:14" s="248" customFormat="1" x14ac:dyDescent="0.2">
      <c r="N153" s="258"/>
    </row>
    <row r="154" spans="14:14" s="248" customFormat="1" x14ac:dyDescent="0.2">
      <c r="N154" s="258"/>
    </row>
    <row r="155" spans="14:14" s="248" customFormat="1" x14ac:dyDescent="0.2">
      <c r="N155" s="258"/>
    </row>
    <row r="156" spans="14:14" s="248" customFormat="1" x14ac:dyDescent="0.2">
      <c r="N156" s="258"/>
    </row>
    <row r="157" spans="14:14" s="248" customFormat="1" x14ac:dyDescent="0.2">
      <c r="N157" s="258"/>
    </row>
    <row r="158" spans="14:14" s="248" customFormat="1" x14ac:dyDescent="0.2">
      <c r="N158" s="258"/>
    </row>
    <row r="159" spans="14:14" s="248" customFormat="1" x14ac:dyDescent="0.2">
      <c r="N159" s="258"/>
    </row>
    <row r="160" spans="14:14" s="248" customFormat="1" x14ac:dyDescent="0.2">
      <c r="N160" s="258"/>
    </row>
    <row r="161" spans="14:14" s="248" customFormat="1" x14ac:dyDescent="0.2">
      <c r="N161" s="258"/>
    </row>
    <row r="162" spans="14:14" s="248" customFormat="1" x14ac:dyDescent="0.2">
      <c r="N162" s="258"/>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3" sqref="H53"/>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351" t="str">
        <f>'1. паспорт местоположение'!A5:C5</f>
        <v>Год раскрытия информации: 2021 год</v>
      </c>
      <c r="B5" s="351"/>
      <c r="C5" s="351"/>
      <c r="D5" s="351"/>
      <c r="E5" s="351"/>
      <c r="F5" s="351"/>
      <c r="G5" s="351"/>
      <c r="H5" s="351"/>
      <c r="I5" s="351"/>
      <c r="J5" s="351"/>
      <c r="K5" s="351"/>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362" t="s">
        <v>7</v>
      </c>
      <c r="B7" s="362"/>
      <c r="C7" s="362"/>
      <c r="D7" s="362"/>
      <c r="E7" s="362"/>
      <c r="F7" s="362"/>
      <c r="G7" s="362"/>
      <c r="H7" s="362"/>
      <c r="I7" s="362"/>
      <c r="J7" s="362"/>
      <c r="K7" s="362"/>
    </row>
    <row r="8" spans="1:43" ht="18.75" x14ac:dyDescent="0.25">
      <c r="A8" s="362"/>
      <c r="B8" s="362"/>
      <c r="C8" s="362"/>
      <c r="D8" s="362"/>
      <c r="E8" s="362"/>
      <c r="F8" s="362"/>
      <c r="G8" s="362"/>
      <c r="H8" s="362"/>
      <c r="I8" s="362"/>
      <c r="J8" s="362"/>
      <c r="K8" s="362"/>
    </row>
    <row r="9" spans="1:43" x14ac:dyDescent="0.25">
      <c r="A9" s="357" t="str">
        <f>'1. паспорт местоположение'!A9:C9</f>
        <v xml:space="preserve">Акционерное общество "Западная энергетическая компания" </v>
      </c>
      <c r="B9" s="357"/>
      <c r="C9" s="357"/>
      <c r="D9" s="357"/>
      <c r="E9" s="357"/>
      <c r="F9" s="357"/>
      <c r="G9" s="357"/>
      <c r="H9" s="357"/>
      <c r="I9" s="357"/>
      <c r="J9" s="357"/>
      <c r="K9" s="357"/>
    </row>
    <row r="10" spans="1:43" x14ac:dyDescent="0.25">
      <c r="A10" s="358" t="s">
        <v>6</v>
      </c>
      <c r="B10" s="358"/>
      <c r="C10" s="358"/>
      <c r="D10" s="358"/>
      <c r="E10" s="358"/>
      <c r="F10" s="358"/>
      <c r="G10" s="358"/>
      <c r="H10" s="358"/>
      <c r="I10" s="358"/>
      <c r="J10" s="358"/>
      <c r="K10" s="358"/>
    </row>
    <row r="11" spans="1:43" ht="18.75" x14ac:dyDescent="0.25">
      <c r="A11" s="362"/>
      <c r="B11" s="362"/>
      <c r="C11" s="362"/>
      <c r="D11" s="362"/>
      <c r="E11" s="362"/>
      <c r="F11" s="362"/>
      <c r="G11" s="362"/>
      <c r="H11" s="362"/>
      <c r="I11" s="362"/>
      <c r="J11" s="362"/>
      <c r="K11" s="362"/>
    </row>
    <row r="12" spans="1:43" x14ac:dyDescent="0.25">
      <c r="A12" s="357" t="str">
        <f>'1. паспорт местоположение'!A12:C12</f>
        <v>J_19-08</v>
      </c>
      <c r="B12" s="357"/>
      <c r="C12" s="357"/>
      <c r="D12" s="357"/>
      <c r="E12" s="357"/>
      <c r="F12" s="357"/>
      <c r="G12" s="357"/>
      <c r="H12" s="357"/>
      <c r="I12" s="357"/>
      <c r="J12" s="357"/>
      <c r="K12" s="357"/>
    </row>
    <row r="13" spans="1:43" x14ac:dyDescent="0.25">
      <c r="A13" s="358" t="s">
        <v>5</v>
      </c>
      <c r="B13" s="358"/>
      <c r="C13" s="358"/>
      <c r="D13" s="358"/>
      <c r="E13" s="358"/>
      <c r="F13" s="358"/>
      <c r="G13" s="358"/>
      <c r="H13" s="358"/>
      <c r="I13" s="358"/>
      <c r="J13" s="358"/>
      <c r="K13" s="358"/>
    </row>
    <row r="14" spans="1:43" ht="18.75" x14ac:dyDescent="0.25">
      <c r="A14" s="363"/>
      <c r="B14" s="363"/>
      <c r="C14" s="363"/>
      <c r="D14" s="363"/>
      <c r="E14" s="363"/>
      <c r="F14" s="363"/>
      <c r="G14" s="363"/>
      <c r="H14" s="363"/>
      <c r="I14" s="363"/>
      <c r="J14" s="363"/>
      <c r="K14" s="363"/>
    </row>
    <row r="15" spans="1:43" x14ac:dyDescent="0.25">
      <c r="A15" s="357" t="str">
        <f>'1. паспорт местоположение'!A15:C15</f>
        <v>Реконструкция ТП-4  15/0,4кВ п.Северный, Багратионовского р-на</v>
      </c>
      <c r="B15" s="357"/>
      <c r="C15" s="357"/>
      <c r="D15" s="357"/>
      <c r="E15" s="357"/>
      <c r="F15" s="357"/>
      <c r="G15" s="357"/>
      <c r="H15" s="357"/>
      <c r="I15" s="357"/>
      <c r="J15" s="357"/>
      <c r="K15" s="357"/>
    </row>
    <row r="16" spans="1:43" x14ac:dyDescent="0.25">
      <c r="A16" s="352" t="s">
        <v>4</v>
      </c>
      <c r="B16" s="352"/>
      <c r="C16" s="352"/>
      <c r="D16" s="352"/>
      <c r="E16" s="352"/>
      <c r="F16" s="352"/>
      <c r="G16" s="352"/>
      <c r="H16" s="352"/>
      <c r="I16" s="352"/>
      <c r="J16" s="352"/>
      <c r="K16" s="352"/>
    </row>
    <row r="17" spans="1:11" ht="15.75" customHeight="1" x14ac:dyDescent="0.25"/>
    <row r="18" spans="1:11" x14ac:dyDescent="0.25">
      <c r="K18" s="70"/>
    </row>
    <row r="19" spans="1:11" ht="15.75" customHeight="1" x14ac:dyDescent="0.25">
      <c r="A19" s="414" t="s">
        <v>392</v>
      </c>
      <c r="B19" s="414"/>
      <c r="C19" s="414"/>
      <c r="D19" s="414"/>
      <c r="E19" s="414"/>
      <c r="F19" s="414"/>
      <c r="G19" s="414"/>
      <c r="H19" s="414"/>
      <c r="I19" s="414"/>
      <c r="J19" s="414"/>
      <c r="K19" s="414"/>
    </row>
    <row r="20" spans="1:11" x14ac:dyDescent="0.25">
      <c r="A20" s="48"/>
      <c r="B20" s="48"/>
      <c r="C20" s="69"/>
      <c r="D20" s="69"/>
      <c r="E20" s="69"/>
      <c r="F20" s="69"/>
      <c r="G20" s="69"/>
      <c r="H20" s="69"/>
      <c r="I20" s="69"/>
      <c r="J20" s="69"/>
      <c r="K20" s="69"/>
    </row>
    <row r="21" spans="1:11" ht="28.5" customHeight="1" x14ac:dyDescent="0.25">
      <c r="A21" s="415" t="s">
        <v>199</v>
      </c>
      <c r="B21" s="415" t="s">
        <v>484</v>
      </c>
      <c r="C21" s="415" t="s">
        <v>351</v>
      </c>
      <c r="D21" s="415"/>
      <c r="E21" s="415"/>
      <c r="F21" s="415"/>
      <c r="G21" s="415"/>
      <c r="H21" s="415"/>
      <c r="I21" s="416" t="s">
        <v>198</v>
      </c>
      <c r="J21" s="417" t="s">
        <v>352</v>
      </c>
      <c r="K21" s="415" t="s">
        <v>197</v>
      </c>
    </row>
    <row r="22" spans="1:11" ht="58.5" customHeight="1" x14ac:dyDescent="0.25">
      <c r="A22" s="415"/>
      <c r="B22" s="415"/>
      <c r="C22" s="420" t="s">
        <v>539</v>
      </c>
      <c r="D22" s="420"/>
      <c r="E22" s="420" t="s">
        <v>9</v>
      </c>
      <c r="F22" s="420"/>
      <c r="G22" s="420" t="s">
        <v>540</v>
      </c>
      <c r="H22" s="420"/>
      <c r="I22" s="416"/>
      <c r="J22" s="418"/>
      <c r="K22" s="415"/>
    </row>
    <row r="23" spans="1:11" ht="31.5" x14ac:dyDescent="0.25">
      <c r="A23" s="415"/>
      <c r="B23" s="415"/>
      <c r="C23" s="196" t="s">
        <v>196</v>
      </c>
      <c r="D23" s="196" t="s">
        <v>195</v>
      </c>
      <c r="E23" s="196" t="s">
        <v>196</v>
      </c>
      <c r="F23" s="196" t="s">
        <v>195</v>
      </c>
      <c r="G23" s="196" t="s">
        <v>196</v>
      </c>
      <c r="H23" s="196" t="s">
        <v>195</v>
      </c>
      <c r="I23" s="416"/>
      <c r="J23" s="419"/>
      <c r="K23" s="415"/>
    </row>
    <row r="24" spans="1:11" x14ac:dyDescent="0.25">
      <c r="A24" s="197">
        <v>1</v>
      </c>
      <c r="B24" s="197">
        <v>2</v>
      </c>
      <c r="C24" s="196">
        <v>3</v>
      </c>
      <c r="D24" s="196">
        <v>4</v>
      </c>
      <c r="E24" s="196">
        <v>5</v>
      </c>
      <c r="F24" s="196">
        <v>6</v>
      </c>
      <c r="G24" s="196">
        <v>7</v>
      </c>
      <c r="H24" s="196">
        <v>8</v>
      </c>
      <c r="I24" s="196">
        <v>9</v>
      </c>
      <c r="J24" s="196">
        <v>10</v>
      </c>
      <c r="K24" s="196">
        <v>11</v>
      </c>
    </row>
    <row r="25" spans="1:11" s="51" customFormat="1" x14ac:dyDescent="0.25">
      <c r="A25" s="201">
        <v>1</v>
      </c>
      <c r="B25" s="202" t="s">
        <v>194</v>
      </c>
      <c r="C25" s="203"/>
      <c r="D25" s="203"/>
      <c r="E25" s="209"/>
      <c r="F25" s="209"/>
      <c r="G25" s="203"/>
      <c r="H25" s="203"/>
      <c r="I25" s="209"/>
      <c r="J25" s="192"/>
      <c r="K25" s="193"/>
    </row>
    <row r="26" spans="1:11" s="51" customFormat="1" x14ac:dyDescent="0.25">
      <c r="A26" s="201" t="s">
        <v>485</v>
      </c>
      <c r="B26" s="206" t="s">
        <v>486</v>
      </c>
      <c r="C26" s="203" t="s">
        <v>435</v>
      </c>
      <c r="D26" s="203" t="s">
        <v>435</v>
      </c>
      <c r="E26" s="210">
        <v>42859</v>
      </c>
      <c r="F26" s="210">
        <v>42859</v>
      </c>
      <c r="G26" s="203" t="s">
        <v>435</v>
      </c>
      <c r="H26" s="203" t="s">
        <v>435</v>
      </c>
      <c r="I26" s="211"/>
      <c r="J26" s="192"/>
      <c r="K26" s="193"/>
    </row>
    <row r="27" spans="1:11" s="51" customFormat="1" ht="31.5" x14ac:dyDescent="0.25">
      <c r="A27" s="201" t="s">
        <v>487</v>
      </c>
      <c r="B27" s="206" t="s">
        <v>488</v>
      </c>
      <c r="C27" s="203" t="s">
        <v>435</v>
      </c>
      <c r="D27" s="203" t="s">
        <v>435</v>
      </c>
      <c r="E27" s="210">
        <v>42807</v>
      </c>
      <c r="F27" s="210">
        <v>42807</v>
      </c>
      <c r="G27" s="203" t="s">
        <v>435</v>
      </c>
      <c r="H27" s="203" t="s">
        <v>435</v>
      </c>
      <c r="I27" s="211"/>
      <c r="J27" s="192"/>
      <c r="K27" s="193"/>
    </row>
    <row r="28" spans="1:11" s="51" customFormat="1" ht="63" x14ac:dyDescent="0.25">
      <c r="A28" s="201" t="s">
        <v>490</v>
      </c>
      <c r="B28" s="206" t="s">
        <v>489</v>
      </c>
      <c r="C28" s="203" t="s">
        <v>435</v>
      </c>
      <c r="D28" s="203" t="s">
        <v>435</v>
      </c>
      <c r="E28" s="210" t="s">
        <v>435</v>
      </c>
      <c r="F28" s="210" t="s">
        <v>435</v>
      </c>
      <c r="G28" s="203" t="s">
        <v>435</v>
      </c>
      <c r="H28" s="203" t="s">
        <v>435</v>
      </c>
      <c r="I28" s="211"/>
      <c r="J28" s="192"/>
      <c r="K28" s="193"/>
    </row>
    <row r="29" spans="1:11" s="51" customFormat="1" ht="31.5" x14ac:dyDescent="0.25">
      <c r="A29" s="201" t="s">
        <v>492</v>
      </c>
      <c r="B29" s="206" t="s">
        <v>491</v>
      </c>
      <c r="C29" s="203" t="s">
        <v>435</v>
      </c>
      <c r="D29" s="203" t="s">
        <v>435</v>
      </c>
      <c r="E29" s="210" t="s">
        <v>435</v>
      </c>
      <c r="F29" s="210" t="s">
        <v>435</v>
      </c>
      <c r="G29" s="203" t="s">
        <v>435</v>
      </c>
      <c r="H29" s="203" t="s">
        <v>435</v>
      </c>
      <c r="I29" s="211"/>
      <c r="J29" s="192"/>
      <c r="K29" s="193"/>
    </row>
    <row r="30" spans="1:11" s="51" customFormat="1" ht="31.5" x14ac:dyDescent="0.25">
      <c r="A30" s="201" t="s">
        <v>494</v>
      </c>
      <c r="B30" s="206" t="s">
        <v>493</v>
      </c>
      <c r="C30" s="203" t="s">
        <v>435</v>
      </c>
      <c r="D30" s="203" t="s">
        <v>435</v>
      </c>
      <c r="E30" s="210" t="s">
        <v>435</v>
      </c>
      <c r="F30" s="210" t="s">
        <v>435</v>
      </c>
      <c r="G30" s="203" t="s">
        <v>435</v>
      </c>
      <c r="H30" s="203" t="s">
        <v>435</v>
      </c>
      <c r="I30" s="211"/>
      <c r="J30" s="192"/>
      <c r="K30" s="193"/>
    </row>
    <row r="31" spans="1:11" s="51" customFormat="1" ht="31.5" x14ac:dyDescent="0.25">
      <c r="A31" s="201" t="s">
        <v>496</v>
      </c>
      <c r="B31" s="206" t="s">
        <v>495</v>
      </c>
      <c r="C31" s="203">
        <v>44593</v>
      </c>
      <c r="D31" s="203">
        <v>44620</v>
      </c>
      <c r="E31" s="210">
        <v>41806</v>
      </c>
      <c r="F31" s="210">
        <v>41806</v>
      </c>
      <c r="G31" s="203">
        <v>44593</v>
      </c>
      <c r="H31" s="203">
        <v>44620</v>
      </c>
      <c r="I31" s="211"/>
      <c r="J31" s="192"/>
      <c r="K31" s="193"/>
    </row>
    <row r="32" spans="1:11" ht="31.5" x14ac:dyDescent="0.25">
      <c r="A32" s="201" t="s">
        <v>498</v>
      </c>
      <c r="B32" s="206" t="s">
        <v>497</v>
      </c>
      <c r="C32" s="203">
        <v>44621</v>
      </c>
      <c r="D32" s="203">
        <v>44621</v>
      </c>
      <c r="E32" s="210">
        <v>42597</v>
      </c>
      <c r="F32" s="210">
        <v>42597</v>
      </c>
      <c r="G32" s="203">
        <v>44621</v>
      </c>
      <c r="H32" s="203">
        <v>44621</v>
      </c>
      <c r="I32" s="211"/>
      <c r="J32" s="192"/>
      <c r="K32" s="193"/>
    </row>
    <row r="33" spans="1:11" ht="47.25" x14ac:dyDescent="0.25">
      <c r="A33" s="201" t="s">
        <v>500</v>
      </c>
      <c r="B33" s="206" t="s">
        <v>499</v>
      </c>
      <c r="C33" s="203" t="s">
        <v>435</v>
      </c>
      <c r="D33" s="203" t="s">
        <v>435</v>
      </c>
      <c r="E33" s="210">
        <v>42720</v>
      </c>
      <c r="F33" s="210">
        <v>42720</v>
      </c>
      <c r="G33" s="203" t="s">
        <v>435</v>
      </c>
      <c r="H33" s="203" t="s">
        <v>435</v>
      </c>
      <c r="I33" s="211"/>
      <c r="J33" s="192"/>
      <c r="K33" s="193"/>
    </row>
    <row r="34" spans="1:11" ht="63" x14ac:dyDescent="0.25">
      <c r="A34" s="201" t="s">
        <v>502</v>
      </c>
      <c r="B34" s="206" t="s">
        <v>501</v>
      </c>
      <c r="C34" s="203" t="s">
        <v>435</v>
      </c>
      <c r="D34" s="203" t="s">
        <v>435</v>
      </c>
      <c r="E34" s="210" t="s">
        <v>435</v>
      </c>
      <c r="F34" s="210" t="s">
        <v>435</v>
      </c>
      <c r="G34" s="203" t="s">
        <v>435</v>
      </c>
      <c r="H34" s="203" t="s">
        <v>435</v>
      </c>
      <c r="I34" s="211"/>
      <c r="J34" s="194"/>
      <c r="K34" s="194"/>
    </row>
    <row r="35" spans="1:11" ht="31.5" x14ac:dyDescent="0.25">
      <c r="A35" s="201" t="s">
        <v>503</v>
      </c>
      <c r="B35" s="206" t="s">
        <v>193</v>
      </c>
      <c r="C35" s="203">
        <v>44651</v>
      </c>
      <c r="D35" s="203">
        <v>44630</v>
      </c>
      <c r="E35" s="210">
        <v>42731</v>
      </c>
      <c r="F35" s="210">
        <v>42731</v>
      </c>
      <c r="G35" s="203">
        <v>44651</v>
      </c>
      <c r="H35" s="203">
        <v>44630</v>
      </c>
      <c r="I35" s="211"/>
      <c r="J35" s="194"/>
      <c r="K35" s="194"/>
    </row>
    <row r="36" spans="1:11" ht="31.5" x14ac:dyDescent="0.25">
      <c r="A36" s="201" t="s">
        <v>505</v>
      </c>
      <c r="B36" s="206" t="s">
        <v>504</v>
      </c>
      <c r="C36" s="203" t="s">
        <v>435</v>
      </c>
      <c r="D36" s="203" t="s">
        <v>435</v>
      </c>
      <c r="E36" s="210">
        <v>42993</v>
      </c>
      <c r="F36" s="210">
        <v>42993</v>
      </c>
      <c r="G36" s="203" t="s">
        <v>435</v>
      </c>
      <c r="H36" s="203" t="s">
        <v>435</v>
      </c>
      <c r="I36" s="211"/>
      <c r="J36" s="205"/>
      <c r="K36" s="193"/>
    </row>
    <row r="37" spans="1:11" x14ac:dyDescent="0.25">
      <c r="A37" s="201" t="s">
        <v>506</v>
      </c>
      <c r="B37" s="206" t="s">
        <v>192</v>
      </c>
      <c r="C37" s="203">
        <v>44593</v>
      </c>
      <c r="D37" s="203">
        <v>44620</v>
      </c>
      <c r="E37" s="210">
        <v>43054</v>
      </c>
      <c r="F37" s="210">
        <v>43305</v>
      </c>
      <c r="G37" s="203">
        <v>44593</v>
      </c>
      <c r="H37" s="203">
        <v>44620</v>
      </c>
      <c r="I37" s="211"/>
      <c r="J37" s="195"/>
      <c r="K37" s="193"/>
    </row>
    <row r="38" spans="1:11" x14ac:dyDescent="0.25">
      <c r="A38" s="204" t="s">
        <v>507</v>
      </c>
      <c r="B38" s="207" t="s">
        <v>191</v>
      </c>
      <c r="C38" s="203"/>
      <c r="D38" s="203"/>
      <c r="E38" s="210"/>
      <c r="F38" s="210"/>
      <c r="G38" s="203"/>
      <c r="H38" s="203"/>
      <c r="I38" s="211"/>
      <c r="J38" s="193"/>
      <c r="K38" s="193"/>
    </row>
    <row r="39" spans="1:11" ht="63" x14ac:dyDescent="0.25">
      <c r="A39" s="201" t="s">
        <v>509</v>
      </c>
      <c r="B39" s="206" t="s">
        <v>508</v>
      </c>
      <c r="C39" s="203">
        <v>44630</v>
      </c>
      <c r="D39" s="203">
        <v>44635</v>
      </c>
      <c r="E39" s="210">
        <v>42843</v>
      </c>
      <c r="F39" s="210">
        <v>42843</v>
      </c>
      <c r="G39" s="203">
        <v>44630</v>
      </c>
      <c r="H39" s="203">
        <v>44635</v>
      </c>
      <c r="I39" s="211"/>
      <c r="J39" s="193"/>
      <c r="K39" s="193"/>
    </row>
    <row r="40" spans="1:11" x14ac:dyDescent="0.25">
      <c r="A40" s="201" t="s">
        <v>511</v>
      </c>
      <c r="B40" s="206" t="s">
        <v>510</v>
      </c>
      <c r="C40" s="203">
        <v>44636</v>
      </c>
      <c r="D40" s="203">
        <v>44650</v>
      </c>
      <c r="E40" s="210">
        <v>43038</v>
      </c>
      <c r="F40" s="210">
        <v>43038</v>
      </c>
      <c r="G40" s="203">
        <v>44636</v>
      </c>
      <c r="H40" s="203">
        <v>44650</v>
      </c>
      <c r="I40" s="211"/>
      <c r="J40" s="193"/>
      <c r="K40" s="193"/>
    </row>
    <row r="41" spans="1:11" ht="47.25" x14ac:dyDescent="0.25">
      <c r="A41" s="201" t="s">
        <v>513</v>
      </c>
      <c r="B41" s="207" t="s">
        <v>512</v>
      </c>
      <c r="C41" s="203"/>
      <c r="D41" s="203"/>
      <c r="E41" s="210"/>
      <c r="F41" s="210"/>
      <c r="G41" s="203"/>
      <c r="H41" s="203"/>
      <c r="I41" s="211"/>
      <c r="J41" s="193"/>
      <c r="K41" s="193"/>
    </row>
    <row r="42" spans="1:11" ht="31.5" x14ac:dyDescent="0.25">
      <c r="A42" s="201" t="s">
        <v>515</v>
      </c>
      <c r="B42" s="206" t="s">
        <v>514</v>
      </c>
      <c r="C42" s="203">
        <v>44652</v>
      </c>
      <c r="D42" s="203">
        <v>44661</v>
      </c>
      <c r="E42" s="210">
        <v>43070</v>
      </c>
      <c r="F42" s="210">
        <v>43097</v>
      </c>
      <c r="G42" s="203">
        <v>44652</v>
      </c>
      <c r="H42" s="203">
        <v>44661</v>
      </c>
      <c r="I42" s="211"/>
      <c r="J42" s="193"/>
      <c r="K42" s="193"/>
    </row>
    <row r="43" spans="1:11" x14ac:dyDescent="0.25">
      <c r="A43" s="201" t="s">
        <v>516</v>
      </c>
      <c r="B43" s="206" t="s">
        <v>190</v>
      </c>
      <c r="C43" s="225">
        <v>44650</v>
      </c>
      <c r="D43" s="225">
        <v>44630</v>
      </c>
      <c r="E43" s="210">
        <v>43054</v>
      </c>
      <c r="F43" s="210">
        <v>43218</v>
      </c>
      <c r="G43" s="225">
        <v>44650</v>
      </c>
      <c r="H43" s="225">
        <v>44630</v>
      </c>
      <c r="I43" s="211"/>
      <c r="J43" s="193"/>
      <c r="K43" s="193"/>
    </row>
    <row r="44" spans="1:11" x14ac:dyDescent="0.25">
      <c r="A44" s="201" t="s">
        <v>517</v>
      </c>
      <c r="B44" s="206" t="s">
        <v>189</v>
      </c>
      <c r="C44" s="225">
        <v>44661</v>
      </c>
      <c r="D44" s="225">
        <v>44772</v>
      </c>
      <c r="E44" s="210">
        <v>43084</v>
      </c>
      <c r="F44" s="210">
        <v>43266</v>
      </c>
      <c r="G44" s="225">
        <v>44661</v>
      </c>
      <c r="H44" s="225">
        <v>44772</v>
      </c>
      <c r="I44" s="211"/>
      <c r="J44" s="193"/>
      <c r="K44" s="193"/>
    </row>
    <row r="45" spans="1:11" ht="78.75" x14ac:dyDescent="0.25">
      <c r="A45" s="201" t="s">
        <v>519</v>
      </c>
      <c r="B45" s="206" t="s">
        <v>518</v>
      </c>
      <c r="C45" s="225">
        <v>44772</v>
      </c>
      <c r="D45" s="225">
        <v>44803</v>
      </c>
      <c r="E45" s="210">
        <v>43343</v>
      </c>
      <c r="F45" s="210">
        <v>43343</v>
      </c>
      <c r="G45" s="225">
        <v>44772</v>
      </c>
      <c r="H45" s="225">
        <v>44803</v>
      </c>
      <c r="I45" s="211"/>
      <c r="J45" s="193"/>
      <c r="K45" s="193"/>
    </row>
    <row r="46" spans="1:11" ht="157.5" x14ac:dyDescent="0.25">
      <c r="A46" s="201" t="s">
        <v>521</v>
      </c>
      <c r="B46" s="206" t="s">
        <v>520</v>
      </c>
      <c r="C46" s="225" t="s">
        <v>435</v>
      </c>
      <c r="D46" s="225" t="s">
        <v>435</v>
      </c>
      <c r="E46" s="210">
        <v>43319</v>
      </c>
      <c r="F46" s="210">
        <v>43319</v>
      </c>
      <c r="G46" s="225" t="s">
        <v>435</v>
      </c>
      <c r="H46" s="225" t="s">
        <v>435</v>
      </c>
      <c r="I46" s="211"/>
      <c r="J46" s="193"/>
      <c r="K46" s="193"/>
    </row>
    <row r="47" spans="1:11" x14ac:dyDescent="0.25">
      <c r="A47" s="201" t="s">
        <v>531</v>
      </c>
      <c r="B47" s="206" t="s">
        <v>188</v>
      </c>
      <c r="C47" s="226">
        <v>44803</v>
      </c>
      <c r="D47" s="225">
        <v>44814</v>
      </c>
      <c r="E47" s="210">
        <v>43220</v>
      </c>
      <c r="F47" s="210">
        <v>43318</v>
      </c>
      <c r="G47" s="226">
        <v>44803</v>
      </c>
      <c r="H47" s="225">
        <v>44814</v>
      </c>
      <c r="I47" s="211"/>
      <c r="J47" s="193"/>
      <c r="K47" s="193"/>
    </row>
    <row r="48" spans="1:11" ht="31.5" x14ac:dyDescent="0.25">
      <c r="A48" s="201" t="s">
        <v>522</v>
      </c>
      <c r="B48" s="207" t="s">
        <v>187</v>
      </c>
      <c r="C48" s="203"/>
      <c r="D48" s="203"/>
      <c r="E48" s="210"/>
      <c r="F48" s="210"/>
      <c r="G48" s="203"/>
      <c r="H48" s="203"/>
      <c r="I48" s="211"/>
      <c r="J48" s="193"/>
      <c r="K48" s="193"/>
    </row>
    <row r="49" spans="1:11" ht="31.5" x14ac:dyDescent="0.25">
      <c r="A49" s="201" t="s">
        <v>532</v>
      </c>
      <c r="B49" s="206" t="s">
        <v>186</v>
      </c>
      <c r="C49" s="203">
        <v>44814</v>
      </c>
      <c r="D49" s="203">
        <v>44818</v>
      </c>
      <c r="E49" s="210">
        <v>43318</v>
      </c>
      <c r="F49" s="210">
        <v>43320</v>
      </c>
      <c r="G49" s="203">
        <v>44814</v>
      </c>
      <c r="H49" s="203">
        <v>44818</v>
      </c>
      <c r="I49" s="211"/>
      <c r="J49" s="193"/>
      <c r="K49" s="193"/>
    </row>
    <row r="50" spans="1:11" ht="78.75" x14ac:dyDescent="0.25">
      <c r="A50" s="204" t="s">
        <v>524</v>
      </c>
      <c r="B50" s="206" t="s">
        <v>523</v>
      </c>
      <c r="C50" s="203">
        <v>44814</v>
      </c>
      <c r="D50" s="203">
        <v>44818</v>
      </c>
      <c r="E50" s="210">
        <v>43318</v>
      </c>
      <c r="F50" s="210">
        <v>43320</v>
      </c>
      <c r="G50" s="203">
        <v>44814</v>
      </c>
      <c r="H50" s="203">
        <v>44818</v>
      </c>
      <c r="I50" s="211"/>
      <c r="J50" s="193"/>
      <c r="K50" s="193"/>
    </row>
    <row r="51" spans="1:11" ht="63" x14ac:dyDescent="0.25">
      <c r="A51" s="201" t="s">
        <v>526</v>
      </c>
      <c r="B51" s="206" t="s">
        <v>525</v>
      </c>
      <c r="C51" s="203">
        <v>44814</v>
      </c>
      <c r="D51" s="203">
        <v>44818</v>
      </c>
      <c r="E51" s="210">
        <v>43318</v>
      </c>
      <c r="F51" s="210">
        <v>43320</v>
      </c>
      <c r="G51" s="203">
        <v>44814</v>
      </c>
      <c r="H51" s="203">
        <v>44818</v>
      </c>
      <c r="I51" s="211"/>
      <c r="J51" s="193"/>
      <c r="K51" s="193"/>
    </row>
    <row r="52" spans="1:11" ht="63" x14ac:dyDescent="0.25">
      <c r="A52" s="201" t="s">
        <v>527</v>
      </c>
      <c r="B52" s="206" t="s">
        <v>185</v>
      </c>
      <c r="C52" s="203" t="s">
        <v>435</v>
      </c>
      <c r="D52" s="203" t="s">
        <v>435</v>
      </c>
      <c r="E52" s="210"/>
      <c r="F52" s="210"/>
      <c r="G52" s="203" t="s">
        <v>435</v>
      </c>
      <c r="H52" s="203" t="s">
        <v>435</v>
      </c>
      <c r="I52" s="211"/>
      <c r="J52" s="193"/>
      <c r="K52" s="193"/>
    </row>
    <row r="53" spans="1:11" ht="31.5" x14ac:dyDescent="0.25">
      <c r="A53" s="201" t="s">
        <v>529</v>
      </c>
      <c r="B53" s="206" t="s">
        <v>528</v>
      </c>
      <c r="C53" s="227">
        <v>44818</v>
      </c>
      <c r="D53" s="227">
        <v>44818</v>
      </c>
      <c r="E53" s="210">
        <v>43343</v>
      </c>
      <c r="F53" s="210">
        <v>43343</v>
      </c>
      <c r="G53" s="227">
        <v>44818</v>
      </c>
      <c r="H53" s="227">
        <v>44818</v>
      </c>
      <c r="I53" s="211"/>
      <c r="J53" s="193"/>
      <c r="K53" s="193"/>
    </row>
    <row r="54" spans="1:11" ht="31.5" x14ac:dyDescent="0.25">
      <c r="A54" s="201" t="s">
        <v>533</v>
      </c>
      <c r="B54" s="206" t="s">
        <v>184</v>
      </c>
      <c r="C54" s="227">
        <v>44818</v>
      </c>
      <c r="D54" s="227">
        <v>44818</v>
      </c>
      <c r="E54" s="210">
        <v>43353</v>
      </c>
      <c r="F54" s="210">
        <v>43353</v>
      </c>
      <c r="G54" s="227">
        <v>44818</v>
      </c>
      <c r="H54" s="227">
        <v>44818</v>
      </c>
      <c r="I54" s="211"/>
      <c r="J54" s="193"/>
      <c r="K54" s="19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2021-03-30T23:49:47Z</dcterms:modified>
</cp:coreProperties>
</file>