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1кор ИПР)\F0401_1153926028850_39_31.03.21 — копия\F0401_1153926028850_39\формы 1-21\"/>
    </mc:Choice>
  </mc:AlternateContent>
  <xr:revisionPtr revIDLastSave="0" documentId="13_ncr:1_{9ADE5918-D367-4D9C-A78A-4D1317DED100}" xr6:coauthVersionLast="46" xr6:coauthVersionMax="46" xr10:uidLastSave="{00000000-0000-0000-0000-000000000000}"/>
  <bookViews>
    <workbookView xWindow="-225" yWindow="0" windowWidth="28800" windowHeight="15600" xr2:uid="{00000000-000D-0000-FFFF-FFFF00000000}"/>
  </bookViews>
  <sheets>
    <sheet name="стр.1_4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_FilterDatabase" localSheetId="0" hidden="1">стр.1_4!$A$18:$W$453</definedName>
    <definedName name="_xlnm.Print_Titles" localSheetId="0">стр.1_4!$14:$16</definedName>
    <definedName name="_xlnm.Print_Area" localSheetId="0">стр.1_4!$A$1:$W$455</definedName>
  </definedNames>
  <calcPr calcId="181029"/>
</workbook>
</file>

<file path=xl/calcChain.xml><?xml version="1.0" encoding="utf-8"?>
<calcChain xmlns="http://schemas.openxmlformats.org/spreadsheetml/2006/main">
  <c r="N300" i="1" l="1"/>
  <c r="O300" i="1"/>
  <c r="P300" i="1"/>
  <c r="Q300" i="1"/>
  <c r="R300" i="1"/>
  <c r="S300" i="1"/>
  <c r="T300" i="1"/>
  <c r="U300" i="1"/>
  <c r="V300" i="1"/>
  <c r="W300" i="1"/>
  <c r="L300" i="1"/>
  <c r="M300" i="1"/>
  <c r="M362" i="1"/>
  <c r="M284" i="1" l="1"/>
  <c r="M294" i="1"/>
  <c r="M368" i="1"/>
  <c r="L345" i="1"/>
  <c r="M345" i="1"/>
  <c r="K345" i="1"/>
  <c r="M298" i="1"/>
  <c r="M276" i="1"/>
  <c r="L238" i="1"/>
  <c r="M239" i="1"/>
  <c r="M127" i="1"/>
  <c r="M148" i="1"/>
  <c r="M143" i="1"/>
  <c r="M140" i="1"/>
  <c r="M142" i="1" l="1"/>
  <c r="M134" i="1" s="1"/>
  <c r="Q343" i="1" l="1"/>
  <c r="Q338" i="1"/>
  <c r="O343" i="1" l="1"/>
  <c r="O338" i="1"/>
  <c r="O71" i="1" l="1"/>
  <c r="O70" i="1"/>
  <c r="O52" i="1"/>
  <c r="M236" i="1"/>
  <c r="M233" i="1"/>
  <c r="M232" i="1"/>
  <c r="M221" i="1"/>
  <c r="M229" i="1"/>
  <c r="M228" i="1"/>
  <c r="M227" i="1"/>
  <c r="M216" i="1"/>
  <c r="M210" i="1"/>
  <c r="M207" i="1"/>
  <c r="M208" i="1"/>
  <c r="M196" i="1"/>
  <c r="M195" i="1"/>
  <c r="M193" i="1"/>
  <c r="M192" i="1"/>
  <c r="M191" i="1"/>
  <c r="M190" i="1"/>
  <c r="M189" i="1"/>
  <c r="M187" i="1"/>
  <c r="M185" i="1"/>
  <c r="M184" i="1"/>
  <c r="M179" i="1"/>
  <c r="M171" i="1"/>
  <c r="M170" i="1"/>
  <c r="M296" i="1"/>
  <c r="M292" i="1"/>
  <c r="M288" i="1"/>
  <c r="M281" i="1"/>
  <c r="M266" i="1"/>
  <c r="M264" i="1"/>
  <c r="M260" i="1"/>
  <c r="M158" i="1"/>
  <c r="M157" i="1"/>
  <c r="M156" i="1"/>
  <c r="M26" i="1"/>
  <c r="M98" i="1"/>
  <c r="M92" i="1"/>
  <c r="M55" i="1"/>
  <c r="M71" i="1"/>
  <c r="M70" i="1"/>
  <c r="M66" i="1"/>
  <c r="M53" i="1"/>
  <c r="M52" i="1"/>
  <c r="M73" i="1"/>
  <c r="K39" i="1"/>
  <c r="K33" i="1" s="1"/>
  <c r="K70" i="1"/>
  <c r="K71" i="1"/>
  <c r="K64" i="1"/>
  <c r="K55" i="1"/>
  <c r="K53" i="1"/>
  <c r="K52" i="1"/>
  <c r="K47" i="1"/>
  <c r="M47" i="1"/>
  <c r="M42" i="1"/>
  <c r="K42" i="1"/>
  <c r="K41" i="1"/>
  <c r="M24" i="1"/>
  <c r="M27" i="1"/>
  <c r="M162" i="1" l="1"/>
  <c r="M249" i="1"/>
  <c r="M197" i="1"/>
  <c r="M180" i="1" s="1"/>
  <c r="K72" i="1"/>
  <c r="K32" i="1"/>
  <c r="K27" i="1"/>
  <c r="K26" i="1"/>
  <c r="K24" i="1"/>
  <c r="K335" i="1"/>
  <c r="J345" i="1"/>
  <c r="I345" i="1"/>
  <c r="U345" i="1"/>
  <c r="T345" i="1"/>
  <c r="S345" i="1"/>
  <c r="R345" i="1"/>
  <c r="Q345" i="1"/>
  <c r="P345" i="1"/>
  <c r="N345" i="1"/>
  <c r="K344" i="1"/>
  <c r="K340" i="1"/>
  <c r="K339" i="1"/>
  <c r="O53" i="1"/>
  <c r="M429" i="1" l="1"/>
  <c r="V367" i="1"/>
  <c r="V381" i="1"/>
  <c r="V378" i="1" s="1"/>
  <c r="V369" i="1" s="1"/>
  <c r="V400" i="1"/>
  <c r="V394" i="1" s="1"/>
  <c r="V393" i="1" s="1"/>
  <c r="P249" i="1" l="1"/>
  <c r="Q249" i="1"/>
  <c r="R249" i="1"/>
  <c r="S249" i="1"/>
  <c r="T249" i="1"/>
  <c r="U249" i="1"/>
  <c r="O249" i="1"/>
  <c r="M278" i="1" l="1"/>
  <c r="M231" i="1" l="1"/>
  <c r="M230" i="1" s="1"/>
  <c r="K180" i="1"/>
  <c r="L180" i="1"/>
  <c r="N180" i="1"/>
  <c r="P180" i="1"/>
  <c r="R180" i="1"/>
  <c r="T180" i="1"/>
  <c r="J180" i="1"/>
  <c r="J182" i="1"/>
  <c r="K182" i="1"/>
  <c r="L182" i="1"/>
  <c r="M182" i="1"/>
  <c r="N182" i="1"/>
  <c r="P182" i="1"/>
  <c r="R182" i="1"/>
  <c r="T182" i="1"/>
  <c r="I182" i="1"/>
  <c r="T39" i="1"/>
  <c r="N57" i="1"/>
  <c r="O57" i="1"/>
  <c r="P57" i="1"/>
  <c r="Q57" i="1"/>
  <c r="R57" i="1"/>
  <c r="S57" i="1"/>
  <c r="T57" i="1"/>
  <c r="U57" i="1"/>
  <c r="K369" i="1" l="1"/>
  <c r="K368" i="1" s="1"/>
  <c r="K425" i="1"/>
  <c r="K367" i="1" l="1"/>
  <c r="S393" i="1"/>
  <c r="W336" i="1" l="1"/>
  <c r="W337" i="1"/>
  <c r="W338" i="1"/>
  <c r="W339" i="1"/>
  <c r="W340" i="1"/>
  <c r="W341" i="1"/>
  <c r="W342" i="1"/>
  <c r="W343" i="1"/>
  <c r="W344" i="1"/>
  <c r="W346" i="1"/>
  <c r="W347" i="1"/>
  <c r="W348" i="1"/>
  <c r="W350" i="1"/>
  <c r="W351" i="1"/>
  <c r="W352" i="1"/>
  <c r="W353" i="1"/>
  <c r="W354" i="1"/>
  <c r="W355" i="1"/>
  <c r="W356" i="1"/>
  <c r="W357" i="1"/>
  <c r="W358" i="1"/>
  <c r="W359" i="1"/>
  <c r="W360" i="1"/>
  <c r="W361" i="1"/>
  <c r="W362" i="1"/>
  <c r="W335" i="1"/>
  <c r="W240" i="1"/>
  <c r="W244" i="1"/>
  <c r="W246" i="1"/>
  <c r="W247" i="1"/>
  <c r="W248" i="1"/>
  <c r="W249" i="1"/>
  <c r="W250" i="1"/>
  <c r="W251" i="1"/>
  <c r="W252" i="1"/>
  <c r="W253" i="1"/>
  <c r="W254" i="1"/>
  <c r="W255" i="1"/>
  <c r="W256" i="1"/>
  <c r="W257" i="1"/>
  <c r="W258" i="1"/>
  <c r="W259" i="1"/>
  <c r="W260" i="1"/>
  <c r="W261" i="1"/>
  <c r="W262" i="1"/>
  <c r="W263" i="1"/>
  <c r="W264" i="1"/>
  <c r="W265" i="1"/>
  <c r="W266" i="1"/>
  <c r="W267" i="1"/>
  <c r="W268" i="1"/>
  <c r="W269" i="1"/>
  <c r="W270" i="1"/>
  <c r="W271" i="1"/>
  <c r="W272" i="1"/>
  <c r="W273" i="1"/>
  <c r="W274" i="1"/>
  <c r="W275" i="1"/>
  <c r="W276" i="1"/>
  <c r="W277" i="1"/>
  <c r="W279" i="1"/>
  <c r="W280" i="1"/>
  <c r="W281" i="1"/>
  <c r="W282" i="1"/>
  <c r="W283" i="1"/>
  <c r="W284" i="1"/>
  <c r="W285" i="1"/>
  <c r="W286" i="1"/>
  <c r="W287" i="1"/>
  <c r="W288" i="1"/>
  <c r="W289" i="1"/>
  <c r="W290" i="1"/>
  <c r="W291" i="1"/>
  <c r="W292" i="1"/>
  <c r="W293" i="1"/>
  <c r="W294" i="1"/>
  <c r="W295" i="1"/>
  <c r="W296" i="1"/>
  <c r="W297" i="1"/>
  <c r="W298" i="1"/>
  <c r="W299" i="1"/>
  <c r="W301" i="1"/>
  <c r="W302" i="1"/>
  <c r="W303" i="1"/>
  <c r="W304" i="1"/>
  <c r="W305" i="1"/>
  <c r="W306" i="1"/>
  <c r="W307" i="1"/>
  <c r="W309" i="1"/>
  <c r="W310" i="1"/>
  <c r="W311" i="1"/>
  <c r="W312" i="1"/>
  <c r="W232" i="1"/>
  <c r="W233" i="1"/>
  <c r="W234" i="1"/>
  <c r="W235" i="1"/>
  <c r="W236" i="1"/>
  <c r="W216" i="1"/>
  <c r="W218" i="1"/>
  <c r="W220" i="1"/>
  <c r="W221" i="1"/>
  <c r="W222" i="1"/>
  <c r="W223" i="1"/>
  <c r="W224" i="1"/>
  <c r="W225" i="1"/>
  <c r="W226" i="1"/>
  <c r="W227" i="1"/>
  <c r="W228" i="1"/>
  <c r="W229" i="1"/>
  <c r="W188" i="1"/>
  <c r="W189" i="1"/>
  <c r="W190" i="1"/>
  <c r="W191" i="1"/>
  <c r="W192" i="1"/>
  <c r="W193" i="1"/>
  <c r="W194" i="1"/>
  <c r="W195" i="1"/>
  <c r="W196" i="1"/>
  <c r="W197" i="1"/>
  <c r="W198" i="1"/>
  <c r="W199" i="1"/>
  <c r="W200" i="1"/>
  <c r="W201" i="1"/>
  <c r="W202" i="1"/>
  <c r="W203" i="1"/>
  <c r="W204" i="1"/>
  <c r="W208" i="1"/>
  <c r="W209" i="1"/>
  <c r="W210" i="1"/>
  <c r="W211" i="1"/>
  <c r="W212" i="1"/>
  <c r="W213" i="1"/>
  <c r="W214" i="1"/>
  <c r="W215" i="1"/>
  <c r="W187" i="1"/>
  <c r="V189" i="1"/>
  <c r="W163" i="1"/>
  <c r="W164" i="1"/>
  <c r="W165" i="1"/>
  <c r="W166" i="1"/>
  <c r="W167" i="1"/>
  <c r="W168" i="1"/>
  <c r="W169" i="1"/>
  <c r="W170" i="1"/>
  <c r="W171" i="1"/>
  <c r="W172" i="1"/>
  <c r="W173" i="1"/>
  <c r="W174" i="1"/>
  <c r="W175" i="1"/>
  <c r="W176" i="1"/>
  <c r="W177" i="1"/>
  <c r="W178" i="1"/>
  <c r="W179" i="1"/>
  <c r="W181" i="1"/>
  <c r="W183" i="1"/>
  <c r="W73" i="1"/>
  <c r="W74" i="1"/>
  <c r="W77" i="1"/>
  <c r="W78" i="1"/>
  <c r="W79" i="1"/>
  <c r="W80" i="1"/>
  <c r="W81" i="1"/>
  <c r="W83" i="1"/>
  <c r="W86" i="1"/>
  <c r="W87" i="1"/>
  <c r="W88" i="1"/>
  <c r="W89" i="1"/>
  <c r="W93" i="1"/>
  <c r="W94" i="1"/>
  <c r="W95" i="1"/>
  <c r="W96" i="1"/>
  <c r="W97" i="1"/>
  <c r="W99" i="1"/>
  <c r="W100" i="1"/>
  <c r="W101" i="1"/>
  <c r="W102" i="1"/>
  <c r="W103" i="1"/>
  <c r="W105" i="1"/>
  <c r="W106" i="1"/>
  <c r="W107" i="1"/>
  <c r="W108" i="1"/>
  <c r="W109" i="1"/>
  <c r="W111" i="1"/>
  <c r="W114" i="1"/>
  <c r="W115" i="1"/>
  <c r="W116" i="1"/>
  <c r="W117" i="1"/>
  <c r="W120" i="1"/>
  <c r="W121" i="1"/>
  <c r="W122" i="1"/>
  <c r="W123" i="1"/>
  <c r="W124" i="1"/>
  <c r="W125" i="1"/>
  <c r="W126" i="1"/>
  <c r="W127" i="1"/>
  <c r="W128" i="1"/>
  <c r="W129" i="1"/>
  <c r="W130" i="1"/>
  <c r="W131" i="1"/>
  <c r="W132" i="1"/>
  <c r="W133" i="1"/>
  <c r="W135" i="1"/>
  <c r="W136" i="1"/>
  <c r="W137" i="1"/>
  <c r="W138" i="1"/>
  <c r="W139" i="1"/>
  <c r="W141" i="1"/>
  <c r="W144" i="1"/>
  <c r="W145" i="1"/>
  <c r="W146" i="1"/>
  <c r="W147" i="1"/>
  <c r="W150" i="1"/>
  <c r="W152" i="1"/>
  <c r="W153" i="1"/>
  <c r="W154" i="1"/>
  <c r="W156" i="1"/>
  <c r="W157" i="1"/>
  <c r="W15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4" i="1"/>
  <c r="W35" i="1"/>
  <c r="W36" i="1"/>
  <c r="W37" i="1"/>
  <c r="W38" i="1"/>
  <c r="W40" i="1"/>
  <c r="W42" i="1"/>
  <c r="W43" i="1"/>
  <c r="W44" i="1"/>
  <c r="W45" i="1"/>
  <c r="W46" i="1"/>
  <c r="W47" i="1"/>
  <c r="W49" i="1"/>
  <c r="W53" i="1"/>
  <c r="W54" i="1"/>
  <c r="W58" i="1"/>
  <c r="W60" i="1"/>
  <c r="W61" i="1"/>
  <c r="W62" i="1"/>
  <c r="W67" i="1"/>
  <c r="W69" i="1"/>
  <c r="V351" i="1"/>
  <c r="W278" i="1" l="1"/>
  <c r="O16" i="1"/>
  <c r="P16" i="1" s="1"/>
  <c r="Q16" i="1" s="1"/>
  <c r="R16" i="1" s="1"/>
  <c r="S16" i="1" s="1"/>
  <c r="T16" i="1" s="1"/>
  <c r="U16" i="1" s="1"/>
  <c r="V16" i="1" s="1"/>
  <c r="W16" i="1" s="1"/>
  <c r="W445" i="1" l="1"/>
  <c r="W370" i="1"/>
  <c r="W371" i="1"/>
  <c r="W372" i="1"/>
  <c r="W373" i="1"/>
  <c r="W374" i="1"/>
  <c r="W375" i="1"/>
  <c r="W376" i="1"/>
  <c r="W377" i="1"/>
  <c r="W379" i="1"/>
  <c r="W380" i="1"/>
  <c r="W382" i="1"/>
  <c r="W383" i="1"/>
  <c r="W384" i="1"/>
  <c r="W385" i="1"/>
  <c r="W386" i="1"/>
  <c r="W387" i="1"/>
  <c r="W388" i="1"/>
  <c r="W389" i="1"/>
  <c r="W390" i="1"/>
  <c r="W391" i="1"/>
  <c r="W392" i="1"/>
  <c r="W395" i="1"/>
  <c r="W396" i="1"/>
  <c r="W397" i="1"/>
  <c r="W398" i="1"/>
  <c r="W399" i="1"/>
  <c r="W401" i="1"/>
  <c r="W402" i="1"/>
  <c r="W403" i="1"/>
  <c r="W404" i="1"/>
  <c r="W405" i="1"/>
  <c r="W406" i="1"/>
  <c r="W407" i="1"/>
  <c r="W408" i="1"/>
  <c r="W409" i="1"/>
  <c r="W410" i="1"/>
  <c r="W411" i="1"/>
  <c r="W412" i="1"/>
  <c r="W413" i="1"/>
  <c r="W414" i="1"/>
  <c r="W415" i="1"/>
  <c r="W416" i="1"/>
  <c r="W417" i="1"/>
  <c r="W418" i="1"/>
  <c r="W419" i="1"/>
  <c r="W420" i="1"/>
  <c r="W422" i="1"/>
  <c r="W423" i="1"/>
  <c r="W424" i="1"/>
  <c r="W426" i="1"/>
  <c r="W427" i="1"/>
  <c r="W428" i="1"/>
  <c r="W429" i="1"/>
  <c r="W430" i="1"/>
  <c r="W431" i="1"/>
  <c r="W432" i="1"/>
  <c r="W433" i="1"/>
  <c r="W434" i="1"/>
  <c r="W435" i="1"/>
  <c r="W436" i="1"/>
  <c r="W437" i="1"/>
  <c r="W438" i="1"/>
  <c r="W439" i="1"/>
  <c r="W440" i="1"/>
  <c r="W441" i="1"/>
  <c r="W442" i="1"/>
  <c r="W443" i="1"/>
  <c r="W444" i="1"/>
  <c r="M425" i="1"/>
  <c r="W425" i="1" s="1"/>
  <c r="V208" i="1" l="1"/>
  <c r="U206" i="1" l="1"/>
  <c r="V187" i="1" l="1"/>
  <c r="K18" i="1"/>
  <c r="K140" i="1" l="1"/>
  <c r="K237" i="1"/>
  <c r="K243" i="1"/>
  <c r="K242" i="1"/>
  <c r="K241" i="1"/>
  <c r="K239" i="1"/>
  <c r="K238" i="1"/>
  <c r="K245" i="1" l="1"/>
  <c r="L278" i="1"/>
  <c r="N278" i="1"/>
  <c r="P278" i="1"/>
  <c r="R278" i="1"/>
  <c r="T278" i="1"/>
  <c r="J278" i="1"/>
  <c r="L249" i="1"/>
  <c r="N249" i="1"/>
  <c r="V249" i="1"/>
  <c r="J249" i="1"/>
  <c r="V163" i="1"/>
  <c r="V164" i="1"/>
  <c r="V165" i="1"/>
  <c r="V166" i="1"/>
  <c r="V167" i="1"/>
  <c r="V168" i="1"/>
  <c r="V169" i="1"/>
  <c r="V170" i="1"/>
  <c r="V171" i="1"/>
  <c r="V172" i="1"/>
  <c r="V173" i="1"/>
  <c r="V174" i="1"/>
  <c r="V175" i="1"/>
  <c r="V176" i="1"/>
  <c r="V177" i="1"/>
  <c r="V178" i="1"/>
  <c r="V179" i="1"/>
  <c r="V181" i="1"/>
  <c r="V183" i="1"/>
  <c r="V186" i="1"/>
  <c r="V188" i="1"/>
  <c r="V190" i="1"/>
  <c r="V191" i="1"/>
  <c r="V192" i="1"/>
  <c r="V194" i="1"/>
  <c r="V195" i="1"/>
  <c r="V196" i="1"/>
  <c r="V197" i="1"/>
  <c r="V198" i="1"/>
  <c r="V199" i="1"/>
  <c r="V200" i="1"/>
  <c r="V201" i="1"/>
  <c r="V202" i="1"/>
  <c r="V203" i="1"/>
  <c r="V204" i="1"/>
  <c r="V209" i="1"/>
  <c r="V210" i="1"/>
  <c r="V211" i="1"/>
  <c r="V212" i="1"/>
  <c r="V213" i="1"/>
  <c r="V214" i="1"/>
  <c r="V215" i="1"/>
  <c r="V216" i="1"/>
  <c r="V218" i="1"/>
  <c r="V220" i="1"/>
  <c r="V221" i="1"/>
  <c r="V222" i="1"/>
  <c r="V223" i="1"/>
  <c r="V224" i="1"/>
  <c r="V225" i="1"/>
  <c r="V226" i="1"/>
  <c r="V227" i="1"/>
  <c r="V228" i="1"/>
  <c r="V229" i="1"/>
  <c r="V232" i="1"/>
  <c r="V233" i="1"/>
  <c r="V234" i="1"/>
  <c r="V235" i="1"/>
  <c r="V236" i="1"/>
  <c r="V240" i="1"/>
  <c r="V244" i="1"/>
  <c r="V246" i="1"/>
  <c r="V247" i="1"/>
  <c r="V248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7" i="1"/>
  <c r="V268" i="1"/>
  <c r="V269" i="1"/>
  <c r="V270" i="1"/>
  <c r="V271" i="1"/>
  <c r="V272" i="1"/>
  <c r="V273" i="1"/>
  <c r="V274" i="1"/>
  <c r="V275" i="1"/>
  <c r="V276" i="1"/>
  <c r="V277" i="1"/>
  <c r="V280" i="1"/>
  <c r="V281" i="1"/>
  <c r="V282" i="1"/>
  <c r="V283" i="1"/>
  <c r="V284" i="1"/>
  <c r="V285" i="1"/>
  <c r="V286" i="1"/>
  <c r="V287" i="1"/>
  <c r="V289" i="1"/>
  <c r="V290" i="1"/>
  <c r="V291" i="1"/>
  <c r="V293" i="1"/>
  <c r="V295" i="1"/>
  <c r="V297" i="1"/>
  <c r="V299" i="1"/>
  <c r="V301" i="1"/>
  <c r="V302" i="1"/>
  <c r="V303" i="1"/>
  <c r="V304" i="1"/>
  <c r="V305" i="1"/>
  <c r="V306" i="1"/>
  <c r="V307" i="1"/>
  <c r="V309" i="1"/>
  <c r="V310" i="1"/>
  <c r="V311" i="1"/>
  <c r="J243" i="1"/>
  <c r="L243" i="1"/>
  <c r="M243" i="1"/>
  <c r="N243" i="1"/>
  <c r="O243" i="1"/>
  <c r="P243" i="1"/>
  <c r="Q243" i="1"/>
  <c r="R243" i="1"/>
  <c r="S243" i="1"/>
  <c r="T243" i="1"/>
  <c r="U243" i="1"/>
  <c r="I243" i="1"/>
  <c r="J206" i="1"/>
  <c r="J239" i="1" s="1"/>
  <c r="U239" i="1"/>
  <c r="I206" i="1"/>
  <c r="I239" i="1" s="1"/>
  <c r="I180" i="1"/>
  <c r="J162" i="1"/>
  <c r="L162" i="1"/>
  <c r="N162" i="1"/>
  <c r="O162" i="1"/>
  <c r="P162" i="1"/>
  <c r="Q162" i="1"/>
  <c r="R162" i="1"/>
  <c r="S162" i="1"/>
  <c r="T162" i="1"/>
  <c r="U162" i="1"/>
  <c r="I162" i="1"/>
  <c r="J219" i="1"/>
  <c r="L219" i="1"/>
  <c r="M219" i="1"/>
  <c r="M217" i="1" s="1"/>
  <c r="N219" i="1"/>
  <c r="O219" i="1"/>
  <c r="P219" i="1"/>
  <c r="P217" i="1" s="1"/>
  <c r="Q219" i="1"/>
  <c r="Q217" i="1" s="1"/>
  <c r="R219" i="1"/>
  <c r="R217" i="1" s="1"/>
  <c r="S219" i="1"/>
  <c r="S217" i="1" s="1"/>
  <c r="T219" i="1"/>
  <c r="T217" i="1" s="1"/>
  <c r="U219" i="1"/>
  <c r="U217" i="1" s="1"/>
  <c r="I219" i="1"/>
  <c r="J231" i="1"/>
  <c r="J230" i="1" s="1"/>
  <c r="L231" i="1"/>
  <c r="N231" i="1"/>
  <c r="N230" i="1" s="1"/>
  <c r="P231" i="1"/>
  <c r="P230" i="1" s="1"/>
  <c r="Q231" i="1"/>
  <c r="Q230" i="1" s="1"/>
  <c r="R231" i="1"/>
  <c r="R230" i="1" s="1"/>
  <c r="S231" i="1"/>
  <c r="S230" i="1" s="1"/>
  <c r="T231" i="1"/>
  <c r="T230" i="1" s="1"/>
  <c r="U231" i="1"/>
  <c r="U230" i="1" s="1"/>
  <c r="I231" i="1"/>
  <c r="I230" i="1" s="1"/>
  <c r="N349" i="1"/>
  <c r="O349" i="1"/>
  <c r="P349" i="1"/>
  <c r="Q349" i="1"/>
  <c r="R349" i="1"/>
  <c r="S349" i="1"/>
  <c r="T349" i="1"/>
  <c r="U349" i="1"/>
  <c r="J349" i="1"/>
  <c r="U149" i="1"/>
  <c r="N207" i="1"/>
  <c r="N206" i="1" s="1"/>
  <c r="N239" i="1" s="1"/>
  <c r="P207" i="1"/>
  <c r="P206" i="1" s="1"/>
  <c r="P239" i="1" s="1"/>
  <c r="R207" i="1"/>
  <c r="R206" i="1" s="1"/>
  <c r="R239" i="1" s="1"/>
  <c r="S207" i="1"/>
  <c r="S206" i="1" s="1"/>
  <c r="S239" i="1" s="1"/>
  <c r="T207" i="1"/>
  <c r="T206" i="1" s="1"/>
  <c r="T239" i="1" s="1"/>
  <c r="L207" i="1"/>
  <c r="L206" i="1" s="1"/>
  <c r="L239" i="1" s="1"/>
  <c r="V336" i="1"/>
  <c r="V341" i="1"/>
  <c r="V344" i="1"/>
  <c r="V346" i="1"/>
  <c r="V348" i="1"/>
  <c r="V350" i="1"/>
  <c r="V352" i="1"/>
  <c r="V353" i="1"/>
  <c r="V354" i="1"/>
  <c r="V355" i="1"/>
  <c r="V356" i="1"/>
  <c r="V127" i="1"/>
  <c r="J119" i="1"/>
  <c r="L119" i="1"/>
  <c r="M119" i="1"/>
  <c r="N119" i="1"/>
  <c r="P119" i="1"/>
  <c r="Q119" i="1"/>
  <c r="R119" i="1"/>
  <c r="S119" i="1"/>
  <c r="T119" i="1"/>
  <c r="J92" i="1"/>
  <c r="L92" i="1"/>
  <c r="N92" i="1"/>
  <c r="O92" i="1"/>
  <c r="P92" i="1"/>
  <c r="Q92" i="1"/>
  <c r="R92" i="1"/>
  <c r="S92" i="1"/>
  <c r="T92" i="1"/>
  <c r="J85" i="1"/>
  <c r="J113" i="1" s="1"/>
  <c r="J143" i="1" s="1"/>
  <c r="L85" i="1"/>
  <c r="L113" i="1" s="1"/>
  <c r="M85" i="1"/>
  <c r="M113" i="1" s="1"/>
  <c r="N85" i="1"/>
  <c r="N113" i="1" s="1"/>
  <c r="O85" i="1"/>
  <c r="O113" i="1" s="1"/>
  <c r="O143" i="1" s="1"/>
  <c r="P85" i="1"/>
  <c r="P113" i="1" s="1"/>
  <c r="Q85" i="1"/>
  <c r="Q113" i="1" s="1"/>
  <c r="Q143" i="1" s="1"/>
  <c r="R85" i="1"/>
  <c r="R113" i="1" s="1"/>
  <c r="S85" i="1"/>
  <c r="S113" i="1" s="1"/>
  <c r="S143" i="1" s="1"/>
  <c r="T85" i="1"/>
  <c r="T113" i="1" s="1"/>
  <c r="U85" i="1"/>
  <c r="U113" i="1" s="1"/>
  <c r="U143" i="1" s="1"/>
  <c r="J84" i="1"/>
  <c r="J112" i="1" s="1"/>
  <c r="J142" i="1" s="1"/>
  <c r="L84" i="1"/>
  <c r="L112" i="1" s="1"/>
  <c r="L142" i="1" s="1"/>
  <c r="N84" i="1"/>
  <c r="N112" i="1" s="1"/>
  <c r="N142" i="1" s="1"/>
  <c r="O84" i="1"/>
  <c r="O112" i="1" s="1"/>
  <c r="P84" i="1"/>
  <c r="P112" i="1" s="1"/>
  <c r="P142" i="1" s="1"/>
  <c r="Q84" i="1"/>
  <c r="Q112" i="1" s="1"/>
  <c r="R84" i="1"/>
  <c r="R112" i="1" s="1"/>
  <c r="R142" i="1" s="1"/>
  <c r="S84" i="1"/>
  <c r="S112" i="1" s="1"/>
  <c r="T84" i="1"/>
  <c r="T112" i="1" s="1"/>
  <c r="T142" i="1" s="1"/>
  <c r="U84" i="1"/>
  <c r="U112" i="1" s="1"/>
  <c r="N339" i="1"/>
  <c r="P339" i="1" s="1"/>
  <c r="R339" i="1" s="1"/>
  <c r="T339" i="1" s="1"/>
  <c r="N337" i="1"/>
  <c r="J347" i="1"/>
  <c r="J342" i="1"/>
  <c r="J343" i="1" s="1"/>
  <c r="J339" i="1"/>
  <c r="J337" i="1"/>
  <c r="J335" i="1" s="1"/>
  <c r="I349" i="1"/>
  <c r="I342" i="1"/>
  <c r="I343" i="1" s="1"/>
  <c r="I339" i="1"/>
  <c r="I337" i="1"/>
  <c r="I338" i="1" s="1"/>
  <c r="I335" i="1" s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4" i="1"/>
  <c r="V35" i="1"/>
  <c r="V36" i="1"/>
  <c r="V37" i="1"/>
  <c r="V38" i="1"/>
  <c r="V40" i="1"/>
  <c r="V41" i="1"/>
  <c r="V42" i="1"/>
  <c r="V43" i="1"/>
  <c r="V44" i="1"/>
  <c r="V45" i="1"/>
  <c r="V46" i="1"/>
  <c r="V47" i="1"/>
  <c r="V49" i="1"/>
  <c r="V52" i="1"/>
  <c r="V53" i="1"/>
  <c r="V54" i="1"/>
  <c r="V55" i="1"/>
  <c r="V56" i="1"/>
  <c r="V58" i="1"/>
  <c r="V59" i="1"/>
  <c r="V57" i="1" s="1"/>
  <c r="V60" i="1"/>
  <c r="V61" i="1"/>
  <c r="V62" i="1"/>
  <c r="V63" i="1"/>
  <c r="V64" i="1"/>
  <c r="V66" i="1"/>
  <c r="V67" i="1"/>
  <c r="V69" i="1"/>
  <c r="V70" i="1"/>
  <c r="V71" i="1"/>
  <c r="V73" i="1"/>
  <c r="V74" i="1"/>
  <c r="V75" i="1"/>
  <c r="V77" i="1"/>
  <c r="V78" i="1"/>
  <c r="V79" i="1"/>
  <c r="V80" i="1"/>
  <c r="V81" i="1"/>
  <c r="V83" i="1"/>
  <c r="V86" i="1"/>
  <c r="V87" i="1"/>
  <c r="V88" i="1"/>
  <c r="V89" i="1"/>
  <c r="V90" i="1"/>
  <c r="V93" i="1"/>
  <c r="V94" i="1"/>
  <c r="V95" i="1"/>
  <c r="V96" i="1"/>
  <c r="V97" i="1"/>
  <c r="V99" i="1"/>
  <c r="V100" i="1"/>
  <c r="V101" i="1"/>
  <c r="V102" i="1"/>
  <c r="V103" i="1"/>
  <c r="V105" i="1"/>
  <c r="V106" i="1"/>
  <c r="V107" i="1"/>
  <c r="V108" i="1"/>
  <c r="V109" i="1"/>
  <c r="V111" i="1"/>
  <c r="V114" i="1"/>
  <c r="V115" i="1"/>
  <c r="V116" i="1"/>
  <c r="V117" i="1"/>
  <c r="V118" i="1"/>
  <c r="V120" i="1"/>
  <c r="V121" i="1"/>
  <c r="V122" i="1"/>
  <c r="V123" i="1"/>
  <c r="V124" i="1"/>
  <c r="V125" i="1"/>
  <c r="V126" i="1"/>
  <c r="V128" i="1"/>
  <c r="V129" i="1"/>
  <c r="V130" i="1"/>
  <c r="V131" i="1"/>
  <c r="V132" i="1"/>
  <c r="V133" i="1"/>
  <c r="V136" i="1"/>
  <c r="V137" i="1"/>
  <c r="V138" i="1"/>
  <c r="V139" i="1"/>
  <c r="V141" i="1"/>
  <c r="V144" i="1"/>
  <c r="V145" i="1"/>
  <c r="V146" i="1"/>
  <c r="V147" i="1"/>
  <c r="V148" i="1"/>
  <c r="V150" i="1"/>
  <c r="V152" i="1"/>
  <c r="V153" i="1"/>
  <c r="V154" i="1"/>
  <c r="V156" i="1"/>
  <c r="V157" i="1"/>
  <c r="V158" i="1"/>
  <c r="V159" i="1"/>
  <c r="J98" i="1"/>
  <c r="L98" i="1"/>
  <c r="N98" i="1"/>
  <c r="O98" i="1"/>
  <c r="P98" i="1"/>
  <c r="Q98" i="1"/>
  <c r="R98" i="1"/>
  <c r="S98" i="1"/>
  <c r="T98" i="1"/>
  <c r="U98" i="1"/>
  <c r="J72" i="1"/>
  <c r="L72" i="1"/>
  <c r="N72" i="1"/>
  <c r="O72" i="1"/>
  <c r="P72" i="1"/>
  <c r="Q72" i="1"/>
  <c r="R72" i="1"/>
  <c r="S72" i="1"/>
  <c r="T72" i="1"/>
  <c r="U72" i="1"/>
  <c r="J68" i="1"/>
  <c r="L68" i="1"/>
  <c r="N68" i="1"/>
  <c r="O68" i="1"/>
  <c r="P68" i="1"/>
  <c r="Q68" i="1"/>
  <c r="R68" i="1"/>
  <c r="S68" i="1"/>
  <c r="T68" i="1"/>
  <c r="U68" i="1"/>
  <c r="J51" i="1"/>
  <c r="J50" i="1" s="1"/>
  <c r="L51" i="1"/>
  <c r="M51" i="1"/>
  <c r="N51" i="1"/>
  <c r="N50" i="1" s="1"/>
  <c r="P51" i="1"/>
  <c r="P50" i="1" s="1"/>
  <c r="Q51" i="1"/>
  <c r="Q50" i="1" s="1"/>
  <c r="R51" i="1"/>
  <c r="R50" i="1" s="1"/>
  <c r="S51" i="1"/>
  <c r="S50" i="1" s="1"/>
  <c r="T51" i="1"/>
  <c r="T50" i="1" s="1"/>
  <c r="U51" i="1"/>
  <c r="U50" i="1" s="1"/>
  <c r="J65" i="1"/>
  <c r="L65" i="1"/>
  <c r="N65" i="1"/>
  <c r="O65" i="1"/>
  <c r="P65" i="1"/>
  <c r="Q65" i="1"/>
  <c r="S65" i="1"/>
  <c r="T65" i="1"/>
  <c r="U65" i="1"/>
  <c r="I119" i="1"/>
  <c r="I98" i="1"/>
  <c r="I92" i="1"/>
  <c r="I90" i="1"/>
  <c r="I85" i="1"/>
  <c r="I113" i="1" s="1"/>
  <c r="I143" i="1" s="1"/>
  <c r="I84" i="1"/>
  <c r="I112" i="1" s="1"/>
  <c r="I142" i="1" s="1"/>
  <c r="I82" i="1"/>
  <c r="I110" i="1" s="1"/>
  <c r="I140" i="1" s="1"/>
  <c r="I72" i="1"/>
  <c r="I68" i="1"/>
  <c r="I65" i="1"/>
  <c r="I51" i="1"/>
  <c r="I50" i="1" s="1"/>
  <c r="I48" i="1" s="1"/>
  <c r="J18" i="1"/>
  <c r="L18" i="1"/>
  <c r="N18" i="1"/>
  <c r="O18" i="1"/>
  <c r="P18" i="1"/>
  <c r="Q18" i="1"/>
  <c r="R18" i="1"/>
  <c r="S18" i="1"/>
  <c r="T18" i="1"/>
  <c r="T76" i="1" s="1"/>
  <c r="U18" i="1"/>
  <c r="I18" i="1"/>
  <c r="I76" i="1" s="1"/>
  <c r="T241" i="1" l="1"/>
  <c r="U182" i="1"/>
  <c r="U180" i="1"/>
  <c r="U237" i="1" s="1"/>
  <c r="S180" i="1"/>
  <c r="S237" i="1" s="1"/>
  <c r="S182" i="1"/>
  <c r="Q182" i="1"/>
  <c r="Q180" i="1"/>
  <c r="Q237" i="1" s="1"/>
  <c r="O180" i="1"/>
  <c r="O237" i="1" s="1"/>
  <c r="O182" i="1"/>
  <c r="W349" i="1"/>
  <c r="W243" i="1"/>
  <c r="V279" i="1"/>
  <c r="V278" i="1" s="1"/>
  <c r="W85" i="1"/>
  <c r="W230" i="1"/>
  <c r="W231" i="1"/>
  <c r="V349" i="1"/>
  <c r="W92" i="1"/>
  <c r="W219" i="1"/>
  <c r="W217" i="1" s="1"/>
  <c r="W162" i="1"/>
  <c r="W98" i="1"/>
  <c r="W119" i="1"/>
  <c r="V18" i="1"/>
  <c r="M50" i="1"/>
  <c r="V207" i="1"/>
  <c r="V206" i="1" s="1"/>
  <c r="J237" i="1"/>
  <c r="T48" i="1"/>
  <c r="T237" i="1"/>
  <c r="T82" i="1"/>
  <c r="V85" i="1"/>
  <c r="V113" i="1" s="1"/>
  <c r="V143" i="1" s="1"/>
  <c r="S205" i="1"/>
  <c r="S238" i="1" s="1"/>
  <c r="I91" i="1"/>
  <c r="T91" i="1"/>
  <c r="T104" i="1" s="1"/>
  <c r="U205" i="1"/>
  <c r="U238" i="1" s="1"/>
  <c r="V51" i="1"/>
  <c r="V98" i="1"/>
  <c r="L50" i="1"/>
  <c r="I118" i="1"/>
  <c r="I104" i="1" s="1"/>
  <c r="I155" i="1" s="1"/>
  <c r="I160" i="1" s="1"/>
  <c r="L91" i="1"/>
  <c r="I205" i="1"/>
  <c r="I238" i="1" s="1"/>
  <c r="T205" i="1"/>
  <c r="T238" i="1" s="1"/>
  <c r="R205" i="1"/>
  <c r="R238" i="1" s="1"/>
  <c r="P205" i="1"/>
  <c r="P238" i="1" s="1"/>
  <c r="N205" i="1"/>
  <c r="N238" i="1" s="1"/>
  <c r="P143" i="1"/>
  <c r="R91" i="1"/>
  <c r="P91" i="1"/>
  <c r="N91" i="1"/>
  <c r="V84" i="1"/>
  <c r="V112" i="1" s="1"/>
  <c r="V142" i="1" s="1"/>
  <c r="I237" i="1"/>
  <c r="J205" i="1"/>
  <c r="J238" i="1" s="1"/>
  <c r="L205" i="1"/>
  <c r="L143" i="1"/>
  <c r="V119" i="1"/>
  <c r="V92" i="1"/>
  <c r="V339" i="1"/>
  <c r="U91" i="1"/>
  <c r="Q91" i="1"/>
  <c r="M91" i="1"/>
  <c r="I242" i="1"/>
  <c r="R143" i="1"/>
  <c r="V68" i="1"/>
  <c r="V72" i="1"/>
  <c r="S91" i="1"/>
  <c r="J91" i="1"/>
  <c r="V231" i="1"/>
  <c r="T242" i="1"/>
  <c r="R242" i="1"/>
  <c r="P242" i="1"/>
  <c r="N242" i="1"/>
  <c r="V219" i="1"/>
  <c r="V217" i="1" s="1"/>
  <c r="V65" i="1"/>
  <c r="O91" i="1"/>
  <c r="U242" i="1"/>
  <c r="S242" i="1"/>
  <c r="Q242" i="1"/>
  <c r="O242" i="1"/>
  <c r="M242" i="1"/>
  <c r="J242" i="1"/>
  <c r="V243" i="1"/>
  <c r="S48" i="1"/>
  <c r="S33" i="1" s="1"/>
  <c r="N347" i="1"/>
  <c r="P347" i="1" s="1"/>
  <c r="R347" i="1" s="1"/>
  <c r="T347" i="1" s="1"/>
  <c r="U142" i="1"/>
  <c r="S142" i="1"/>
  <c r="Q142" i="1"/>
  <c r="O142" i="1"/>
  <c r="T143" i="1"/>
  <c r="Q48" i="1"/>
  <c r="Q33" i="1" s="1"/>
  <c r="U48" i="1"/>
  <c r="R237" i="1"/>
  <c r="R48" i="1"/>
  <c r="R33" i="1" s="1"/>
  <c r="P237" i="1"/>
  <c r="P48" i="1"/>
  <c r="P33" i="1" s="1"/>
  <c r="N237" i="1"/>
  <c r="N48" i="1"/>
  <c r="P337" i="1"/>
  <c r="N143" i="1"/>
  <c r="V239" i="1"/>
  <c r="J48" i="1"/>
  <c r="J33" i="1" s="1"/>
  <c r="J76" i="1" s="1"/>
  <c r="N338" i="1"/>
  <c r="P338" i="1" s="1"/>
  <c r="R338" i="1" s="1"/>
  <c r="T338" i="1" s="1"/>
  <c r="U241" i="1"/>
  <c r="R241" i="1"/>
  <c r="P241" i="1"/>
  <c r="N217" i="1"/>
  <c r="N241" i="1" s="1"/>
  <c r="L242" i="1"/>
  <c r="V162" i="1"/>
  <c r="L230" i="1"/>
  <c r="V230" i="1" s="1"/>
  <c r="I217" i="1"/>
  <c r="I241" i="1" s="1"/>
  <c r="S241" i="1"/>
  <c r="Q241" i="1"/>
  <c r="O217" i="1"/>
  <c r="L217" i="1"/>
  <c r="J217" i="1"/>
  <c r="J241" i="1" s="1"/>
  <c r="I134" i="1"/>
  <c r="P76" i="1" l="1"/>
  <c r="P82" i="1" s="1"/>
  <c r="P39" i="1"/>
  <c r="V238" i="1"/>
  <c r="Q76" i="1"/>
  <c r="Q82" i="1" s="1"/>
  <c r="Q39" i="1"/>
  <c r="R76" i="1"/>
  <c r="R82" i="1" s="1"/>
  <c r="R39" i="1"/>
  <c r="S76" i="1"/>
  <c r="S82" i="1" s="1"/>
  <c r="S39" i="1"/>
  <c r="W91" i="1"/>
  <c r="W242" i="1"/>
  <c r="M241" i="1"/>
  <c r="O241" i="1"/>
  <c r="W143" i="1"/>
  <c r="W113" i="1"/>
  <c r="U33" i="1"/>
  <c r="U39" i="1" s="1"/>
  <c r="J82" i="1"/>
  <c r="J104" i="1"/>
  <c r="J110" i="1" s="1"/>
  <c r="T110" i="1"/>
  <c r="T140" i="1" s="1"/>
  <c r="T134" i="1" s="1"/>
  <c r="T151" i="1" s="1"/>
  <c r="T149" i="1" s="1"/>
  <c r="T155" i="1"/>
  <c r="T160" i="1" s="1"/>
  <c r="P104" i="1"/>
  <c r="V91" i="1"/>
  <c r="T245" i="1"/>
  <c r="L48" i="1"/>
  <c r="L33" i="1" s="1"/>
  <c r="V50" i="1"/>
  <c r="V205" i="1"/>
  <c r="I245" i="1"/>
  <c r="V242" i="1"/>
  <c r="V347" i="1"/>
  <c r="L241" i="1"/>
  <c r="V241" i="1" s="1"/>
  <c r="U245" i="1"/>
  <c r="N342" i="1"/>
  <c r="P245" i="1"/>
  <c r="P335" i="1"/>
  <c r="R337" i="1"/>
  <c r="N33" i="1"/>
  <c r="J245" i="1"/>
  <c r="S245" i="1"/>
  <c r="N245" i="1"/>
  <c r="R245" i="1"/>
  <c r="N335" i="1"/>
  <c r="V338" i="1"/>
  <c r="S104" i="1" l="1"/>
  <c r="R104" i="1"/>
  <c r="Q104" i="1"/>
  <c r="Q155" i="1" s="1"/>
  <c r="Q160" i="1" s="1"/>
  <c r="N76" i="1"/>
  <c r="N82" i="1" s="1"/>
  <c r="N39" i="1"/>
  <c r="L76" i="1"/>
  <c r="L39" i="1"/>
  <c r="W241" i="1"/>
  <c r="M237" i="1"/>
  <c r="W237" i="1" s="1"/>
  <c r="U76" i="1"/>
  <c r="L237" i="1"/>
  <c r="L245" i="1" s="1"/>
  <c r="V245" i="1" s="1"/>
  <c r="S110" i="1"/>
  <c r="S140" i="1" s="1"/>
  <c r="S134" i="1" s="1"/>
  <c r="S151" i="1" s="1"/>
  <c r="S149" i="1" s="1"/>
  <c r="S155" i="1"/>
  <c r="S160" i="1" s="1"/>
  <c r="Q110" i="1"/>
  <c r="Q140" i="1" s="1"/>
  <c r="Q134" i="1" s="1"/>
  <c r="Q151" i="1" s="1"/>
  <c r="Q149" i="1" s="1"/>
  <c r="L104" i="1"/>
  <c r="L82" i="1"/>
  <c r="P110" i="1"/>
  <c r="P140" i="1" s="1"/>
  <c r="P134" i="1" s="1"/>
  <c r="P151" i="1" s="1"/>
  <c r="P149" i="1" s="1"/>
  <c r="P155" i="1"/>
  <c r="P160" i="1" s="1"/>
  <c r="R155" i="1"/>
  <c r="R160" i="1" s="1"/>
  <c r="R110" i="1"/>
  <c r="R140" i="1" s="1"/>
  <c r="R134" i="1" s="1"/>
  <c r="R151" i="1" s="1"/>
  <c r="R149" i="1" s="1"/>
  <c r="V33" i="1"/>
  <c r="V48" i="1"/>
  <c r="R335" i="1"/>
  <c r="T337" i="1"/>
  <c r="T335" i="1" s="1"/>
  <c r="N343" i="1"/>
  <c r="P343" i="1" s="1"/>
  <c r="R343" i="1" s="1"/>
  <c r="T343" i="1" s="1"/>
  <c r="P342" i="1"/>
  <c r="N104" i="1" l="1"/>
  <c r="N155" i="1" s="1"/>
  <c r="N160" i="1" s="1"/>
  <c r="V76" i="1"/>
  <c r="V82" i="1" s="1"/>
  <c r="V39" i="1"/>
  <c r="V184" i="1" s="1"/>
  <c r="U104" i="1"/>
  <c r="U82" i="1"/>
  <c r="N110" i="1"/>
  <c r="N140" i="1" s="1"/>
  <c r="N134" i="1" s="1"/>
  <c r="N151" i="1" s="1"/>
  <c r="N149" i="1" s="1"/>
  <c r="L110" i="1"/>
  <c r="L140" i="1" s="1"/>
  <c r="L134" i="1" s="1"/>
  <c r="L151" i="1" s="1"/>
  <c r="L149" i="1" s="1"/>
  <c r="L155" i="1"/>
  <c r="L160" i="1" s="1"/>
  <c r="N340" i="1"/>
  <c r="V337" i="1"/>
  <c r="V335" i="1"/>
  <c r="P340" i="1"/>
  <c r="R342" i="1"/>
  <c r="V343" i="1"/>
  <c r="V182" i="1" l="1"/>
  <c r="V180" i="1"/>
  <c r="V237" i="1" s="1"/>
  <c r="V104" i="1"/>
  <c r="V155" i="1" s="1"/>
  <c r="V160" i="1" s="1"/>
  <c r="V149" i="1"/>
  <c r="U110" i="1"/>
  <c r="U155" i="1"/>
  <c r="R340" i="1"/>
  <c r="T342" i="1"/>
  <c r="T340" i="1" s="1"/>
  <c r="V110" i="1" l="1"/>
  <c r="V140" i="1" s="1"/>
  <c r="V134" i="1" s="1"/>
  <c r="V151" i="1" s="1"/>
  <c r="U160" i="1"/>
  <c r="U140" i="1"/>
  <c r="V342" i="1"/>
  <c r="V340" i="1"/>
  <c r="U134" i="1" l="1"/>
  <c r="U151" i="1" l="1"/>
  <c r="J155" i="1" l="1"/>
  <c r="J160" i="1" s="1"/>
  <c r="J140" i="1"/>
  <c r="J134" i="1" s="1"/>
  <c r="M421" i="1" l="1"/>
  <c r="W421" i="1" s="1"/>
  <c r="S400" i="1"/>
  <c r="S381" i="1"/>
  <c r="S378" i="1" s="1"/>
  <c r="S369" i="1" s="1"/>
  <c r="U381" i="1"/>
  <c r="U378" i="1" s="1"/>
  <c r="U369" i="1" s="1"/>
  <c r="S368" i="1" l="1"/>
  <c r="S367" i="1"/>
  <c r="Q400" i="1"/>
  <c r="Q394" i="1" s="1"/>
  <c r="Q393" i="1" s="1"/>
  <c r="Q207" i="1" s="1"/>
  <c r="Q206" i="1" s="1"/>
  <c r="U400" i="1"/>
  <c r="U394" i="1" s="1"/>
  <c r="U393" i="1" s="1"/>
  <c r="U368" i="1" s="1"/>
  <c r="U367" i="1" l="1"/>
  <c r="Q239" i="1"/>
  <c r="Q205" i="1"/>
  <c r="Q238" i="1" s="1"/>
  <c r="Q245" i="1" s="1"/>
  <c r="Q381" i="1"/>
  <c r="Q378" i="1" s="1"/>
  <c r="Q369" i="1" s="1"/>
  <c r="Q367" i="1" l="1"/>
  <c r="Q368" i="1"/>
  <c r="O400" i="1" l="1"/>
  <c r="O394" i="1" s="1"/>
  <c r="O393" i="1" s="1"/>
  <c r="O207" i="1" s="1"/>
  <c r="O206" i="1" s="1"/>
  <c r="O239" i="1" l="1"/>
  <c r="O205" i="1"/>
  <c r="O238" i="1" s="1"/>
  <c r="O245" i="1" s="1"/>
  <c r="O381" i="1" l="1"/>
  <c r="O378" i="1" s="1"/>
  <c r="O369" i="1" s="1"/>
  <c r="O368" i="1" s="1"/>
  <c r="O367" i="1" s="1"/>
  <c r="M381" i="1" l="1"/>
  <c r="M400" i="1"/>
  <c r="M394" i="1" l="1"/>
  <c r="W400" i="1"/>
  <c r="M378" i="1"/>
  <c r="W381" i="1"/>
  <c r="M369" i="1" l="1"/>
  <c r="W378" i="1"/>
  <c r="W369" i="1" s="1"/>
  <c r="W394" i="1"/>
  <c r="M393" i="1"/>
  <c r="W393" i="1" l="1"/>
  <c r="W368" i="1" l="1"/>
  <c r="M367" i="1"/>
  <c r="W367" i="1" s="1"/>
  <c r="M206" i="1"/>
  <c r="W207" i="1"/>
  <c r="M205" i="1" l="1"/>
  <c r="W206" i="1"/>
  <c r="W239" i="1"/>
  <c r="M238" i="1" l="1"/>
  <c r="W205" i="1"/>
  <c r="W238" i="1" l="1"/>
  <c r="M245" i="1"/>
  <c r="W245" i="1" s="1"/>
  <c r="W71" i="1" l="1"/>
  <c r="W66" i="1" l="1"/>
  <c r="M65" i="1"/>
  <c r="W65" i="1" s="1"/>
  <c r="W70" i="1"/>
  <c r="M68" i="1"/>
  <c r="W68" i="1" s="1"/>
  <c r="W55" i="1" l="1"/>
  <c r="K51" i="1" l="1"/>
  <c r="K50" i="1" s="1"/>
  <c r="K48" i="1" s="1"/>
  <c r="K68" i="1"/>
  <c r="K349" i="1" l="1"/>
  <c r="K76" i="1"/>
  <c r="K104" i="1" s="1"/>
  <c r="K155" i="1" s="1"/>
  <c r="K160" i="1" s="1"/>
  <c r="K57" i="1" l="1"/>
  <c r="O345" i="1" l="1"/>
  <c r="W345" i="1" s="1"/>
  <c r="W52" i="1"/>
  <c r="O51" i="1"/>
  <c r="O50" i="1" l="1"/>
  <c r="W51" i="1"/>
  <c r="O48" i="1" l="1"/>
  <c r="W50" i="1"/>
  <c r="O33" i="1" l="1"/>
  <c r="O39" i="1" l="1"/>
  <c r="O76" i="1"/>
  <c r="O82" i="1" l="1"/>
  <c r="O104" i="1"/>
  <c r="O155" i="1" l="1"/>
  <c r="O110" i="1"/>
  <c r="O140" i="1" l="1"/>
  <c r="O160" i="1"/>
  <c r="O134" i="1" l="1"/>
  <c r="O151" i="1" l="1"/>
  <c r="O149" i="1" l="1"/>
  <c r="M32" i="1" l="1"/>
  <c r="M90" i="1" l="1"/>
  <c r="M118" i="1" s="1"/>
  <c r="M18" i="1"/>
  <c r="W32" i="1"/>
  <c r="W148" i="1" l="1"/>
  <c r="W118" i="1"/>
  <c r="W90" i="1"/>
  <c r="W18" i="1"/>
  <c r="M56" i="1" l="1"/>
  <c r="M48" i="1" l="1"/>
  <c r="W48" i="1" s="1"/>
  <c r="W56" i="1"/>
  <c r="K66" i="1" l="1"/>
  <c r="K65" i="1" s="1"/>
  <c r="M64" i="1"/>
  <c r="W64" i="1" s="1"/>
  <c r="K63" i="1" l="1"/>
  <c r="M63" i="1"/>
  <c r="M59" i="1" l="1"/>
  <c r="W63" i="1"/>
  <c r="M41" i="1"/>
  <c r="M75" i="1"/>
  <c r="M39" i="1" l="1"/>
  <c r="W39" i="1" s="1"/>
  <c r="W184" i="1" s="1"/>
  <c r="W41" i="1"/>
  <c r="M84" i="1"/>
  <c r="M112" i="1" s="1"/>
  <c r="M57" i="1"/>
  <c r="W57" i="1" s="1"/>
  <c r="W59" i="1"/>
  <c r="W75" i="1"/>
  <c r="M72" i="1"/>
  <c r="X48" i="1"/>
  <c r="M82" i="1"/>
  <c r="W82" i="1" l="1"/>
  <c r="M110" i="1"/>
  <c r="W84" i="1"/>
  <c r="W72" i="1"/>
  <c r="M33" i="1"/>
  <c r="W182" i="1"/>
  <c r="W180" i="1"/>
  <c r="W112" i="1" l="1"/>
  <c r="W33" i="1"/>
  <c r="M76" i="1"/>
  <c r="W142" i="1" l="1"/>
  <c r="M104" i="1"/>
  <c r="W76" i="1"/>
  <c r="M155" i="1" l="1"/>
  <c r="W104" i="1"/>
  <c r="W110" i="1" l="1"/>
  <c r="M160" i="1"/>
  <c r="W155" i="1"/>
  <c r="W160" i="1" s="1"/>
  <c r="W140" i="1" l="1"/>
  <c r="M151" i="1" l="1"/>
  <c r="W134" i="1"/>
  <c r="M149" i="1" l="1"/>
  <c r="W149" i="1" s="1"/>
  <c r="W151" i="1"/>
</calcChain>
</file>

<file path=xl/sharedStrings.xml><?xml version="1.0" encoding="utf-8"?>
<sst xmlns="http://schemas.openxmlformats.org/spreadsheetml/2006/main" count="1414" uniqueCount="696">
  <si>
    <t>Приложение № 1</t>
  </si>
  <si>
    <t>Ед. изм.</t>
  </si>
  <si>
    <t>Факт</t>
  </si>
  <si>
    <t>Прогноз (Факт)</t>
  </si>
  <si>
    <t>План (Утвержденный план)</t>
  </si>
  <si>
    <t>млн рублей</t>
  </si>
  <si>
    <t>Факт (Предложение по корректировке утвержденного плана)</t>
  </si>
  <si>
    <t>№ п/п</t>
  </si>
  <si>
    <t>Показатель</t>
  </si>
  <si>
    <t>Итого за период реализации инвестиционной программы</t>
  </si>
  <si>
    <t>Предложение по корректировке утвержденного плана</t>
  </si>
  <si>
    <t>1.1</t>
  </si>
  <si>
    <t>1.1.1</t>
  </si>
  <si>
    <t>1.1.2</t>
  </si>
  <si>
    <t>1.1.3</t>
  </si>
  <si>
    <t>1.2</t>
  </si>
  <si>
    <t>1.3</t>
  </si>
  <si>
    <t>1.4</t>
  </si>
  <si>
    <t>1.5</t>
  </si>
  <si>
    <t>1.6</t>
  </si>
  <si>
    <t>1.7</t>
  </si>
  <si>
    <t>1.8</t>
  </si>
  <si>
    <t>1.8.1</t>
  </si>
  <si>
    <t>1.8.2</t>
  </si>
  <si>
    <t>1.9</t>
  </si>
  <si>
    <t>I</t>
  </si>
  <si>
    <t>II</t>
  </si>
  <si>
    <t>2.1.1</t>
  </si>
  <si>
    <t>2.1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</si>
  <si>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</si>
  <si>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</si>
  <si>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</si>
  <si>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</si>
  <si>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</si>
  <si>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</si>
  <si>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</si>
  <si>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</si>
  <si>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</si>
  <si>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</si>
  <si>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</si>
  <si>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</si>
  <si>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</si>
  <si>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2.1.2.1</t>
  </si>
  <si>
    <t>2.1.2.2</t>
  </si>
  <si>
    <t>2.1.2.1.1</t>
  </si>
  <si>
    <t>Выручка от реализации товаров (работ, услуг) всего, в том числе *:</t>
  </si>
  <si>
    <t>Производство и поставка электрической энергии и мощности всего, в том числе:</t>
  </si>
  <si>
    <t>производство и поставка электрической энергии на оптовом рынке электрической энергии и мощности</t>
  </si>
  <si>
    <t>БЮДЖЕТ ДОХОДОВ И РАСХОДОВ</t>
  </si>
  <si>
    <t>к приказу Минэнерго России</t>
  </si>
  <si>
    <t>от 13.04.2017 № 310</t>
  </si>
  <si>
    <t>реквизиты решения органа исполнительной власти, утвердившего инвестиционную программу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</si>
  <si>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</si>
  <si>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</si>
  <si>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</si>
  <si>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2.1.2.1.2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</si>
  <si>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</si>
  <si>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</si>
  <si>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</si>
  <si>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</si>
  <si>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</si>
  <si>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</si>
  <si>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</si>
  <si>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</si>
  <si>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</si>
  <si>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</si>
  <si>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2.5.1</t>
  </si>
  <si>
    <t>2.5.2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</si>
  <si>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</si>
  <si>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</si>
  <si>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</si>
  <si>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</si>
  <si>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</si>
  <si>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</si>
  <si>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</si>
  <si>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</si>
  <si>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</si>
  <si>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</si>
  <si>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Оказание услуг по технологическому присоединению</t>
  </si>
  <si>
    <t>Реализация электрической энергии и мощности</t>
  </si>
  <si>
    <t>Реализации тепловой энергии (мощности)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</si>
  <si>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</si>
  <si>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</si>
  <si>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в части обеспечения надежности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</si>
  <si>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</si>
  <si>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</si>
  <si>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</si>
  <si>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</si>
  <si>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</si>
  <si>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покупная электрическая энергия (мощность) всего, в том числе:</t>
  </si>
  <si>
    <t>на технологические цели, включая энергию на компенсацию потерь при ее передаче</t>
  </si>
  <si>
    <t>для последующей перепродажи</t>
  </si>
  <si>
    <t>покупная тепловая энергия (мощность)</t>
  </si>
  <si>
    <t>сырье, материалы, запасные части, инструменты</t>
  </si>
  <si>
    <t>прочие материальные расходы</t>
  </si>
  <si>
    <t>Работы и услуги производственного характера всего, в том числе:</t>
  </si>
  <si>
    <t>услуги по передаче электрической энергии по единой (национальной) общероссийской электрической сети</t>
  </si>
  <si>
    <t>услуги по передаче электрической энергии по сетям территориальной сетевой организации</t>
  </si>
  <si>
    <t>услуги по передаче тепловой энергии, теплоносителя</t>
  </si>
  <si>
    <t>услуги инфраструктурных организаций *****</t>
  </si>
  <si>
    <t>прочие услуги производственного характера</t>
  </si>
  <si>
    <t>Расходы на оплату труда с учетом страховых взносов</t>
  </si>
  <si>
    <t>Амортизация основных средств и нематериальных активов</t>
  </si>
  <si>
    <t>Налоги и сборы всего, в том числе:</t>
  </si>
  <si>
    <t>налог на имущество организации</t>
  </si>
  <si>
    <t>прочие налоги и сборы</t>
  </si>
  <si>
    <t>Прочие расходы всего, в том числе: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</si>
  <si>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</si>
  <si>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</si>
  <si>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</si>
  <si>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Иные сведения:</t>
  </si>
  <si>
    <t>Расходы на ремонт</t>
  </si>
  <si>
    <t>Коммерческие расходы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</si>
  <si>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</si>
  <si>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</si>
  <si>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</si>
  <si>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</si>
  <si>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</si>
  <si>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</si>
  <si>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</si>
  <si>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</si>
  <si>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</si>
  <si>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</si>
  <si>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</si>
  <si>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</si>
  <si>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</si>
  <si>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</si>
  <si>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</si>
  <si>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</si>
  <si>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</si>
  <si>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</si>
  <si>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4.1</t>
  </si>
  <si>
    <t>4.1.1</t>
  </si>
  <si>
    <t>4.1.2</t>
  </si>
  <si>
    <t>4.1.3</t>
  </si>
  <si>
    <t>4.1.3.1</t>
  </si>
  <si>
    <t>4.1.4</t>
  </si>
  <si>
    <t>4.2</t>
  </si>
  <si>
    <t>4.2.1</t>
  </si>
  <si>
    <t>4.2.2</t>
  </si>
  <si>
    <t>4.2.3</t>
  </si>
  <si>
    <t>4.2.3.1</t>
  </si>
  <si>
    <t>4.2.4</t>
  </si>
  <si>
    <t>V</t>
  </si>
  <si>
    <t>Прочие доходы и расходы (сальдо) (строка 4.1 - строка 4.2)</t>
  </si>
  <si>
    <t>Прочие доходы всего, в том числе:</t>
  </si>
  <si>
    <t>доходы от участия в других организациях</t>
  </si>
  <si>
    <t>проценты к получению</t>
  </si>
  <si>
    <t>восстановление резервов всего, в том числе:</t>
  </si>
  <si>
    <t>по сомнительным долгам</t>
  </si>
  <si>
    <t>прочие внереализационные доходы</t>
  </si>
  <si>
    <t>расходы, связанные с персоналом</t>
  </si>
  <si>
    <t>проценты к уплате</t>
  </si>
  <si>
    <t>создание резервов всего, в том числе:</t>
  </si>
  <si>
    <t>прочие внереализационные расходы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</si>
  <si>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</si>
  <si>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</si>
  <si>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</si>
  <si>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</si>
  <si>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</si>
  <si>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</si>
  <si>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</si>
  <si>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</si>
  <si>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</si>
  <si>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</si>
  <si>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</si>
  <si>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</si>
  <si>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</si>
  <si>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</si>
  <si>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</si>
  <si>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</si>
  <si>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</si>
  <si>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</si>
  <si>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</si>
  <si>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</si>
  <si>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</si>
  <si>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</si>
  <si>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</si>
  <si>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6.3</t>
  </si>
  <si>
    <t>6.4</t>
  </si>
  <si>
    <t>6.5</t>
  </si>
  <si>
    <t>6.6</t>
  </si>
  <si>
    <t>6.7</t>
  </si>
  <si>
    <t>6.8</t>
  </si>
  <si>
    <t>6.8.1</t>
  </si>
  <si>
    <t>6.8.2</t>
  </si>
  <si>
    <t>6.9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</si>
  <si>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</si>
  <si>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</si>
  <si>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</si>
  <si>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</si>
  <si>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</si>
  <si>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</si>
  <si>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</si>
  <si>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</si>
  <si>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</si>
  <si>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</si>
  <si>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</si>
  <si>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</si>
  <si>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</si>
  <si>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</si>
  <si>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</si>
  <si>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</si>
  <si>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</si>
  <si>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</si>
  <si>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</si>
  <si>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8.2</t>
  </si>
  <si>
    <t>8.3</t>
  </si>
  <si>
    <t>8.4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</si>
  <si>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</si>
  <si>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</si>
  <si>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</si>
  <si>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</si>
  <si>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</si>
  <si>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9.1</t>
  </si>
  <si>
    <t>9.2</t>
  </si>
  <si>
    <t>9.2.1</t>
  </si>
  <si>
    <t>9.3</t>
  </si>
  <si>
    <t>9.3.1</t>
  </si>
  <si>
    <t>9.4</t>
  </si>
  <si>
    <t>Прибыль до налогообложения без учета процентов к уплате и амортизации (строка V + строка 4.2.2 + строка II.IV)</t>
  </si>
  <si>
    <t>Долг (кредиты и займы) на начало периода всего, в том числе:</t>
  </si>
  <si>
    <t>краткосрочные кредиты и займы на начало периода</t>
  </si>
  <si>
    <t>Долг (кредиты и займы) на конец периода, в том числе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</si>
  <si>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</si>
  <si>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</si>
  <si>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</si>
  <si>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</si>
  <si>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</si>
  <si>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</si>
  <si>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</si>
  <si>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</si>
  <si>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</si>
  <si>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</si>
  <si>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</si>
  <si>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</si>
  <si>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</si>
  <si>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</si>
  <si>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</si>
  <si>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</si>
  <si>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</si>
  <si>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</si>
  <si>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</si>
  <si>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10.9.1</t>
  </si>
  <si>
    <t>10.9.2</t>
  </si>
  <si>
    <t>10.10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</si>
  <si>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</si>
  <si>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</si>
  <si>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</si>
  <si>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XI</t>
  </si>
  <si>
    <t>Платежи по текущим операциям всего, в том числе:</t>
  </si>
  <si>
    <t>11.1</t>
  </si>
  <si>
    <t>11.2</t>
  </si>
  <si>
    <t>11.2.1</t>
  </si>
  <si>
    <t>11.2.2</t>
  </si>
  <si>
    <t>11.2.3</t>
  </si>
  <si>
    <t>11.3</t>
  </si>
  <si>
    <t>11.4</t>
  </si>
  <si>
    <t>11.5</t>
  </si>
  <si>
    <t>11.6</t>
  </si>
  <si>
    <t>11.7</t>
  </si>
  <si>
    <t>11.8</t>
  </si>
  <si>
    <t>11.8.1</t>
  </si>
  <si>
    <t>11.9</t>
  </si>
  <si>
    <t>11.10</t>
  </si>
  <si>
    <t>11.11</t>
  </si>
  <si>
    <t>11.12</t>
  </si>
  <si>
    <t>11.13</t>
  </si>
  <si>
    <t>XII</t>
  </si>
  <si>
    <t>Оплата поставщикам топлива</t>
  </si>
  <si>
    <t>Оплата покупной энергии всего, в том числе:</t>
  </si>
  <si>
    <t>на оптовом рынке электрической энергии и мощности</t>
  </si>
  <si>
    <t>на розничных рынках электрической энергии</t>
  </si>
  <si>
    <t>на компенсацию потерь</t>
  </si>
  <si>
    <t>Оплата услуг по передаче электрической энергии по единой (национальной) общероссийской электрической сети</t>
  </si>
  <si>
    <t>Оплата услуг по передаче электрической энергии по сетям территориальных сетевых организаций</t>
  </si>
  <si>
    <t>Оплата услуг по передаче тепловой энергии, теплоносителя</t>
  </si>
  <si>
    <t>Оплата труда</t>
  </si>
  <si>
    <t>Страховые взносы</t>
  </si>
  <si>
    <t>Оплата налогов и сборов всего, в том числе:</t>
  </si>
  <si>
    <t>налог на прибыль</t>
  </si>
  <si>
    <t>Оплата сырья, материалов, запасных частей, инструментов</t>
  </si>
  <si>
    <t>Оплата прочих услуг производственного характера</t>
  </si>
  <si>
    <t>Арендная плата и лизинговые платежи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</si>
  <si>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</si>
  <si>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Прочие платежи по текущей деятельности</t>
  </si>
  <si>
    <t>Поступления от инвестиционных операций всего, в том числе:</t>
  </si>
  <si>
    <t>12.1</t>
  </si>
  <si>
    <t>12.2</t>
  </si>
  <si>
    <t>12.2.1</t>
  </si>
  <si>
    <t>12.2.1.1</t>
  </si>
  <si>
    <t>12.2.1.2</t>
  </si>
  <si>
    <t>12.3</t>
  </si>
  <si>
    <t>XIII</t>
  </si>
  <si>
    <t>Поступления от реализации имущества и имущественных прав</t>
  </si>
  <si>
    <t>Поступления по заключенным инвестиционным соглашениям, в том числе</t>
  </si>
  <si>
    <t>по использованию средств бюджетов бюджетной системы Российской Федерации всего, в том числе:</t>
  </si>
  <si>
    <t>средства федерального бюджета</t>
  </si>
  <si>
    <t>средства консолидированного бюджета субъекта Российской Федерации</t>
  </si>
  <si>
    <t>Прочие поступления по инвестиционным операциям</t>
  </si>
  <si>
    <t>Платежи по инвестиционным операциям всего, в том числе:</t>
  </si>
  <si>
    <t>13.1</t>
  </si>
  <si>
    <t>13.1.1</t>
  </si>
  <si>
    <t>13.1.2</t>
  </si>
  <si>
    <t>13.1.3</t>
  </si>
  <si>
    <t>13.1.4</t>
  </si>
  <si>
    <t>13.1.5</t>
  </si>
  <si>
    <t>13.1.6</t>
  </si>
  <si>
    <t>13.2</t>
  </si>
  <si>
    <t>13.3</t>
  </si>
  <si>
    <t>13.4</t>
  </si>
  <si>
    <t>13.4.1</t>
  </si>
  <si>
    <t>XIV</t>
  </si>
  <si>
    <t>Инвестиции в основной капитал всего, в том числе: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</si>
  <si>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</si>
  <si>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</si>
  <si>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</si>
  <si>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</si>
  <si>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</si>
  <si>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прочие выплаты, связанные с инвестициями в основной капитал</t>
  </si>
  <si>
    <t>Приобретение нематериальных активов</t>
  </si>
  <si>
    <t>Прочие платежи по инвестиционным операциям всего, в том числе:</t>
  </si>
  <si>
    <t>проценты по долговым обязательствам, включаемым в стоимость инвестиционного актива</t>
  </si>
  <si>
    <t>Поступления от финансовых операций всего, в том числе:</t>
  </si>
  <si>
    <t>14.1</t>
  </si>
  <si>
    <t>14.2</t>
  </si>
  <si>
    <t>14.2.1</t>
  </si>
  <si>
    <t>14.2.2</t>
  </si>
  <si>
    <t>14.2.3</t>
  </si>
  <si>
    <t>14.3</t>
  </si>
  <si>
    <t>14.4</t>
  </si>
  <si>
    <t>14.4.1</t>
  </si>
  <si>
    <t>14.4.2</t>
  </si>
  <si>
    <t>14.5</t>
  </si>
  <si>
    <t>14.6</t>
  </si>
  <si>
    <t>14.7</t>
  </si>
  <si>
    <t>XV</t>
  </si>
  <si>
    <t>Процентные поступления</t>
  </si>
  <si>
    <t>Поступления по полученным кредитам всего, в том числе:</t>
  </si>
  <si>
    <t>на текущую деятельность</t>
  </si>
  <si>
    <t>на инвестиционные операции</t>
  </si>
  <si>
    <t>на рефинансирование кредитов и займов</t>
  </si>
  <si>
    <t>Поступления от эмиссии акций **</t>
  </si>
  <si>
    <t>Поступления от реализации финансовых инструментов всего, в том числе:</t>
  </si>
  <si>
    <t>облигационные займы</t>
  </si>
  <si>
    <t>Поступления от займов организаций</t>
  </si>
  <si>
    <t>Прочие поступления по финансовым операциям</t>
  </si>
  <si>
    <t>Платежи по финансовым операциям всего, в том числе:</t>
  </si>
  <si>
    <t>1. Финансово-экономическая модель деятельности субъекта электроэнергетики</t>
  </si>
  <si>
    <t>15.1</t>
  </si>
  <si>
    <t>15.1.1</t>
  </si>
  <si>
    <t>15.1.2</t>
  </si>
  <si>
    <t>15.1.3</t>
  </si>
  <si>
    <t>15.2</t>
  </si>
  <si>
    <t>15.3</t>
  </si>
  <si>
    <t>XVI</t>
  </si>
  <si>
    <t>Прочие выплаты по финансовым операциям</t>
  </si>
  <si>
    <t>Сальдо денежных средств по операционной деятельности (строка X - строка XI) всего, в том числе:</t>
  </si>
  <si>
    <t>XVII</t>
  </si>
  <si>
    <t>17.1</t>
  </si>
  <si>
    <t>17.2</t>
  </si>
  <si>
    <t>XVIII</t>
  </si>
  <si>
    <t>18.1</t>
  </si>
  <si>
    <t>18.2</t>
  </si>
  <si>
    <t>XIX</t>
  </si>
  <si>
    <t>XX</t>
  </si>
  <si>
    <t>XXI</t>
  </si>
  <si>
    <t>XXII</t>
  </si>
  <si>
    <t>XXIII</t>
  </si>
  <si>
    <t>23.1</t>
  </si>
  <si>
    <t>23.1.1</t>
  </si>
  <si>
    <t>23.1.1.а</t>
  </si>
  <si>
    <t>23.1.1.1</t>
  </si>
  <si>
    <t>23.1.1.1.а</t>
  </si>
  <si>
    <t>23.1.1.2</t>
  </si>
  <si>
    <t>23.1.1.2.а</t>
  </si>
  <si>
    <t>23.1.1.3</t>
  </si>
  <si>
    <t>23.1.1.3.а</t>
  </si>
  <si>
    <t>23.1.2</t>
  </si>
  <si>
    <t>23.1.2.а</t>
  </si>
  <si>
    <t>23.1.3</t>
  </si>
  <si>
    <t>23.1.3.а</t>
  </si>
  <si>
    <t>23.1.4</t>
  </si>
  <si>
    <t>23.1.4.а</t>
  </si>
  <si>
    <t>23.1.5</t>
  </si>
  <si>
    <t>23.1.5.а</t>
  </si>
  <si>
    <t>23.1.7</t>
  </si>
  <si>
    <t>23.1.6.а</t>
  </si>
  <si>
    <t>23.1.7.а</t>
  </si>
  <si>
    <t>23.1.8</t>
  </si>
  <si>
    <t>23.1.8.а</t>
  </si>
  <si>
    <t>23.1.8.1</t>
  </si>
  <si>
    <t>23.1.8.1.а</t>
  </si>
  <si>
    <t>23.1.8.2</t>
  </si>
  <si>
    <t>23.1.8.2.а</t>
  </si>
  <si>
    <t>23.1.9</t>
  </si>
  <si>
    <t>23.1.9.а</t>
  </si>
  <si>
    <t>23.2</t>
  </si>
  <si>
    <t>23.2.1</t>
  </si>
  <si>
    <t>23.2.1.а</t>
  </si>
  <si>
    <t>23.2.2</t>
  </si>
  <si>
    <t>23.2.2.1</t>
  </si>
  <si>
    <t>23.2.2.1.а</t>
  </si>
  <si>
    <t>23.2.2.2</t>
  </si>
  <si>
    <t>23.2.2.2.а</t>
  </si>
  <si>
    <t>23.2.3</t>
  </si>
  <si>
    <t>Сальдо денежных средств по инвестиционным операциям</t>
  </si>
  <si>
    <t>Сальдо денежных средств по прочей деятельности</t>
  </si>
  <si>
    <t>Сальдо денежных средств по финансовым операциям всего (строка XIV - строка XV), в том числе</t>
  </si>
  <si>
    <t>Сальдо денежных средств по привлечению и погашению кредитов и займов</t>
  </si>
  <si>
    <t>Сальдо денежных средств по прочей финансовой деятельности</t>
  </si>
  <si>
    <t>Сальдо денежных средств от транзитных операций</t>
  </si>
  <si>
    <t>Итого сальдо денежных средств (строка XVI + строка XVII + строка XVIII + строка XIX)</t>
  </si>
  <si>
    <t>Остаток денежных средств на начало периода</t>
  </si>
  <si>
    <t>Остаток денежных средств на конец периода</t>
  </si>
  <si>
    <t>Дебиторская задолженность на конец периода всего, в том числе:</t>
  </si>
  <si>
    <t>производство и поставка электрической энергии и мощности всего, в том числе:</t>
  </si>
  <si>
    <t>из нее просроченная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</si>
  <si>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</si>
  <si>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</si>
  <si>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</si>
  <si>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оказание услуг по технологическому присоединению</t>
  </si>
  <si>
    <t>реализация электрической энергии и мощности</t>
  </si>
  <si>
    <t>реализации тепловой энергии (мощности)</t>
  </si>
  <si>
    <t>оказание услуг по оперативно-диспетчерскому управлению в электроэнергетике всего, в том числе:</t>
  </si>
  <si>
    <t>прочая деятельность</t>
  </si>
  <si>
    <t>Кредиторская задолженность на конец периода всего, в том числе:</t>
  </si>
  <si>
    <t>поставщикам топлива на технологические цели</t>
  </si>
  <si>
    <t>поставщикам покупной энергии всего, в том числе:</t>
  </si>
  <si>
    <t>на розничных рынках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</si>
  <si>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</si>
  <si>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</si>
  <si>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</si>
  <si>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23.2.4.а</t>
  </si>
  <si>
    <t>23.2.5</t>
  </si>
  <si>
    <t>23.2.5.а</t>
  </si>
  <si>
    <t>23.2.6</t>
  </si>
  <si>
    <t>23.2.6.а</t>
  </si>
  <si>
    <t>23.2.7</t>
  </si>
  <si>
    <t>23.2.7.а</t>
  </si>
  <si>
    <t>23.2.8</t>
  </si>
  <si>
    <t>23.2.8.а</t>
  </si>
  <si>
    <t>23.2.9</t>
  </si>
  <si>
    <t>23.2.9.а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</si>
  <si>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</si>
  <si>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</si>
  <si>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</si>
  <si>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</si>
  <si>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по обязательствам перед поставщиками и подрядчиками по исполнению инвестиционной программы</t>
  </si>
  <si>
    <t>прочая кредиторская задолженность</t>
  </si>
  <si>
    <t>23.3</t>
  </si>
  <si>
    <t>23.3.1</t>
  </si>
  <si>
    <t>23.3.1.1</t>
  </si>
  <si>
    <t>23.3.1.2</t>
  </si>
  <si>
    <t>23.3.1.3</t>
  </si>
  <si>
    <t>23.3.2</t>
  </si>
  <si>
    <t>23.3.3</t>
  </si>
  <si>
    <t>23.3.4</t>
  </si>
  <si>
    <t>23.3.5</t>
  </si>
  <si>
    <t>23.3.6</t>
  </si>
  <si>
    <t>23.3.7</t>
  </si>
  <si>
    <t>23.3.7.1</t>
  </si>
  <si>
    <t>23.3.7.2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</si>
  <si>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</si>
  <si>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</si>
  <si>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</si>
  <si>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</si>
  <si>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</si>
  <si>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производства и поставки тепловой энергии (мощности)</t>
  </si>
  <si>
    <t>от оказания услуг по передаче электрической энергии</t>
  </si>
  <si>
    <t>от оказания услуг по передаче тепловой энергии, теплоносителя</t>
  </si>
  <si>
    <t>от реализации электрической энергии и мощности</t>
  </si>
  <si>
    <t>от реализации тепловой энергии (мощности)</t>
  </si>
  <si>
    <t>ТЕХНИКО-ЭКОНОМИЧЕСКИЕ ПОКАЗАТЕЛИ</t>
  </si>
  <si>
    <t>%</t>
  </si>
  <si>
    <t>-</t>
  </si>
  <si>
    <t>МВт</t>
  </si>
  <si>
    <t>Гкал/час</t>
  </si>
  <si>
    <t>XXIV</t>
  </si>
  <si>
    <t>В отношении деятельности по производству электрической, тепловой энергии (мощности)</t>
  </si>
  <si>
    <t>х</t>
  </si>
  <si>
    <t>24.1</t>
  </si>
  <si>
    <t>24.2</t>
  </si>
  <si>
    <t>24.3</t>
  </si>
  <si>
    <t>24.4</t>
  </si>
  <si>
    <t>24.5</t>
  </si>
  <si>
    <t>24.6</t>
  </si>
  <si>
    <t>Установленная электрическая мощность</t>
  </si>
  <si>
    <t>Установленная тепловая мощность</t>
  </si>
  <si>
    <t>Располагаемая электрическая мощность</t>
  </si>
  <si>
    <t>Присоединенная тепловая мощность</t>
  </si>
  <si>
    <t>Объем выработанной электрической энергии</t>
  </si>
  <si>
    <t>Объем продукции отпущенной с шин (коллекторов)</t>
  </si>
  <si>
    <t>24.6.1</t>
  </si>
  <si>
    <t>24.6.2</t>
  </si>
  <si>
    <t>электрической энергии</t>
  </si>
  <si>
    <t>тепловой энергии</t>
  </si>
  <si>
    <t>тыс. Гкал</t>
  </si>
  <si>
    <t>млн кВт.ч</t>
  </si>
  <si>
    <t>24.7</t>
  </si>
  <si>
    <t>24.7.1</t>
  </si>
  <si>
    <t>24.7.2</t>
  </si>
  <si>
    <t>24.7.3</t>
  </si>
  <si>
    <t>Объем покупной продукции для последующей продажи</t>
  </si>
  <si>
    <t>электрической мощности</t>
  </si>
  <si>
    <t>24.8</t>
  </si>
  <si>
    <t>24.8.1</t>
  </si>
  <si>
    <t>24.8.2</t>
  </si>
  <si>
    <t>Объем покупной продукции на технологические цели</t>
  </si>
  <si>
    <t>24.9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</si>
  <si>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</si>
  <si>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</si>
  <si>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</si>
  <si>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</si>
  <si>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</si>
  <si>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</si>
  <si>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25.1.1</t>
  </si>
  <si>
    <t>25.2</t>
  </si>
  <si>
    <t>25.3</t>
  </si>
  <si>
    <t>25.3.1</t>
  </si>
  <si>
    <t>25.3.1.1</t>
  </si>
  <si>
    <t>25.3.1.2</t>
  </si>
  <si>
    <t>25.4</t>
  </si>
  <si>
    <t>25.5</t>
  </si>
  <si>
    <t>у.е.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</si>
  <si>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</si>
  <si>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</si>
  <si>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</si>
  <si>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25.1.1.2</t>
  </si>
  <si>
    <t>территориальные сетевые организации</t>
  </si>
  <si>
    <t>потребители, не являющиеся территориальными сетевыми организациями</t>
  </si>
  <si>
    <t>Объем технологического расхода (потерь) при передаче электрической энергии</t>
  </si>
  <si>
    <t>Заявленная мощность 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</si>
  <si>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</si>
  <si>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Количество условных единиц обслуживаемого электросетевого оборудования</t>
  </si>
  <si>
    <t>XXVI</t>
  </si>
  <si>
    <t>26.1</t>
  </si>
  <si>
    <t>26.2</t>
  </si>
  <si>
    <t>26.3</t>
  </si>
  <si>
    <t>В отношении сбытовой деятельности</t>
  </si>
  <si>
    <t>Полезный отпуск электрической энергии потребителям</t>
  </si>
  <si>
    <t>26.4</t>
  </si>
  <si>
    <t>Отпуск тепловой энергии потребителям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</si>
  <si>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</si>
  <si>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</si>
  <si>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</si>
  <si>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</si>
  <si>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</si>
  <si>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27.1.1</t>
  </si>
  <si>
    <t>27.1.2</t>
  </si>
  <si>
    <t>27.1.3</t>
  </si>
  <si>
    <t>Установленная мощность в Единой энергетической системе России, в том числе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</si>
  <si>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</si>
  <si>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</si>
  <si>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средняя мощность поставки электрической энергии по группам точек поставки импорта на оптовом рынке</t>
  </si>
  <si>
    <t>27.2</t>
  </si>
  <si>
    <t>27.2.1</t>
  </si>
  <si>
    <t>27.2.2</t>
  </si>
  <si>
    <t>27.3</t>
  </si>
  <si>
    <t>27.3.1</t>
  </si>
  <si>
    <t>27.3.2</t>
  </si>
  <si>
    <t>XXVIII</t>
  </si>
  <si>
    <t>чел.</t>
  </si>
  <si>
    <t>Объем потребления в Единой энергетической системе России, в том числе</t>
  </si>
  <si>
    <t>суммарный объем поставки электрической энергии на экспорт из России</t>
  </si>
  <si>
    <t>Среднесписочная численность работников</t>
  </si>
  <si>
    <t>2. Источники финансирования инвестиционной программы субъекта электроэнергетики</t>
  </si>
  <si>
    <t>Источники финансирования инвестиционной программы всего (строка I + строка II) всего, в том числе:</t>
  </si>
  <si>
    <t>1.1.1.1</t>
  </si>
  <si>
    <t>1.1.1.1.1</t>
  </si>
  <si>
    <t>1.1.1.1.2</t>
  </si>
  <si>
    <t>1.1.1.1.3</t>
  </si>
  <si>
    <t>1.1.1.2</t>
  </si>
  <si>
    <t>1.1.1.3</t>
  </si>
  <si>
    <t>1.1.1.4</t>
  </si>
  <si>
    <t>1.1.1.5</t>
  </si>
  <si>
    <t>1.1.1.5.1</t>
  </si>
  <si>
    <t>1.1.1.5.1.а</t>
  </si>
  <si>
    <t>1.1.1.5.2</t>
  </si>
  <si>
    <t>1.1.1.5.2.а</t>
  </si>
  <si>
    <t>Собственные средства всего, в том числе:</t>
  </si>
  <si>
    <t>1.1.1.6</t>
  </si>
  <si>
    <t>1.1.1.7</t>
  </si>
  <si>
    <t>1.1.1.8</t>
  </si>
  <si>
    <t>1.1.1.8.1</t>
  </si>
  <si>
    <t>1.1.1.8.2</t>
  </si>
  <si>
    <t>1.1.2.1</t>
  </si>
  <si>
    <t>1.1.2.2</t>
  </si>
  <si>
    <t>1.1.2.3</t>
  </si>
  <si>
    <t>1.2.1</t>
  </si>
  <si>
    <t>1.2.1.1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</si>
  <si>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</si>
  <si>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</si>
  <si>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</si>
  <si>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</si>
  <si>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</si>
  <si>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</si>
  <si>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</si>
  <si>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</si>
  <si>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</si>
  <si>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</si>
  <si>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</si>
  <si>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</si>
  <si>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</si>
  <si>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</si>
  <si>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</si>
  <si>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</si>
  <si>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</si>
  <si>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</si>
  <si>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</si>
  <si>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</si>
  <si>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</si>
  <si>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</si>
  <si>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</si>
  <si>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</si>
  <si>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</si>
  <si>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</si>
  <si>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</si>
  <si>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</si>
  <si>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</si>
  <si>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от технологического присоединения объектов по производству электрической и тепловой энергии</t>
  </si>
  <si>
    <t>авансовое использование прибыли</t>
  </si>
  <si>
    <t>от технологического присоединения потребителей</t>
  </si>
  <si>
    <t>реализации электрической энергии и мощности</t>
  </si>
  <si>
    <t>оказания услуг по оперативно-диспетчерскому управлению в электроэнергетике всего, в том числе: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</si>
  <si>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</si>
  <si>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</si>
  <si>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</si>
  <si>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электрической энергии и мощности</t>
  </si>
  <si>
    <t>прочая текущая амортизация</t>
  </si>
  <si>
    <t>недоиспользованная амортизация прошлых лет всего, в том числе:</t>
  </si>
  <si>
    <t>1.2.3.7.1</t>
  </si>
  <si>
    <t>1.2.3.7.2</t>
  </si>
  <si>
    <t>1.4.1</t>
  </si>
  <si>
    <t>1.4.2</t>
  </si>
  <si>
    <t>Возврат налога на добавленную стоимость ****</t>
  </si>
  <si>
    <t>Прочие собственные средства всего, в том числе:</t>
  </si>
  <si>
    <t>средства от эмиссии акций</t>
  </si>
  <si>
    <t>остаток собственных средств на начало года</t>
  </si>
  <si>
    <t>Привлеченные средства всего, в том числе:</t>
  </si>
  <si>
    <t>2.5.1.1</t>
  </si>
  <si>
    <t>2.5.2.1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</si>
  <si>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</si>
  <si>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</si>
  <si>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</si>
  <si>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</si>
  <si>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</si>
  <si>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в том числе средства федерального бюджета, недоиспользованные в прошлых периодах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</si>
  <si>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</si>
  <si>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</si>
  <si>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</si>
  <si>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3.2.1</t>
  </si>
  <si>
    <t>3.2.2</t>
  </si>
  <si>
    <t>3.2.3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</si>
  <si>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</si>
  <si>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</si>
  <si>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</si>
  <si>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</si>
  <si>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</si>
  <si>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</si>
  <si>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</si>
  <si>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</si>
  <si>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</si>
  <si>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</si>
  <si>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Оказание услуг по технологическому присоединению;</t>
  </si>
  <si>
    <t>Реализация электрической энергии и мощности;</t>
  </si>
  <si>
    <t>Реализации тепловой энергии (мощности);</t>
  </si>
  <si>
    <t>Прочая деятельность;</t>
  </si>
  <si>
    <t>вексели</t>
  </si>
  <si>
    <t>оказание услуг по оперативно-диспетчерскому управлению в электроэнергетике 
всего, в том числе:</t>
  </si>
  <si>
    <t>от оказания услуг по оперативно-диспетчерскому управлению в электроэнергетике 
всего, в том числе:</t>
  </si>
  <si>
    <t>Объем продукции отпущенной (проданной) потребителям</t>
  </si>
  <si>
    <t>суммарный объем потребления (покупки) электрической энергии по всем группам 
точек поставки, зарегистрированным на оптовом рынке</t>
  </si>
  <si>
    <t>амортизации, учтенной в ценах (тарифах) на услуги по передаче электрической 
энергии;</t>
  </si>
  <si>
    <r>
      <t>_____</t>
    </r>
    <r>
      <rPr>
        <b/>
        <sz val="5.85"/>
        <rFont val="Times New Roman"/>
        <family val="1"/>
        <charset val="204"/>
      </rPr>
      <t>Примечание:</t>
    </r>
  </si>
  <si>
    <t>полное наименование субъекта электроэнергетики</t>
  </si>
  <si>
    <t>Собственная необходимая валовая выручка субъекта оперативно-диспетчерского управления, всего, в том числе</t>
  </si>
  <si>
    <t>прибыль от продажи электрической энергии (мощности) по нерегулируемым ценам, всего, в том числе:</t>
  </si>
  <si>
    <t>Погашение кредитов и займов всего, в том числе:</t>
  </si>
  <si>
    <t>Сальдо денежных средств по инвестиционным операциям всего (строка XII - строка XIII), всего, в том числе</t>
  </si>
  <si>
    <t>Инвестиционная программа АО "Западная энергетическая компания"</t>
  </si>
  <si>
    <t>Субъект Российской Федерации: АО "Западная энергетическая компания"</t>
  </si>
  <si>
    <t>_____*_В строках, содержащих слова "всего, в том числе" указывается сумма нижерасположенных строк соответствующего раздела (подраздела).</t>
  </si>
  <si>
    <t>_____**_Строка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</si>
  <si>
    <t>_____***_Указывается на основании заключенных договоров на оказание услуг по передаче электрической энергии.</t>
  </si>
  <si>
    <t>_____****_Указываются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 числе связанного с капитальными вложениями.</t>
  </si>
  <si>
    <t>_____*****_Указывается суммарно стоимость оказанных субъекту электроэнергетики услуг:</t>
  </si>
  <si>
    <t>_____по оперативно-диспетчерскому управлению в электроэнергетике;</t>
  </si>
  <si>
    <t>_____по организации оптовой торговли электрической энергией, мощностью и иными допущенными к обращению на оптовом рынке товарами и услугами;</t>
  </si>
  <si>
    <t>_____по расчету требований и обязательств участников оптового рынка.</t>
  </si>
  <si>
    <t xml:space="preserve">Утвержденные плановые значения показателей приведены в соответствии с приказом СГРЦТ Калининградской области №77-01э/19 от 14.10.2019      
</t>
  </si>
  <si>
    <t>Год раскрытия (предоставления) информации: 2020</t>
  </si>
  <si>
    <t>Форма № 21 Финансовый план субъекта электроэнергетики АО "Западная энергетическая компания"</t>
  </si>
  <si>
    <t>Поступления за счет средств инвесторовЗАЙМЫ</t>
  </si>
  <si>
    <t xml:space="preserve">Факт </t>
  </si>
  <si>
    <t>Необходимая валовая выручка сетевой организации в части содержания (строка 1.3 - строка 2.2.1 - строка 2.2.2 - строка 2.1.2.1.1)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</si>
</sst>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0.0"/>
    <numFmt numFmtId="165" formatCode="0.000"/>
    <numFmt numFmtId="166" formatCode="_-* #,##0.000_-;\-* #,##0.000_-;_-* &quot;-&quot;??_-;_-@_-"/>
    <numFmt numFmtId="167" formatCode="#,##0.00_ ;\-#,##0.00\ "/>
  </numFmts>
  <fonts count="14" x14ac:knownFonts="1">
    <font>
      <sz val="10"/>
      <name val="Arial Cyr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6"/>
      <name val="Times New Roman"/>
      <family val="1"/>
      <charset val="204"/>
    </font>
    <font>
      <b/>
      <sz val="5.75"/>
      <name val="Times New Roman"/>
      <family val="1"/>
      <charset val="204"/>
    </font>
    <font>
      <i/>
      <sz val="5.75"/>
      <name val="Times New Roman"/>
      <family val="1"/>
      <charset val="204"/>
    </font>
    <font>
      <sz val="5.75"/>
      <name val="Times New Roman"/>
      <family val="1"/>
      <charset val="204"/>
    </font>
    <font>
      <b/>
      <sz val="9"/>
      <name val="Times New Roman"/>
      <family val="1"/>
      <charset val="204"/>
    </font>
    <font>
      <sz val="5.5"/>
      <name val="Times New Roman"/>
      <family val="1"/>
      <charset val="204"/>
    </font>
    <font>
      <sz val="5.85"/>
      <name val="Times New Roman"/>
      <family val="1"/>
      <charset val="204"/>
    </font>
    <font>
      <i/>
      <sz val="5.85"/>
      <name val="Times New Roman"/>
      <family val="1"/>
      <charset val="204"/>
    </font>
    <font>
      <b/>
      <sz val="5.85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2" fillId="0" borderId="0"/>
    <xf numFmtId="43" fontId="13" fillId="0" borderId="0" applyFont="0" applyFill="0" applyBorder="0" applyAlignment="0" applyProtection="0"/>
    <xf numFmtId="9" fontId="12" fillId="0" borderId="0" applyFont="0" applyFill="0" applyBorder="0" applyAlignment="0" applyProtection="0"/>
  </cellStyleXfs>
  <cellXfs count="197">
    <xf numFmtId="0" fontId="0" fillId="0" borderId="0" xfId="0"/>
    <xf numFmtId="0" fontId="9" fillId="0" borderId="5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2" fontId="9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0" fontId="7" fillId="0" borderId="0" xfId="0" applyFont="1" applyFill="1"/>
    <xf numFmtId="0" fontId="2" fillId="0" borderId="0" xfId="0" applyFont="1" applyFill="1" applyAlignment="1">
      <alignment horizontal="left"/>
    </xf>
    <xf numFmtId="0" fontId="1" fillId="0" borderId="0" xfId="0" applyFont="1" applyFill="1" applyAlignment="1">
      <alignment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center" vertical="top"/>
    </xf>
    <xf numFmtId="0" fontId="5" fillId="0" borderId="0" xfId="0" applyFont="1" applyFill="1" applyAlignment="1">
      <alignment vertical="top"/>
    </xf>
    <xf numFmtId="0" fontId="6" fillId="0" borderId="0" xfId="0" applyFont="1" applyFill="1" applyAlignment="1">
      <alignment vertical="top"/>
    </xf>
    <xf numFmtId="0" fontId="9" fillId="0" borderId="8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9" fillId="0" borderId="0" xfId="0" applyFont="1" applyFill="1" applyAlignment="1">
      <alignment vertical="top"/>
    </xf>
    <xf numFmtId="0" fontId="9" fillId="0" borderId="4" xfId="0" applyFont="1" applyFill="1" applyBorder="1" applyAlignment="1">
      <alignment horizontal="center" vertical="center" wrapText="1"/>
    </xf>
    <xf numFmtId="0" fontId="9" fillId="0" borderId="0" xfId="0" applyFont="1" applyFill="1"/>
    <xf numFmtId="0" fontId="9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top"/>
    </xf>
    <xf numFmtId="0" fontId="10" fillId="0" borderId="2" xfId="0" applyFont="1" applyFill="1" applyBorder="1" applyAlignment="1">
      <alignment horizontal="center" vertical="top"/>
    </xf>
    <xf numFmtId="0" fontId="10" fillId="0" borderId="0" xfId="0" applyFont="1" applyFill="1" applyAlignment="1">
      <alignment vertical="top"/>
    </xf>
    <xf numFmtId="0" fontId="9" fillId="0" borderId="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2" fontId="2" fillId="0" borderId="0" xfId="0" applyNumberFormat="1" applyFont="1" applyFill="1" applyAlignment="1">
      <alignment horizontal="left"/>
    </xf>
    <xf numFmtId="2" fontId="9" fillId="0" borderId="0" xfId="0" applyNumberFormat="1" applyFont="1" applyFill="1" applyAlignment="1">
      <alignment vertical="center"/>
    </xf>
    <xf numFmtId="164" fontId="9" fillId="0" borderId="1" xfId="0" applyNumberFormat="1" applyFont="1" applyFill="1" applyBorder="1" applyAlignment="1">
      <alignment horizontal="center" vertical="center"/>
    </xf>
    <xf numFmtId="164" fontId="9" fillId="0" borderId="4" xfId="0" applyNumberFormat="1" applyFont="1" applyFill="1" applyBorder="1" applyAlignment="1">
      <alignment horizontal="center" vertical="center"/>
    </xf>
    <xf numFmtId="164" fontId="9" fillId="0" borderId="10" xfId="0" applyNumberFormat="1" applyFont="1" applyFill="1" applyBorder="1" applyAlignment="1">
      <alignment horizontal="center" vertical="center"/>
    </xf>
    <xf numFmtId="164" fontId="9" fillId="0" borderId="2" xfId="0" applyNumberFormat="1" applyFont="1" applyFill="1" applyBorder="1" applyAlignment="1">
      <alignment horizontal="center" vertical="center"/>
    </xf>
    <xf numFmtId="164" fontId="9" fillId="0" borderId="12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/>
    </xf>
    <xf numFmtId="165" fontId="9" fillId="0" borderId="1" xfId="0" applyNumberFormat="1" applyFont="1" applyFill="1" applyBorder="1" applyAlignment="1">
      <alignment horizontal="center" vertical="center"/>
    </xf>
    <xf numFmtId="165" fontId="9" fillId="0" borderId="0" xfId="0" applyNumberFormat="1" applyFont="1" applyFill="1" applyAlignment="1">
      <alignment vertical="center"/>
    </xf>
    <xf numFmtId="0" fontId="11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43" fontId="9" fillId="0" borderId="4" xfId="2" applyFont="1" applyFill="1" applyBorder="1" applyAlignment="1">
      <alignment horizontal="center" vertical="center"/>
    </xf>
    <xf numFmtId="43" fontId="9" fillId="0" borderId="1" xfId="2" applyFont="1" applyFill="1" applyBorder="1" applyAlignment="1">
      <alignment horizontal="center" vertical="center"/>
    </xf>
    <xf numFmtId="43" fontId="9" fillId="0" borderId="10" xfId="2" applyFont="1" applyFill="1" applyBorder="1" applyAlignment="1">
      <alignment horizontal="center" vertical="center"/>
    </xf>
    <xf numFmtId="43" fontId="9" fillId="0" borderId="2" xfId="2" applyFont="1" applyFill="1" applyBorder="1" applyAlignment="1">
      <alignment horizontal="center" vertical="center"/>
    </xf>
    <xf numFmtId="166" fontId="9" fillId="0" borderId="1" xfId="2" applyNumberFormat="1" applyFont="1" applyFill="1" applyBorder="1" applyAlignment="1">
      <alignment horizontal="center" vertical="center"/>
    </xf>
    <xf numFmtId="43" fontId="9" fillId="0" borderId="4" xfId="2" applyNumberFormat="1" applyFont="1" applyFill="1" applyBorder="1" applyAlignment="1">
      <alignment horizontal="center" vertical="center"/>
    </xf>
    <xf numFmtId="43" fontId="9" fillId="0" borderId="1" xfId="2" applyNumberFormat="1" applyFont="1" applyFill="1" applyBorder="1" applyAlignment="1">
      <alignment horizontal="center" vertical="center"/>
    </xf>
    <xf numFmtId="43" fontId="9" fillId="0" borderId="10" xfId="2" applyNumberFormat="1" applyFont="1" applyFill="1" applyBorder="1" applyAlignment="1">
      <alignment horizontal="center" vertical="center"/>
    </xf>
    <xf numFmtId="43" fontId="9" fillId="0" borderId="2" xfId="2" applyNumberFormat="1" applyFont="1" applyFill="1" applyBorder="1" applyAlignment="1">
      <alignment horizontal="center" vertical="center"/>
    </xf>
    <xf numFmtId="43" fontId="9" fillId="2" borderId="1" xfId="2" applyFont="1" applyFill="1" applyBorder="1" applyAlignment="1">
      <alignment horizontal="center" vertical="center"/>
    </xf>
    <xf numFmtId="43" fontId="9" fillId="2" borderId="10" xfId="2" applyFont="1" applyFill="1" applyBorder="1" applyAlignment="1">
      <alignment horizontal="center" vertical="center"/>
    </xf>
    <xf numFmtId="43" fontId="9" fillId="0" borderId="12" xfId="2" applyFont="1" applyFill="1" applyBorder="1" applyAlignment="1">
      <alignment horizontal="center" vertical="center"/>
    </xf>
    <xf numFmtId="43" fontId="9" fillId="0" borderId="5" xfId="2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0" xfId="0" applyFont="1" applyFill="1" applyAlignment="1">
      <alignment vertical="center"/>
    </xf>
    <xf numFmtId="9" fontId="12" fillId="2" borderId="1" xfId="3" applyFont="1" applyFill="1" applyBorder="1" applyAlignment="1">
      <alignment horizontal="center" vertical="center"/>
    </xf>
    <xf numFmtId="9" fontId="3" fillId="2" borderId="1" xfId="3" applyFont="1" applyFill="1" applyBorder="1" applyAlignment="1">
      <alignment horizontal="right" vertical="center"/>
    </xf>
    <xf numFmtId="0" fontId="3" fillId="0" borderId="7" xfId="0" applyFont="1" applyFill="1" applyBorder="1" applyAlignment="1">
      <alignment horizontal="left"/>
    </xf>
    <xf numFmtId="43" fontId="9" fillId="0" borderId="8" xfId="2" applyFont="1" applyFill="1" applyBorder="1" applyAlignment="1">
      <alignment horizontal="center" vertical="center"/>
    </xf>
    <xf numFmtId="43" fontId="9" fillId="0" borderId="9" xfId="2" applyFont="1" applyFill="1" applyBorder="1" applyAlignment="1">
      <alignment horizontal="center" vertical="center"/>
    </xf>
    <xf numFmtId="43" fontId="9" fillId="0" borderId="3" xfId="2" applyFont="1" applyFill="1" applyBorder="1" applyAlignment="1">
      <alignment horizontal="center" vertical="center"/>
    </xf>
    <xf numFmtId="43" fontId="9" fillId="0" borderId="11" xfId="2" applyFont="1" applyFill="1" applyBorder="1" applyAlignment="1">
      <alignment horizontal="center" vertical="center"/>
    </xf>
    <xf numFmtId="43" fontId="9" fillId="0" borderId="0" xfId="2" applyFont="1" applyFill="1" applyBorder="1" applyAlignment="1">
      <alignment vertical="center"/>
    </xf>
    <xf numFmtId="164" fontId="9" fillId="0" borderId="0" xfId="0" applyNumberFormat="1" applyFont="1" applyFill="1" applyBorder="1" applyAlignment="1">
      <alignment vertical="center"/>
    </xf>
    <xf numFmtId="9" fontId="3" fillId="2" borderId="5" xfId="3" applyFont="1" applyFill="1" applyBorder="1" applyAlignment="1">
      <alignment horizontal="right" vertical="center"/>
    </xf>
    <xf numFmtId="166" fontId="9" fillId="0" borderId="5" xfId="2" applyNumberFormat="1" applyFont="1" applyFill="1" applyBorder="1" applyAlignment="1">
      <alignment horizontal="center" vertical="center"/>
    </xf>
    <xf numFmtId="1" fontId="9" fillId="0" borderId="5" xfId="0" applyNumberFormat="1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43" fontId="9" fillId="2" borderId="5" xfId="2" applyFont="1" applyFill="1" applyBorder="1" applyAlignment="1">
      <alignment horizontal="center" vertical="center"/>
    </xf>
    <xf numFmtId="2" fontId="9" fillId="0" borderId="4" xfId="0" applyNumberFormat="1" applyFont="1" applyFill="1" applyBorder="1" applyAlignment="1">
      <alignment horizontal="center" vertical="center"/>
    </xf>
    <xf numFmtId="165" fontId="9" fillId="2" borderId="1" xfId="0" applyNumberFormat="1" applyFont="1" applyFill="1" applyBorder="1" applyAlignment="1">
      <alignment horizontal="center" vertical="center"/>
    </xf>
    <xf numFmtId="43" fontId="9" fillId="2" borderId="1" xfId="2" applyNumberFormat="1" applyFont="1" applyFill="1" applyBorder="1" applyAlignment="1">
      <alignment horizontal="center" vertical="center"/>
    </xf>
    <xf numFmtId="165" fontId="9" fillId="0" borderId="10" xfId="0" applyNumberFormat="1" applyFont="1" applyFill="1" applyBorder="1" applyAlignment="1">
      <alignment horizontal="center" vertical="center"/>
    </xf>
    <xf numFmtId="43" fontId="9" fillId="2" borderId="10" xfId="2" applyNumberFormat="1" applyFont="1" applyFill="1" applyBorder="1" applyAlignment="1">
      <alignment horizontal="center" vertical="center"/>
    </xf>
    <xf numFmtId="165" fontId="9" fillId="0" borderId="4" xfId="0" applyNumberFormat="1" applyFont="1" applyFill="1" applyBorder="1" applyAlignment="1">
      <alignment horizontal="center" vertical="center"/>
    </xf>
    <xf numFmtId="165" fontId="9" fillId="0" borderId="2" xfId="0" applyNumberFormat="1" applyFont="1" applyFill="1" applyBorder="1" applyAlignment="1">
      <alignment horizontal="center" vertical="center"/>
    </xf>
    <xf numFmtId="43" fontId="3" fillId="2" borderId="1" xfId="2" applyFont="1" applyFill="1" applyBorder="1" applyAlignment="1">
      <alignment horizontal="center" vertical="center"/>
    </xf>
    <xf numFmtId="49" fontId="9" fillId="0" borderId="19" xfId="0" applyNumberFormat="1" applyFont="1" applyFill="1" applyBorder="1" applyAlignment="1">
      <alignment horizontal="center" vertical="center"/>
    </xf>
    <xf numFmtId="49" fontId="9" fillId="0" borderId="16" xfId="0" applyNumberFormat="1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left" vertical="center" wrapText="1" indent="1"/>
    </xf>
    <xf numFmtId="0" fontId="9" fillId="0" borderId="15" xfId="0" applyFont="1" applyFill="1" applyBorder="1" applyAlignment="1">
      <alignment horizontal="left" vertical="center" wrapText="1" indent="1"/>
    </xf>
    <xf numFmtId="0" fontId="9" fillId="0" borderId="16" xfId="0" applyFont="1" applyFill="1" applyBorder="1" applyAlignment="1">
      <alignment horizontal="left" vertical="center" wrapText="1" indent="1"/>
    </xf>
    <xf numFmtId="0" fontId="9" fillId="0" borderId="14" xfId="0" applyFont="1" applyFill="1" applyBorder="1" applyAlignment="1">
      <alignment horizontal="left" vertical="center" wrapText="1" indent="2"/>
    </xf>
    <xf numFmtId="0" fontId="9" fillId="0" borderId="15" xfId="0" applyFont="1" applyFill="1" applyBorder="1" applyAlignment="1">
      <alignment horizontal="left" vertical="center" wrapText="1" indent="2"/>
    </xf>
    <xf numFmtId="0" fontId="9" fillId="0" borderId="16" xfId="0" applyFont="1" applyFill="1" applyBorder="1" applyAlignment="1">
      <alignment horizontal="left" vertical="center" wrapText="1" indent="2"/>
    </xf>
    <xf numFmtId="0" fontId="2" fillId="0" borderId="28" xfId="0" applyFont="1" applyFill="1" applyBorder="1" applyAlignment="1">
      <alignment horizontal="center"/>
    </xf>
    <xf numFmtId="0" fontId="2" fillId="0" borderId="29" xfId="0" applyFont="1" applyFill="1" applyBorder="1" applyAlignment="1">
      <alignment horizontal="center"/>
    </xf>
    <xf numFmtId="0" fontId="2" fillId="0" borderId="30" xfId="0" applyFont="1" applyFill="1" applyBorder="1" applyAlignment="1">
      <alignment horizontal="center"/>
    </xf>
    <xf numFmtId="0" fontId="4" fillId="0" borderId="3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2" fontId="4" fillId="0" borderId="36" xfId="0" applyNumberFormat="1" applyFont="1" applyFill="1" applyBorder="1" applyAlignment="1">
      <alignment horizontal="center" vertical="center" wrapText="1"/>
    </xf>
    <xf numFmtId="2" fontId="4" fillId="0" borderId="37" xfId="0" applyNumberFormat="1" applyFont="1" applyFill="1" applyBorder="1" applyAlignment="1">
      <alignment horizontal="center" vertical="center" wrapText="1"/>
    </xf>
    <xf numFmtId="2" fontId="4" fillId="0" borderId="35" xfId="0" applyNumberFormat="1" applyFont="1" applyFill="1" applyBorder="1" applyAlignment="1">
      <alignment horizontal="center" vertical="center" wrapText="1"/>
    </xf>
    <xf numFmtId="2" fontId="4" fillId="0" borderId="31" xfId="0" applyNumberFormat="1" applyFont="1" applyFill="1" applyBorder="1" applyAlignment="1">
      <alignment horizontal="center" vertical="center" wrapText="1"/>
    </xf>
    <xf numFmtId="2" fontId="4" fillId="0" borderId="7" xfId="0" applyNumberFormat="1" applyFont="1" applyFill="1" applyBorder="1" applyAlignment="1">
      <alignment horizontal="center" vertical="center" wrapText="1"/>
    </xf>
    <xf numFmtId="2" fontId="4" fillId="0" borderId="25" xfId="0" applyNumberFormat="1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40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top"/>
    </xf>
    <xf numFmtId="0" fontId="5" fillId="0" borderId="27" xfId="0" applyFont="1" applyFill="1" applyBorder="1" applyAlignment="1">
      <alignment horizontal="center" vertical="top"/>
    </xf>
    <xf numFmtId="0" fontId="5" fillId="0" borderId="21" xfId="0" applyFont="1" applyFill="1" applyBorder="1" applyAlignment="1">
      <alignment horizontal="center" vertical="top"/>
    </xf>
    <xf numFmtId="0" fontId="9" fillId="0" borderId="23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49" fontId="9" fillId="0" borderId="20" xfId="0" applyNumberFormat="1" applyFont="1" applyFill="1" applyBorder="1" applyAlignment="1">
      <alignment horizontal="center" vertical="center"/>
    </xf>
    <xf numFmtId="49" fontId="9" fillId="0" borderId="21" xfId="0" applyNumberFormat="1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left" vertical="center" wrapText="1" indent="1"/>
    </xf>
    <xf numFmtId="0" fontId="9" fillId="0" borderId="27" xfId="0" applyFont="1" applyFill="1" applyBorder="1" applyAlignment="1">
      <alignment horizontal="left" vertical="center" wrapText="1" indent="1"/>
    </xf>
    <xf numFmtId="0" fontId="9" fillId="0" borderId="21" xfId="0" applyFont="1" applyFill="1" applyBorder="1" applyAlignment="1">
      <alignment horizontal="left" vertical="center" wrapText="1" indent="1"/>
    </xf>
    <xf numFmtId="49" fontId="9" fillId="0" borderId="24" xfId="0" applyNumberFormat="1" applyFont="1" applyFill="1" applyBorder="1" applyAlignment="1">
      <alignment horizontal="center" vertical="center"/>
    </xf>
    <xf numFmtId="49" fontId="9" fillId="0" borderId="25" xfId="0" applyNumberFormat="1" applyFont="1" applyFill="1" applyBorder="1" applyAlignment="1">
      <alignment horizontal="center" vertical="center"/>
    </xf>
    <xf numFmtId="0" fontId="9" fillId="0" borderId="31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left" vertical="center" wrapText="1"/>
    </xf>
    <xf numFmtId="0" fontId="9" fillId="0" borderId="25" xfId="0" applyFont="1" applyFill="1" applyBorder="1" applyAlignment="1">
      <alignment horizontal="left" vertical="center" wrapText="1"/>
    </xf>
    <xf numFmtId="0" fontId="9" fillId="0" borderId="14" xfId="0" applyFont="1" applyFill="1" applyBorder="1" applyAlignment="1">
      <alignment horizontal="left" vertical="center" wrapText="1" indent="3"/>
    </xf>
    <xf numFmtId="0" fontId="9" fillId="0" borderId="15" xfId="0" applyFont="1" applyFill="1" applyBorder="1" applyAlignment="1">
      <alignment horizontal="left" vertical="center" wrapText="1" indent="3"/>
    </xf>
    <xf numFmtId="0" fontId="9" fillId="0" borderId="16" xfId="0" applyFont="1" applyFill="1" applyBorder="1" applyAlignment="1">
      <alignment horizontal="left" vertical="center" wrapText="1" indent="3"/>
    </xf>
    <xf numFmtId="0" fontId="9" fillId="0" borderId="26" xfId="0" applyFont="1" applyFill="1" applyBorder="1" applyAlignment="1">
      <alignment horizontal="left" vertical="center" wrapText="1" indent="2"/>
    </xf>
    <xf numFmtId="0" fontId="9" fillId="0" borderId="27" xfId="0" applyFont="1" applyFill="1" applyBorder="1" applyAlignment="1">
      <alignment horizontal="left" vertical="center" wrapText="1" indent="2"/>
    </xf>
    <xf numFmtId="0" fontId="9" fillId="0" borderId="21" xfId="0" applyFont="1" applyFill="1" applyBorder="1" applyAlignment="1">
      <alignment horizontal="left" vertical="center" wrapText="1" indent="2"/>
    </xf>
    <xf numFmtId="49" fontId="1" fillId="0" borderId="28" xfId="0" applyNumberFormat="1" applyFont="1" applyFill="1" applyBorder="1" applyAlignment="1">
      <alignment horizontal="center" vertical="center"/>
    </xf>
    <xf numFmtId="49" fontId="1" fillId="0" borderId="29" xfId="0" applyNumberFormat="1" applyFont="1" applyFill="1" applyBorder="1" applyAlignment="1">
      <alignment horizontal="center" vertical="center"/>
    </xf>
    <xf numFmtId="49" fontId="1" fillId="0" borderId="30" xfId="0" applyNumberFormat="1" applyFont="1" applyFill="1" applyBorder="1" applyAlignment="1">
      <alignment horizontal="center" vertical="center"/>
    </xf>
    <xf numFmtId="0" fontId="9" fillId="0" borderId="34" xfId="0" applyFont="1" applyFill="1" applyBorder="1" applyAlignment="1">
      <alignment horizontal="center" vertical="center" wrapText="1"/>
    </xf>
    <xf numFmtId="0" fontId="9" fillId="0" borderId="35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9" fillId="0" borderId="25" xfId="0" applyFont="1" applyFill="1" applyBorder="1" applyAlignment="1">
      <alignment horizontal="center" vertical="center" wrapText="1"/>
    </xf>
    <xf numFmtId="0" fontId="9" fillId="0" borderId="36" xfId="0" applyFont="1" applyFill="1" applyBorder="1" applyAlignment="1">
      <alignment horizontal="center" vertical="center" wrapText="1"/>
    </xf>
    <xf numFmtId="0" fontId="9" fillId="0" borderId="37" xfId="0" applyFont="1" applyFill="1" applyBorder="1" applyAlignment="1">
      <alignment horizontal="center" vertical="center" wrapText="1"/>
    </xf>
    <xf numFmtId="0" fontId="9" fillId="0" borderId="31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38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49" fontId="9" fillId="0" borderId="39" xfId="0" applyNumberFormat="1" applyFont="1" applyFill="1" applyBorder="1" applyAlignment="1">
      <alignment horizontal="center" vertical="center"/>
    </xf>
    <xf numFmtId="49" fontId="9" fillId="0" borderId="33" xfId="0" applyNumberFormat="1" applyFont="1" applyFill="1" applyBorder="1" applyAlignment="1">
      <alignment horizontal="center" vertical="center"/>
    </xf>
    <xf numFmtId="0" fontId="9" fillId="0" borderId="40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horizontal="left" vertical="center" wrapText="1"/>
    </xf>
    <xf numFmtId="0" fontId="9" fillId="0" borderId="16" xfId="0" applyFont="1" applyFill="1" applyBorder="1" applyAlignment="1">
      <alignment horizontal="left" vertical="center" wrapText="1"/>
    </xf>
    <xf numFmtId="0" fontId="9" fillId="0" borderId="14" xfId="0" applyFont="1" applyFill="1" applyBorder="1" applyAlignment="1">
      <alignment horizontal="left" vertical="center" wrapText="1" indent="4"/>
    </xf>
    <xf numFmtId="0" fontId="9" fillId="0" borderId="15" xfId="0" applyFont="1" applyFill="1" applyBorder="1" applyAlignment="1">
      <alignment horizontal="left" vertical="center" wrapText="1" indent="4"/>
    </xf>
    <xf numFmtId="0" fontId="9" fillId="0" borderId="16" xfId="0" applyFont="1" applyFill="1" applyBorder="1" applyAlignment="1">
      <alignment horizontal="left" vertical="center" wrapText="1" indent="4"/>
    </xf>
    <xf numFmtId="0" fontId="9" fillId="0" borderId="14" xfId="0" applyFont="1" applyFill="1" applyBorder="1" applyAlignment="1">
      <alignment horizontal="left" vertical="center" wrapText="1" indent="5"/>
    </xf>
    <xf numFmtId="0" fontId="9" fillId="0" borderId="15" xfId="0" applyFont="1" applyFill="1" applyBorder="1" applyAlignment="1">
      <alignment horizontal="left" vertical="center" wrapText="1" indent="5"/>
    </xf>
    <xf numFmtId="0" fontId="9" fillId="0" borderId="16" xfId="0" applyFont="1" applyFill="1" applyBorder="1" applyAlignment="1">
      <alignment horizontal="left" vertical="center" wrapText="1" indent="5"/>
    </xf>
    <xf numFmtId="0" fontId="10" fillId="0" borderId="20" xfId="0" applyFont="1" applyFill="1" applyBorder="1" applyAlignment="1">
      <alignment horizontal="center" vertical="top"/>
    </xf>
    <xf numFmtId="0" fontId="10" fillId="0" borderId="21" xfId="0" applyFont="1" applyFill="1" applyBorder="1" applyAlignment="1">
      <alignment horizontal="center" vertical="top"/>
    </xf>
    <xf numFmtId="0" fontId="9" fillId="0" borderId="26" xfId="0" applyFont="1" applyFill="1" applyBorder="1" applyAlignment="1">
      <alignment horizontal="left" vertical="center" wrapText="1"/>
    </xf>
    <xf numFmtId="0" fontId="9" fillId="0" borderId="27" xfId="0" applyFont="1" applyFill="1" applyBorder="1" applyAlignment="1">
      <alignment horizontal="left" vertical="center" wrapText="1"/>
    </xf>
    <xf numFmtId="0" fontId="9" fillId="0" borderId="21" xfId="0" applyFont="1" applyFill="1" applyBorder="1" applyAlignment="1">
      <alignment horizontal="left" vertical="center" wrapText="1"/>
    </xf>
    <xf numFmtId="49" fontId="9" fillId="0" borderId="17" xfId="0" applyNumberFormat="1" applyFont="1" applyFill="1" applyBorder="1" applyAlignment="1">
      <alignment horizontal="left" vertical="center" wrapText="1"/>
    </xf>
    <xf numFmtId="49" fontId="9" fillId="0" borderId="6" xfId="0" applyNumberFormat="1" applyFont="1" applyFill="1" applyBorder="1" applyAlignment="1">
      <alignment horizontal="left" vertical="center" wrapText="1"/>
    </xf>
    <xf numFmtId="49" fontId="9" fillId="0" borderId="18" xfId="0" applyNumberFormat="1" applyFont="1" applyFill="1" applyBorder="1" applyAlignment="1">
      <alignment horizontal="left" vertical="center" wrapText="1"/>
    </xf>
    <xf numFmtId="49" fontId="9" fillId="2" borderId="19" xfId="0" applyNumberFormat="1" applyFont="1" applyFill="1" applyBorder="1" applyAlignment="1">
      <alignment horizontal="center" vertical="center"/>
    </xf>
    <xf numFmtId="49" fontId="9" fillId="2" borderId="16" xfId="0" applyNumberFormat="1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left" vertical="center" wrapText="1" indent="3"/>
    </xf>
    <xf numFmtId="0" fontId="9" fillId="2" borderId="15" xfId="0" applyFont="1" applyFill="1" applyBorder="1" applyAlignment="1">
      <alignment horizontal="left" vertical="center" wrapText="1" indent="3"/>
    </xf>
    <xf numFmtId="0" fontId="9" fillId="2" borderId="16" xfId="0" applyFont="1" applyFill="1" applyBorder="1" applyAlignment="1">
      <alignment horizontal="left" vertical="center" wrapText="1" indent="3"/>
    </xf>
    <xf numFmtId="0" fontId="10" fillId="0" borderId="26" xfId="0" applyFont="1" applyFill="1" applyBorder="1" applyAlignment="1">
      <alignment horizontal="center" vertical="top"/>
    </xf>
    <xf numFmtId="0" fontId="10" fillId="0" borderId="27" xfId="0" applyFont="1" applyFill="1" applyBorder="1" applyAlignment="1">
      <alignment horizontal="center" vertical="top"/>
    </xf>
    <xf numFmtId="0" fontId="9" fillId="0" borderId="32" xfId="0" applyFont="1" applyFill="1" applyBorder="1" applyAlignment="1">
      <alignment horizontal="left" vertical="center" wrapText="1"/>
    </xf>
    <xf numFmtId="0" fontId="9" fillId="0" borderId="13" xfId="0" applyFont="1" applyFill="1" applyBorder="1" applyAlignment="1">
      <alignment horizontal="left" vertical="center" wrapText="1"/>
    </xf>
    <xf numFmtId="0" fontId="9" fillId="0" borderId="33" xfId="0" applyFont="1" applyFill="1" applyBorder="1" applyAlignment="1">
      <alignment horizontal="left" vertical="center" wrapText="1"/>
    </xf>
    <xf numFmtId="0" fontId="9" fillId="0" borderId="26" xfId="0" applyFont="1" applyFill="1" applyBorder="1" applyAlignment="1">
      <alignment horizontal="left" vertical="center" wrapText="1" indent="3"/>
    </xf>
    <xf numFmtId="0" fontId="9" fillId="0" borderId="27" xfId="0" applyFont="1" applyFill="1" applyBorder="1" applyAlignment="1">
      <alignment horizontal="left" vertical="center" wrapText="1" indent="3"/>
    </xf>
    <xf numFmtId="0" fontId="9" fillId="0" borderId="21" xfId="0" applyFont="1" applyFill="1" applyBorder="1" applyAlignment="1">
      <alignment horizontal="left" vertical="center" wrapText="1" indent="3"/>
    </xf>
    <xf numFmtId="0" fontId="9" fillId="0" borderId="23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9" fillId="0" borderId="18" xfId="0" applyFont="1" applyFill="1" applyBorder="1" applyAlignment="1">
      <alignment horizontal="left" vertical="center" wrapText="1"/>
    </xf>
    <xf numFmtId="0" fontId="9" fillId="0" borderId="23" xfId="0" applyFont="1" applyFill="1" applyBorder="1" applyAlignment="1">
      <alignment horizontal="left" vertical="center" wrapText="1" indent="1"/>
    </xf>
    <xf numFmtId="0" fontId="9" fillId="0" borderId="6" xfId="0" applyFont="1" applyFill="1" applyBorder="1" applyAlignment="1">
      <alignment horizontal="left" vertical="center" wrapText="1" indent="1"/>
    </xf>
    <xf numFmtId="0" fontId="9" fillId="0" borderId="18" xfId="0" applyFont="1" applyFill="1" applyBorder="1" applyAlignment="1">
      <alignment horizontal="left" vertical="center" wrapText="1" indent="1"/>
    </xf>
    <xf numFmtId="49" fontId="9" fillId="0" borderId="17" xfId="0" applyNumberFormat="1" applyFont="1" applyFill="1" applyBorder="1" applyAlignment="1">
      <alignment horizontal="center" vertical="center"/>
    </xf>
    <xf numFmtId="49" fontId="9" fillId="0" borderId="18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5" fillId="0" borderId="20" xfId="0" applyFont="1" applyFill="1" applyBorder="1" applyAlignment="1">
      <alignment horizontal="center" vertical="top"/>
    </xf>
    <xf numFmtId="0" fontId="1" fillId="0" borderId="22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167" fontId="12" fillId="3" borderId="1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" xfId="1" xr:uid="{00000000-0005-0000-0000-000001000000}"/>
    <cellStyle name="Процентный 3" xfId="3" xr:uid="{823E4D10-457E-4989-9416-693946F7DD19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1047;&#1069;&#1050;\&#1041;&#1055;%20&#1047;&#1069;&#1050;%202020-20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asova-LG/Desktop/1_&#1057;_12_03_2021/&#1041;&#1055;%20&#1047;&#1069;&#1050;%202020-20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7;&#1069;&#1050;/1_&#1057;_12_03_2021/&#1050;&#1086;&#1087;&#1080;&#1103;%20&#1056;&#1072;&#1089;&#1095;&#1077;&#1090;_2020_%2011_03_202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7;&#1069;&#1050;\1_&#1057;_12_03_2021\&#1050;&#1086;&#1087;&#1080;&#1103;%20&#1056;&#1072;&#1089;&#1095;&#1077;&#1090;_2020_%2011_03_202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ngineer/Downloads/F0225_1153926028850_02_0_39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БП_Проверки"/>
      <sheetName val="СБП_ДопИнфо"/>
      <sheetName val="СБП_Списки"/>
      <sheetName val="СБП_Затраты_на_персонал"/>
      <sheetName val="СБП_ОцП"/>
      <sheetName val="СБП_ОФР"/>
      <sheetName val="СБП_ИПР"/>
      <sheetName val="СБП_СметаЗатрат"/>
      <sheetName val="СБП_БДР"/>
      <sheetName val="СБП_Общее"/>
      <sheetName val="СБП_БДДС"/>
      <sheetName val="СБП_ПрогнозныйБаланс"/>
      <sheetName val="СБП_ПрогнозныйБаланс_ВГО"/>
      <sheetName val="Содержание - расшир.формат"/>
      <sheetName val="Содержание - агрегир. формат"/>
      <sheetName val="Титул_1"/>
      <sheetName val="Титул"/>
      <sheetName val="Титул_ (2)"/>
      <sheetName val="1.Общие сведения"/>
      <sheetName val="2.Оценочные показатели"/>
      <sheetName val="3.Программа реализации"/>
      <sheetName val="4.Баланс ээ"/>
      <sheetName val="5.Ремонты"/>
      <sheetName val="6.ИПР"/>
      <sheetName val="7.Затраты на персонал"/>
      <sheetName val="8.ОФР"/>
      <sheetName val="СБП_ДохРасх_ВГО"/>
      <sheetName val="9.1. Смета затрат"/>
      <sheetName val="ФИНПЛАН"/>
      <sheetName val="расчет амортизации"/>
      <sheetName val="модель"/>
      <sheetName val="Лист1"/>
      <sheetName val="покупка потерь"/>
      <sheetName val="9.2. Прочие ДиР"/>
      <sheetName val="10. БДР"/>
      <sheetName val="11.БДДС (ДПН)"/>
      <sheetName val="СБП_БДДС_ВГО"/>
      <sheetName val="12.Прогнозный баланс"/>
      <sheetName val="13.ПУЭ"/>
      <sheetName val="Сценарные условия"/>
      <sheetName val="Снижение_ОР"/>
      <sheetName val="14. Снижение ОР 3%"/>
      <sheetName val="14. Снижение О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11">
          <cell r="F11">
            <v>229619.7957166667</v>
          </cell>
        </row>
        <row r="117">
          <cell r="F117">
            <v>125211.40197500002</v>
          </cell>
        </row>
        <row r="123">
          <cell r="F123">
            <v>387796.61964166665</v>
          </cell>
        </row>
        <row r="163">
          <cell r="F163">
            <v>6851.3968916666672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>
        <row r="13">
          <cell r="F13">
            <v>7451.9723199999999</v>
          </cell>
        </row>
        <row r="731">
          <cell r="F731">
            <v>291499.20826000004</v>
          </cell>
        </row>
      </sheetData>
      <sheetData sheetId="28" refreshError="1"/>
      <sheetData sheetId="29" refreshError="1"/>
      <sheetData sheetId="30" refreshError="1">
        <row r="10">
          <cell r="H10">
            <v>2757.3799999999997</v>
          </cell>
        </row>
        <row r="295">
          <cell r="H295">
            <v>403.48610000000002</v>
          </cell>
        </row>
        <row r="298">
          <cell r="H298">
            <v>15.385300000000001</v>
          </cell>
        </row>
        <row r="314">
          <cell r="H314">
            <v>56.882899999999999</v>
          </cell>
        </row>
      </sheetData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БП_Проверки"/>
      <sheetName val="СБП_ДопИнфо"/>
      <sheetName val="СБП_Списки"/>
      <sheetName val="СБП_Затраты_на_персонал"/>
      <sheetName val="СБП_ОцП"/>
      <sheetName val="СБП_ОФР"/>
      <sheetName val="СБП_ИПР"/>
      <sheetName val="СБП_СметаЗатрат"/>
      <sheetName val="СБП_БДР"/>
      <sheetName val="СБП_Общее"/>
      <sheetName val="СБП_БДДС"/>
      <sheetName val="СБП_ПрогнозныйБаланс"/>
      <sheetName val="СБП_ПрогнозныйБаланс_ВГО"/>
      <sheetName val="Содержание - расшир.формат"/>
      <sheetName val="Содержание - агрегир. формат"/>
      <sheetName val="Титул_1"/>
      <sheetName val="Титул"/>
      <sheetName val="Титул_ (2)"/>
      <sheetName val="1.Общие сведения"/>
      <sheetName val="2.Оценочные показатели"/>
      <sheetName val="3.Программа реализации"/>
      <sheetName val="4.Баланс ээ"/>
      <sheetName val="5.Ремонты"/>
      <sheetName val="6.ИПР"/>
      <sheetName val="7.Затраты на персонал"/>
      <sheetName val="8.ОФР"/>
      <sheetName val="СБП_ДохРасх_ВГО"/>
      <sheetName val="9.1. Смета затрат"/>
      <sheetName val="ФИНПЛАН"/>
      <sheetName val="расчет амортизации"/>
      <sheetName val="модель"/>
      <sheetName val="Лист1"/>
      <sheetName val="покупка потерь"/>
      <sheetName val="9.2. Прочие ДиР"/>
      <sheetName val="10. БДР"/>
      <sheetName val="11.БДДС (ДПН)"/>
      <sheetName val="СБП_БДДС_ВГО"/>
      <sheetName val="12.Прогнозный баланс"/>
      <sheetName val="13.ПУЭ"/>
      <sheetName val="Сценарные условия"/>
      <sheetName val="Снижение_ОР"/>
      <sheetName val="14. Снижение ОР 3%"/>
      <sheetName val="14. Снижение О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11">
          <cell r="G11">
            <v>252969.93630833333</v>
          </cell>
        </row>
        <row r="117">
          <cell r="G117">
            <v>112132.251825</v>
          </cell>
        </row>
        <row r="123">
          <cell r="G123">
            <v>397733.42698333337</v>
          </cell>
        </row>
        <row r="163">
          <cell r="G163">
            <v>4527.7335833333336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>
        <row r="13">
          <cell r="F13">
            <v>7451.9723199999999</v>
          </cell>
        </row>
        <row r="15">
          <cell r="F15">
            <v>378748.03568000003</v>
          </cell>
        </row>
        <row r="16">
          <cell r="F16">
            <v>35098.664680000002</v>
          </cell>
        </row>
        <row r="21">
          <cell r="F21">
            <v>532.07638999999995</v>
          </cell>
        </row>
        <row r="23">
          <cell r="F23">
            <v>976.92696999999998</v>
          </cell>
        </row>
        <row r="24">
          <cell r="F24">
            <v>3405.1638499999999</v>
          </cell>
        </row>
        <row r="42">
          <cell r="F42">
            <v>98615.267779999995</v>
          </cell>
        </row>
        <row r="45">
          <cell r="F45">
            <v>36638.391810000001</v>
          </cell>
        </row>
        <row r="73">
          <cell r="F73">
            <v>10844.835999999999</v>
          </cell>
        </row>
        <row r="84">
          <cell r="F84">
            <v>9264.538169999998</v>
          </cell>
        </row>
        <row r="225">
          <cell r="H225">
            <v>212.32992000000002</v>
          </cell>
        </row>
        <row r="227">
          <cell r="H227">
            <v>388911.24614</v>
          </cell>
        </row>
        <row r="228">
          <cell r="H228">
            <v>33086.680209999999</v>
          </cell>
        </row>
        <row r="233">
          <cell r="H233">
            <v>551.37678000000005</v>
          </cell>
        </row>
        <row r="235">
          <cell r="H235">
            <v>1155.8735099999999</v>
          </cell>
        </row>
        <row r="236">
          <cell r="H236">
            <v>433.26253000000003</v>
          </cell>
        </row>
        <row r="243">
          <cell r="H243">
            <v>61331.399550000009</v>
          </cell>
        </row>
        <row r="254">
          <cell r="H254">
            <v>131417.67397999999</v>
          </cell>
        </row>
        <row r="257">
          <cell r="H257">
            <v>23952.07357</v>
          </cell>
        </row>
        <row r="285">
          <cell r="H285">
            <v>8596.2019999999993</v>
          </cell>
        </row>
        <row r="296">
          <cell r="H296">
            <v>6177.6395500000008</v>
          </cell>
        </row>
        <row r="306">
          <cell r="H306">
            <v>328.86547999999999</v>
          </cell>
        </row>
        <row r="319">
          <cell r="H319">
            <v>3294.1878900000002</v>
          </cell>
        </row>
        <row r="373">
          <cell r="H373">
            <v>598.19416000000012</v>
          </cell>
        </row>
        <row r="397">
          <cell r="H397">
            <v>30907.679160000003</v>
          </cell>
        </row>
        <row r="428">
          <cell r="H428">
            <v>603.79787999999996</v>
          </cell>
        </row>
        <row r="431">
          <cell r="H431">
            <v>17275.215520000002</v>
          </cell>
        </row>
        <row r="731">
          <cell r="H731">
            <v>296798.84098000004</v>
          </cell>
        </row>
        <row r="1419">
          <cell r="F1419">
            <v>1449.1923899999999</v>
          </cell>
          <cell r="H1419">
            <v>1061.5682199999999</v>
          </cell>
        </row>
        <row r="2099">
          <cell r="F2099">
            <v>383503.92832000001</v>
          </cell>
          <cell r="H2099">
            <v>392497.00451</v>
          </cell>
        </row>
        <row r="2787">
          <cell r="F2787">
            <v>691.84559999999999</v>
          </cell>
          <cell r="H2787">
            <v>597.27071999999998</v>
          </cell>
        </row>
      </sheetData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_С_50_2019"/>
      <sheetName val="1_С_51_2020"/>
      <sheetName val="51_2020"/>
      <sheetName val="Лист2"/>
      <sheetName val="Лист3"/>
      <sheetName val="БДДС"/>
      <sheetName val="Лист5"/>
      <sheetName val="ДЗ"/>
      <sheetName val="51_2020_Д"/>
      <sheetName val="51_2020_К"/>
      <sheetName val="перечень дог кредита_займа"/>
      <sheetName val="ДЗ_КЗ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6">
          <cell r="H6">
            <v>69.803926290000007</v>
          </cell>
        </row>
        <row r="7">
          <cell r="H7">
            <v>498.96740490000002</v>
          </cell>
        </row>
        <row r="10">
          <cell r="H10">
            <v>4.2122448000000006</v>
          </cell>
        </row>
        <row r="17">
          <cell r="J17">
            <v>209.72054811000001</v>
          </cell>
        </row>
        <row r="19">
          <cell r="J19">
            <v>40.227403009999996</v>
          </cell>
        </row>
        <row r="21">
          <cell r="J21">
            <v>11.935064219999997</v>
          </cell>
        </row>
        <row r="67">
          <cell r="J67">
            <v>29.490792899999999</v>
          </cell>
        </row>
        <row r="68">
          <cell r="J68">
            <v>11.795963449999999</v>
          </cell>
        </row>
        <row r="71">
          <cell r="J71">
            <v>6.9343675400000002</v>
          </cell>
        </row>
        <row r="72">
          <cell r="J72">
            <v>0.14888112000000001</v>
          </cell>
        </row>
        <row r="73">
          <cell r="J73">
            <v>5.0775213499999996</v>
          </cell>
        </row>
        <row r="135">
          <cell r="J135">
            <v>42.466472109999998</v>
          </cell>
        </row>
        <row r="136">
          <cell r="J136">
            <v>32.39892691</v>
          </cell>
        </row>
        <row r="154">
          <cell r="J154">
            <v>15.436101230000002</v>
          </cell>
        </row>
        <row r="169">
          <cell r="J169">
            <v>330.34616395999996</v>
          </cell>
        </row>
        <row r="170">
          <cell r="J170">
            <v>1.532209E-2</v>
          </cell>
        </row>
        <row r="173">
          <cell r="J173">
            <v>68.00691359999999</v>
          </cell>
        </row>
        <row r="184">
          <cell r="H184">
            <v>32.264091610000001</v>
          </cell>
        </row>
        <row r="187">
          <cell r="H187">
            <v>652.22500000000002</v>
          </cell>
        </row>
        <row r="210">
          <cell r="H210">
            <v>116.8</v>
          </cell>
        </row>
        <row r="212">
          <cell r="H212">
            <v>27.817152700000001</v>
          </cell>
        </row>
        <row r="220">
          <cell r="J220">
            <v>337.32529250000005</v>
          </cell>
        </row>
        <row r="244">
          <cell r="J244">
            <v>241.02999999999997</v>
          </cell>
        </row>
        <row r="248">
          <cell r="J248">
            <v>0.67042663999999996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10">
          <cell r="H10">
            <v>1.64900392</v>
          </cell>
        </row>
        <row r="11">
          <cell r="H11">
            <v>0.46500570000000002</v>
          </cell>
        </row>
        <row r="14">
          <cell r="H14">
            <v>92.691355560000005</v>
          </cell>
        </row>
        <row r="17">
          <cell r="H17">
            <v>0.70449108999999999</v>
          </cell>
        </row>
        <row r="18">
          <cell r="H18">
            <v>37.307282409999999</v>
          </cell>
        </row>
        <row r="21">
          <cell r="H21">
            <v>31.101403949999998</v>
          </cell>
        </row>
        <row r="22">
          <cell r="H22">
            <v>10.7504723</v>
          </cell>
        </row>
        <row r="23">
          <cell r="H23">
            <v>1.2539119999999999</v>
          </cell>
        </row>
        <row r="27">
          <cell r="H27">
            <v>140.6233273</v>
          </cell>
        </row>
        <row r="28">
          <cell r="H28">
            <v>11.666967619999999</v>
          </cell>
        </row>
        <row r="31">
          <cell r="H31">
            <v>0.75</v>
          </cell>
        </row>
        <row r="32">
          <cell r="H32">
            <v>3.8155100000000002</v>
          </cell>
        </row>
        <row r="34">
          <cell r="H34">
            <v>12.62512738</v>
          </cell>
        </row>
        <row r="38">
          <cell r="H38">
            <v>20.624006640000001</v>
          </cell>
        </row>
        <row r="41">
          <cell r="H41">
            <v>171.04695651</v>
          </cell>
        </row>
        <row r="42">
          <cell r="H42">
            <v>43.544758080000001</v>
          </cell>
        </row>
        <row r="43">
          <cell r="H43">
            <v>1.2730854199999999</v>
          </cell>
        </row>
        <row r="46">
          <cell r="H46">
            <v>45.698950790000019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_С_50_2019"/>
      <sheetName val="1_С_51_2020"/>
      <sheetName val="51_2020_Д"/>
      <sheetName val="Лист2"/>
      <sheetName val="51_2020_К"/>
      <sheetName val="БДДС"/>
      <sheetName val="перечень дог кредита_займа"/>
      <sheetName val="ДЗ_КЗ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27">
          <cell r="H27">
            <v>140.6233273</v>
          </cell>
        </row>
        <row r="28">
          <cell r="H28">
            <v>11.666967619999999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"/>
    </sheetNames>
    <sheetDataSet>
      <sheetData sheetId="0">
        <row r="20">
          <cell r="AQ20">
            <v>22.649698829999998</v>
          </cell>
          <cell r="BA20">
            <v>116.00008977558025</v>
          </cell>
          <cell r="BB20">
            <v>198.03839099999996</v>
          </cell>
          <cell r="BK20">
            <v>44.259013406502326</v>
          </cell>
          <cell r="BL20">
            <v>108.97796</v>
          </cell>
          <cell r="BU20">
            <v>57.129820233331742</v>
          </cell>
          <cell r="BV20">
            <v>96.805458884757812</v>
          </cell>
          <cell r="CE20">
            <v>66.919594921056955</v>
          </cell>
        </row>
        <row r="21">
          <cell r="AR21">
            <v>216.88656800000001</v>
          </cell>
          <cell r="CF21">
            <v>128.37246056918656</v>
          </cell>
        </row>
        <row r="22">
          <cell r="AR22">
            <v>2.4884490000000001</v>
          </cell>
        </row>
        <row r="24">
          <cell r="AR24">
            <v>0.39900000000000002</v>
          </cell>
        </row>
        <row r="97">
          <cell r="AR97">
            <v>170.64252412600001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455"/>
  <sheetViews>
    <sheetView tabSelected="1" view="pageBreakPreview" topLeftCell="A373" zoomScale="120" zoomScaleNormal="120" zoomScaleSheetLayoutView="120" workbookViewId="0">
      <selection activeCell="M398" sqref="M398"/>
    </sheetView>
  </sheetViews>
  <sheetFormatPr defaultColWidth="9.140625" defaultRowHeight="8.25" x14ac:dyDescent="0.15"/>
  <cols>
    <col min="1" max="1" width="5.140625" style="7" customWidth="1"/>
    <col min="2" max="2" width="2" style="7" customWidth="1"/>
    <col min="3" max="3" width="11.42578125" style="7" customWidth="1"/>
    <col min="4" max="4" width="7.28515625" style="7" customWidth="1"/>
    <col min="5" max="5" width="14" style="7" customWidth="1"/>
    <col min="6" max="6" width="6.42578125" style="7" customWidth="1"/>
    <col min="7" max="7" width="2.5703125" style="7" customWidth="1"/>
    <col min="8" max="8" width="8.42578125" style="8" customWidth="1"/>
    <col min="9" max="11" width="8.42578125" style="8" hidden="1" customWidth="1"/>
    <col min="12" max="12" width="9.7109375" style="8" customWidth="1"/>
    <col min="13" max="13" width="8.140625" style="8" customWidth="1"/>
    <col min="14" max="17" width="9.5703125" style="8" customWidth="1"/>
    <col min="18" max="18" width="8.7109375" style="8" customWidth="1"/>
    <col min="19" max="19" width="7.28515625" style="8" customWidth="1"/>
    <col min="20" max="20" width="9.5703125" style="8" customWidth="1"/>
    <col min="21" max="21" width="9.28515625" style="8" customWidth="1"/>
    <col min="22" max="22" width="8.42578125" style="8" customWidth="1"/>
    <col min="23" max="23" width="9.28515625" style="8" customWidth="1"/>
    <col min="24" max="24" width="13.140625" style="7" customWidth="1"/>
    <col min="25" max="16384" width="9.140625" style="7"/>
  </cols>
  <sheetData>
    <row r="1" spans="1:23" s="5" customFormat="1" ht="11.25" customHeight="1" x14ac:dyDescent="0.2"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6" t="s">
        <v>0</v>
      </c>
    </row>
    <row r="2" spans="1:23" s="5" customFormat="1" ht="9.75" customHeight="1" x14ac:dyDescent="0.2"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6"/>
      <c r="W2" s="6" t="s">
        <v>49</v>
      </c>
    </row>
    <row r="3" spans="1:23" s="5" customFormat="1" ht="9.75" customHeight="1" x14ac:dyDescent="0.2"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6"/>
      <c r="W3" s="6" t="s">
        <v>50</v>
      </c>
    </row>
    <row r="4" spans="1:23" ht="6.75" customHeight="1" x14ac:dyDescent="0.15"/>
    <row r="5" spans="1:23" s="10" customFormat="1" ht="30" customHeight="1" x14ac:dyDescent="0.2">
      <c r="A5" s="188" t="s">
        <v>692</v>
      </c>
      <c r="B5" s="188"/>
      <c r="C5" s="188"/>
      <c r="D5" s="188"/>
      <c r="E5" s="188"/>
      <c r="F5" s="188"/>
      <c r="G5" s="188"/>
      <c r="H5" s="188"/>
      <c r="I5" s="188"/>
      <c r="J5" s="188"/>
      <c r="K5" s="188"/>
      <c r="L5" s="188"/>
      <c r="M5" s="188"/>
      <c r="N5" s="188"/>
      <c r="O5" s="9"/>
      <c r="P5" s="9"/>
      <c r="Q5" s="9"/>
      <c r="R5" s="9"/>
      <c r="S5" s="9"/>
      <c r="T5" s="9"/>
      <c r="U5" s="9"/>
      <c r="V5" s="9"/>
      <c r="W5" s="47"/>
    </row>
    <row r="6" spans="1:23" s="5" customFormat="1" ht="10.5" customHeight="1" x14ac:dyDescent="0.2"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</row>
    <row r="7" spans="1:23" s="5" customFormat="1" ht="10.5" x14ac:dyDescent="0.2">
      <c r="A7" s="190" t="s">
        <v>680</v>
      </c>
      <c r="B7" s="190"/>
      <c r="C7" s="190"/>
      <c r="D7" s="190"/>
      <c r="E7" s="190"/>
      <c r="F7" s="190"/>
      <c r="G7" s="190"/>
      <c r="H7" s="190"/>
      <c r="I7" s="190"/>
      <c r="J7" s="190"/>
      <c r="K7" s="190"/>
      <c r="L7" s="190"/>
      <c r="M7" s="190"/>
      <c r="N7" s="190"/>
      <c r="O7" s="11"/>
      <c r="P7" s="11"/>
      <c r="Q7" s="11"/>
      <c r="R7" s="11"/>
      <c r="S7" s="11"/>
      <c r="T7" s="11"/>
      <c r="U7" s="11"/>
      <c r="V7" s="11"/>
      <c r="W7" s="11"/>
    </row>
    <row r="8" spans="1:23" s="5" customFormat="1" ht="9" customHeight="1" x14ac:dyDescent="0.2">
      <c r="A8" s="191" t="s">
        <v>675</v>
      </c>
      <c r="B8" s="191"/>
      <c r="C8" s="191"/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1"/>
      <c r="P8" s="11"/>
      <c r="Q8" s="11"/>
      <c r="R8" s="11"/>
      <c r="S8" s="11"/>
      <c r="T8" s="11"/>
      <c r="U8" s="11"/>
      <c r="V8" s="11"/>
      <c r="W8" s="11"/>
    </row>
    <row r="9" spans="1:23" s="5" customFormat="1" ht="14.25" customHeight="1" x14ac:dyDescent="0.2">
      <c r="A9" s="192" t="s">
        <v>681</v>
      </c>
      <c r="B9" s="192"/>
      <c r="C9" s="192"/>
      <c r="D9" s="192"/>
      <c r="E9" s="192"/>
      <c r="F9" s="192"/>
      <c r="G9" s="192"/>
      <c r="H9" s="192"/>
      <c r="I9" s="192"/>
      <c r="J9" s="192"/>
      <c r="K9" s="192"/>
      <c r="L9" s="192"/>
      <c r="M9" s="192"/>
      <c r="N9" s="192"/>
      <c r="O9" s="11"/>
      <c r="P9" s="11"/>
      <c r="Q9" s="11"/>
      <c r="R9" s="11"/>
      <c r="S9" s="11"/>
      <c r="T9" s="11"/>
      <c r="U9" s="11"/>
      <c r="V9" s="11"/>
      <c r="W9" s="11"/>
    </row>
    <row r="10" spans="1:23" s="5" customFormat="1" ht="12.75" customHeight="1" x14ac:dyDescent="0.2">
      <c r="A10" s="189" t="s">
        <v>691</v>
      </c>
      <c r="B10" s="189"/>
      <c r="C10" s="189"/>
      <c r="D10" s="189"/>
      <c r="E10" s="189"/>
      <c r="F10" s="189"/>
      <c r="G10" s="189"/>
      <c r="H10" s="189"/>
      <c r="I10" s="189"/>
      <c r="J10" s="189"/>
      <c r="K10" s="189"/>
      <c r="L10" s="189"/>
      <c r="M10" s="189"/>
      <c r="N10" s="189"/>
      <c r="O10" s="11"/>
      <c r="P10" s="11"/>
      <c r="Q10" s="11"/>
      <c r="R10" s="11"/>
      <c r="S10" s="11"/>
      <c r="T10" s="11"/>
      <c r="U10" s="11"/>
      <c r="V10" s="11"/>
      <c r="W10" s="11"/>
    </row>
    <row r="11" spans="1:23" s="5" customFormat="1" ht="15" customHeight="1" x14ac:dyDescent="0.2">
      <c r="A11" s="189" t="s">
        <v>690</v>
      </c>
      <c r="B11" s="189"/>
      <c r="C11" s="189"/>
      <c r="D11" s="189"/>
      <c r="E11" s="189"/>
      <c r="F11" s="189"/>
      <c r="G11" s="189"/>
      <c r="H11" s="189"/>
      <c r="I11" s="189"/>
      <c r="J11" s="189"/>
      <c r="K11" s="189"/>
      <c r="L11" s="189"/>
      <c r="M11" s="189"/>
      <c r="N11" s="189"/>
      <c r="O11" s="36"/>
      <c r="P11" s="11"/>
      <c r="Q11" s="11"/>
      <c r="R11" s="11"/>
      <c r="S11" s="11"/>
      <c r="T11" s="11"/>
      <c r="U11" s="11"/>
      <c r="V11" s="11"/>
      <c r="W11" s="11"/>
    </row>
    <row r="12" spans="1:23" s="5" customFormat="1" ht="16.5" customHeight="1" x14ac:dyDescent="0.2">
      <c r="A12" s="191" t="s">
        <v>51</v>
      </c>
      <c r="B12" s="191"/>
      <c r="C12" s="191"/>
      <c r="D12" s="191"/>
      <c r="E12" s="191"/>
      <c r="F12" s="191"/>
      <c r="G12" s="191"/>
      <c r="H12" s="191"/>
      <c r="I12" s="191"/>
      <c r="J12" s="191"/>
      <c r="K12" s="191"/>
      <c r="L12" s="191"/>
      <c r="M12" s="191"/>
      <c r="N12" s="191"/>
      <c r="O12" s="36"/>
      <c r="P12" s="36"/>
      <c r="Q12" s="11"/>
      <c r="R12" s="11"/>
      <c r="S12" s="11"/>
      <c r="T12" s="11"/>
      <c r="U12" s="11"/>
      <c r="V12" s="11"/>
      <c r="W12" s="11"/>
    </row>
    <row r="13" spans="1:23" s="12" customFormat="1" ht="14.25" customHeight="1" thickBot="1" x14ac:dyDescent="0.25">
      <c r="A13" s="194" t="s">
        <v>348</v>
      </c>
      <c r="B13" s="194"/>
      <c r="C13" s="194"/>
      <c r="D13" s="194"/>
      <c r="E13" s="194"/>
      <c r="F13" s="194"/>
      <c r="G13" s="194"/>
      <c r="H13" s="194"/>
      <c r="I13" s="194"/>
      <c r="J13" s="194"/>
      <c r="K13" s="194"/>
      <c r="L13" s="194"/>
      <c r="M13" s="194"/>
      <c r="N13" s="194"/>
      <c r="O13" s="194"/>
      <c r="P13" s="194"/>
      <c r="Q13" s="194"/>
      <c r="R13" s="194"/>
      <c r="S13" s="194"/>
      <c r="T13" s="194"/>
      <c r="U13" s="194"/>
      <c r="V13" s="194"/>
      <c r="W13" s="194"/>
    </row>
    <row r="14" spans="1:23" s="14" customFormat="1" ht="18" customHeight="1" x14ac:dyDescent="0.2">
      <c r="A14" s="107" t="s">
        <v>7</v>
      </c>
      <c r="B14" s="108"/>
      <c r="C14" s="101" t="s">
        <v>8</v>
      </c>
      <c r="D14" s="102"/>
      <c r="E14" s="102"/>
      <c r="F14" s="102"/>
      <c r="G14" s="103"/>
      <c r="H14" s="97" t="s">
        <v>1</v>
      </c>
      <c r="I14" s="13">
        <v>2018</v>
      </c>
      <c r="J14" s="99">
        <v>2019</v>
      </c>
      <c r="K14" s="100"/>
      <c r="L14" s="99">
        <v>2020</v>
      </c>
      <c r="M14" s="100"/>
      <c r="N14" s="99">
        <v>2021</v>
      </c>
      <c r="O14" s="195"/>
      <c r="P14" s="195">
        <v>2022</v>
      </c>
      <c r="Q14" s="100"/>
      <c r="R14" s="99">
        <v>2023</v>
      </c>
      <c r="S14" s="100"/>
      <c r="T14" s="99">
        <v>2024</v>
      </c>
      <c r="U14" s="100"/>
      <c r="V14" s="99" t="s">
        <v>9</v>
      </c>
      <c r="W14" s="111"/>
    </row>
    <row r="15" spans="1:23" s="14" customFormat="1" ht="55.5" customHeight="1" x14ac:dyDescent="0.2">
      <c r="A15" s="109"/>
      <c r="B15" s="110"/>
      <c r="C15" s="104"/>
      <c r="D15" s="105"/>
      <c r="E15" s="105"/>
      <c r="F15" s="105"/>
      <c r="G15" s="106"/>
      <c r="H15" s="98"/>
      <c r="I15" s="15" t="s">
        <v>2</v>
      </c>
      <c r="J15" s="15" t="s">
        <v>3</v>
      </c>
      <c r="K15" s="46" t="s">
        <v>694</v>
      </c>
      <c r="L15" s="15" t="s">
        <v>4</v>
      </c>
      <c r="M15" s="46" t="s">
        <v>694</v>
      </c>
      <c r="N15" s="15" t="s">
        <v>4</v>
      </c>
      <c r="O15" s="15" t="s">
        <v>10</v>
      </c>
      <c r="P15" s="15" t="s">
        <v>4</v>
      </c>
      <c r="Q15" s="15" t="s">
        <v>10</v>
      </c>
      <c r="R15" s="15" t="s">
        <v>4</v>
      </c>
      <c r="S15" s="15" t="s">
        <v>10</v>
      </c>
      <c r="T15" s="15" t="s">
        <v>4</v>
      </c>
      <c r="U15" s="15" t="s">
        <v>10</v>
      </c>
      <c r="V15" s="15" t="s">
        <v>4</v>
      </c>
      <c r="W15" s="16" t="s">
        <v>10</v>
      </c>
    </row>
    <row r="16" spans="1:23" s="19" customFormat="1" ht="9" thickBot="1" x14ac:dyDescent="0.25">
      <c r="A16" s="193">
        <v>1</v>
      </c>
      <c r="B16" s="114"/>
      <c r="C16" s="112">
        <v>2</v>
      </c>
      <c r="D16" s="113"/>
      <c r="E16" s="113"/>
      <c r="F16" s="113"/>
      <c r="G16" s="114"/>
      <c r="H16" s="17">
        <v>3</v>
      </c>
      <c r="I16" s="18">
        <v>5</v>
      </c>
      <c r="J16" s="18">
        <v>6</v>
      </c>
      <c r="K16" s="18">
        <v>7</v>
      </c>
      <c r="L16" s="18">
        <v>8</v>
      </c>
      <c r="M16" s="18">
        <v>9</v>
      </c>
      <c r="N16" s="18">
        <v>10</v>
      </c>
      <c r="O16" s="18">
        <f>N16+1</f>
        <v>11</v>
      </c>
      <c r="P16" s="18">
        <f t="shared" ref="P16:W16" si="0">O16+1</f>
        <v>12</v>
      </c>
      <c r="Q16" s="18">
        <f t="shared" si="0"/>
        <v>13</v>
      </c>
      <c r="R16" s="18">
        <f t="shared" si="0"/>
        <v>14</v>
      </c>
      <c r="S16" s="18">
        <f t="shared" si="0"/>
        <v>15</v>
      </c>
      <c r="T16" s="18">
        <f t="shared" si="0"/>
        <v>16</v>
      </c>
      <c r="U16" s="18">
        <f t="shared" si="0"/>
        <v>17</v>
      </c>
      <c r="V16" s="18">
        <f t="shared" si="0"/>
        <v>18</v>
      </c>
      <c r="W16" s="17">
        <f t="shared" si="0"/>
        <v>19</v>
      </c>
    </row>
    <row r="17" spans="1:23" s="20" customFormat="1" ht="10.5" customHeight="1" thickBot="1" x14ac:dyDescent="0.25">
      <c r="A17" s="94" t="s">
        <v>48</v>
      </c>
      <c r="B17" s="95"/>
      <c r="C17" s="95"/>
      <c r="D17" s="95"/>
      <c r="E17" s="95"/>
      <c r="F17" s="95"/>
      <c r="G17" s="95"/>
      <c r="H17" s="95"/>
      <c r="I17" s="95"/>
      <c r="J17" s="95"/>
      <c r="K17" s="95"/>
      <c r="L17" s="95"/>
      <c r="M17" s="95"/>
      <c r="N17" s="95"/>
      <c r="O17" s="95"/>
      <c r="P17" s="95"/>
      <c r="Q17" s="95"/>
      <c r="R17" s="95"/>
      <c r="S17" s="95"/>
      <c r="T17" s="95"/>
      <c r="U17" s="95"/>
      <c r="V17" s="95"/>
      <c r="W17" s="96"/>
    </row>
    <row r="18" spans="1:23" s="3" customFormat="1" ht="9.75" customHeight="1" x14ac:dyDescent="0.2">
      <c r="A18" s="186" t="s">
        <v>25</v>
      </c>
      <c r="B18" s="187"/>
      <c r="C18" s="180" t="s">
        <v>45</v>
      </c>
      <c r="D18" s="181"/>
      <c r="E18" s="181"/>
      <c r="F18" s="181"/>
      <c r="G18" s="182"/>
      <c r="H18" s="21" t="s">
        <v>5</v>
      </c>
      <c r="I18" s="39">
        <f>I24+I26+I27+I32</f>
        <v>642.63</v>
      </c>
      <c r="J18" s="39">
        <f t="shared" ref="J18:U18" si="1">J24+J26+J27+J32</f>
        <v>726.81999999999994</v>
      </c>
      <c r="K18" s="78">
        <f t="shared" si="1"/>
        <v>749.47921422500008</v>
      </c>
      <c r="L18" s="54">
        <f t="shared" si="1"/>
        <v>893.07999999999993</v>
      </c>
      <c r="M18" s="54">
        <f>M24+M26+M27+M32</f>
        <v>767.38504869999997</v>
      </c>
      <c r="N18" s="49">
        <f t="shared" si="1"/>
        <v>958.64</v>
      </c>
      <c r="O18" s="49">
        <f t="shared" si="1"/>
        <v>945.02</v>
      </c>
      <c r="P18" s="49">
        <f t="shared" si="1"/>
        <v>800.28</v>
      </c>
      <c r="Q18" s="49">
        <f t="shared" si="1"/>
        <v>803.58999999999992</v>
      </c>
      <c r="R18" s="49">
        <f t="shared" si="1"/>
        <v>822.14</v>
      </c>
      <c r="S18" s="49">
        <f t="shared" si="1"/>
        <v>828.89</v>
      </c>
      <c r="T18" s="49">
        <f t="shared" si="1"/>
        <v>1144.57</v>
      </c>
      <c r="U18" s="49">
        <f t="shared" si="1"/>
        <v>1042.3899999999999</v>
      </c>
      <c r="V18" s="49">
        <f>L18+N18+P18+R18+T18</f>
        <v>4618.71</v>
      </c>
      <c r="W18" s="67">
        <f>M18+O18+Q18+S18+U18</f>
        <v>4387.2750486999994</v>
      </c>
    </row>
    <row r="19" spans="1:23" s="3" customFormat="1" ht="8.25" customHeight="1" x14ac:dyDescent="0.2">
      <c r="A19" s="86" t="s">
        <v>11</v>
      </c>
      <c r="B19" s="87"/>
      <c r="C19" s="88" t="s">
        <v>46</v>
      </c>
      <c r="D19" s="89"/>
      <c r="E19" s="89"/>
      <c r="F19" s="89"/>
      <c r="G19" s="90"/>
      <c r="H19" s="1" t="s">
        <v>5</v>
      </c>
      <c r="I19" s="38"/>
      <c r="J19" s="38"/>
      <c r="K19" s="4"/>
      <c r="L19" s="55"/>
      <c r="M19" s="55"/>
      <c r="N19" s="50"/>
      <c r="O19" s="50"/>
      <c r="P19" s="50"/>
      <c r="Q19" s="50"/>
      <c r="R19" s="50"/>
      <c r="S19" s="50"/>
      <c r="T19" s="50"/>
      <c r="U19" s="50"/>
      <c r="V19" s="50">
        <f t="shared" ref="V19:V81" si="2">L19+N19+P19+R19+T19</f>
        <v>0</v>
      </c>
      <c r="W19" s="61">
        <f t="shared" ref="W19:W70" si="3">M19+O19+Q19+S19+U19</f>
        <v>0</v>
      </c>
    </row>
    <row r="20" spans="1:23" s="3" customFormat="1" ht="16.5" customHeight="1" x14ac:dyDescent="0.2">
      <c r="A20" s="86" t="s">
        <v>12</v>
      </c>
      <c r="B20" s="87"/>
      <c r="C20" s="88" t="s">
        <v>47</v>
      </c>
      <c r="D20" s="89"/>
      <c r="E20" s="89"/>
      <c r="F20" s="89"/>
      <c r="G20" s="90"/>
      <c r="H20" s="1" t="s">
        <v>5</v>
      </c>
      <c r="I20" s="38"/>
      <c r="J20" s="38"/>
      <c r="K20" s="4"/>
      <c r="L20" s="55"/>
      <c r="M20" s="55"/>
      <c r="N20" s="50"/>
      <c r="O20" s="50"/>
      <c r="P20" s="50"/>
      <c r="Q20" s="50"/>
      <c r="R20" s="50"/>
      <c r="S20" s="50"/>
      <c r="T20" s="50"/>
      <c r="U20" s="50"/>
      <c r="V20" s="50">
        <f t="shared" si="2"/>
        <v>0</v>
      </c>
      <c r="W20" s="61">
        <f t="shared" si="3"/>
        <v>0</v>
      </c>
    </row>
    <row r="21" spans="1:23" s="3" customFormat="1" ht="16.5" customHeight="1" x14ac:dyDescent="0.2">
      <c r="A21" s="86" t="s">
        <v>13</v>
      </c>
      <c r="B21" s="87"/>
      <c r="C21" s="88" t="s">
        <v>52</v>
      </c>
      <c r="D21" s="89"/>
      <c r="E21" s="89"/>
      <c r="F21" s="89"/>
      <c r="G21" s="90"/>
      <c r="H21" s="1" t="s">
        <v>5</v>
      </c>
      <c r="I21" s="38"/>
      <c r="J21" s="38"/>
      <c r="K21" s="4"/>
      <c r="L21" s="55"/>
      <c r="M21" s="55"/>
      <c r="N21" s="50"/>
      <c r="O21" s="50"/>
      <c r="P21" s="50"/>
      <c r="Q21" s="50"/>
      <c r="R21" s="50"/>
      <c r="S21" s="50"/>
      <c r="T21" s="50"/>
      <c r="U21" s="50"/>
      <c r="V21" s="50">
        <f t="shared" si="2"/>
        <v>0</v>
      </c>
      <c r="W21" s="61">
        <f t="shared" si="3"/>
        <v>0</v>
      </c>
    </row>
    <row r="22" spans="1:23" s="3" customFormat="1" ht="16.5" customHeight="1" x14ac:dyDescent="0.2">
      <c r="A22" s="86" t="s">
        <v>14</v>
      </c>
      <c r="B22" s="87"/>
      <c r="C22" s="88" t="s">
        <v>53</v>
      </c>
      <c r="D22" s="89"/>
      <c r="E22" s="89"/>
      <c r="F22" s="89"/>
      <c r="G22" s="90"/>
      <c r="H22" s="1" t="s">
        <v>5</v>
      </c>
      <c r="I22" s="38"/>
      <c r="J22" s="38"/>
      <c r="K22" s="4"/>
      <c r="L22" s="55"/>
      <c r="M22" s="55"/>
      <c r="N22" s="50"/>
      <c r="O22" s="50"/>
      <c r="P22" s="50"/>
      <c r="Q22" s="50"/>
      <c r="R22" s="50"/>
      <c r="S22" s="50"/>
      <c r="T22" s="50"/>
      <c r="U22" s="50"/>
      <c r="V22" s="50">
        <f t="shared" si="2"/>
        <v>0</v>
      </c>
      <c r="W22" s="61">
        <f t="shared" si="3"/>
        <v>0</v>
      </c>
    </row>
    <row r="23" spans="1:23" s="3" customFormat="1" ht="8.1" customHeight="1" x14ac:dyDescent="0.2">
      <c r="A23" s="86" t="s">
        <v>15</v>
      </c>
      <c r="B23" s="87"/>
      <c r="C23" s="88" t="s">
        <v>54</v>
      </c>
      <c r="D23" s="89"/>
      <c r="E23" s="89"/>
      <c r="F23" s="89"/>
      <c r="G23" s="90"/>
      <c r="H23" s="1" t="s">
        <v>5</v>
      </c>
      <c r="I23" s="38"/>
      <c r="J23" s="38"/>
      <c r="K23" s="4"/>
      <c r="L23" s="55"/>
      <c r="M23" s="55"/>
      <c r="N23" s="50"/>
      <c r="O23" s="50"/>
      <c r="P23" s="50"/>
      <c r="Q23" s="50"/>
      <c r="R23" s="50"/>
      <c r="S23" s="50"/>
      <c r="T23" s="50"/>
      <c r="U23" s="50"/>
      <c r="V23" s="50">
        <f t="shared" si="2"/>
        <v>0</v>
      </c>
      <c r="W23" s="61">
        <f t="shared" si="3"/>
        <v>0</v>
      </c>
    </row>
    <row r="24" spans="1:23" s="3" customFormat="1" ht="8.1" customHeight="1" x14ac:dyDescent="0.2">
      <c r="A24" s="86" t="s">
        <v>16</v>
      </c>
      <c r="B24" s="87"/>
      <c r="C24" s="88" t="s">
        <v>76</v>
      </c>
      <c r="D24" s="89"/>
      <c r="E24" s="89"/>
      <c r="F24" s="89"/>
      <c r="G24" s="90"/>
      <c r="H24" s="1" t="s">
        <v>5</v>
      </c>
      <c r="I24" s="38">
        <v>211.46</v>
      </c>
      <c r="J24" s="38">
        <v>260.3</v>
      </c>
      <c r="K24" s="4">
        <f>'[1]3.Программа реализации'!$F$11/1000</f>
        <v>229.61979571666672</v>
      </c>
      <c r="L24" s="55">
        <v>345.05</v>
      </c>
      <c r="M24" s="55">
        <f>'[2]3.Программа реализации'!$G$11/1000</f>
        <v>252.96993630833333</v>
      </c>
      <c r="N24" s="50">
        <v>385.59</v>
      </c>
      <c r="O24" s="50">
        <v>318.12</v>
      </c>
      <c r="P24" s="50">
        <v>366.34</v>
      </c>
      <c r="Q24" s="50">
        <v>323.33999999999997</v>
      </c>
      <c r="R24" s="50">
        <v>373.59</v>
      </c>
      <c r="S24" s="50">
        <v>328.75</v>
      </c>
      <c r="T24" s="50">
        <v>398.75</v>
      </c>
      <c r="U24" s="50">
        <v>334.32</v>
      </c>
      <c r="V24" s="50">
        <f t="shared" si="2"/>
        <v>1869.32</v>
      </c>
      <c r="W24" s="61">
        <f t="shared" si="3"/>
        <v>1557.4999363083332</v>
      </c>
    </row>
    <row r="25" spans="1:23" s="3" customFormat="1" ht="8.1" customHeight="1" x14ac:dyDescent="0.2">
      <c r="A25" s="86" t="s">
        <v>17</v>
      </c>
      <c r="B25" s="87"/>
      <c r="C25" s="88" t="s">
        <v>77</v>
      </c>
      <c r="D25" s="89"/>
      <c r="E25" s="89"/>
      <c r="F25" s="89"/>
      <c r="G25" s="90"/>
      <c r="H25" s="1" t="s">
        <v>5</v>
      </c>
      <c r="I25" s="38"/>
      <c r="J25" s="38"/>
      <c r="K25" s="4"/>
      <c r="L25" s="55"/>
      <c r="M25" s="55"/>
      <c r="N25" s="50"/>
      <c r="O25" s="50"/>
      <c r="P25" s="50"/>
      <c r="Q25" s="50"/>
      <c r="R25" s="50"/>
      <c r="S25" s="50"/>
      <c r="T25" s="50"/>
      <c r="U25" s="50"/>
      <c r="V25" s="50">
        <f t="shared" si="2"/>
        <v>0</v>
      </c>
      <c r="W25" s="61">
        <f t="shared" si="3"/>
        <v>0</v>
      </c>
    </row>
    <row r="26" spans="1:23" s="3" customFormat="1" ht="8.1" customHeight="1" x14ac:dyDescent="0.2">
      <c r="A26" s="86" t="s">
        <v>18</v>
      </c>
      <c r="B26" s="87"/>
      <c r="C26" s="88" t="s">
        <v>78</v>
      </c>
      <c r="D26" s="89"/>
      <c r="E26" s="89"/>
      <c r="F26" s="89"/>
      <c r="G26" s="90"/>
      <c r="H26" s="1" t="s">
        <v>5</v>
      </c>
      <c r="I26" s="38">
        <v>85.26</v>
      </c>
      <c r="J26" s="38">
        <v>107</v>
      </c>
      <c r="K26" s="4">
        <f>'[1]3.Программа реализации'!$F$117/1000</f>
        <v>125.21140197500002</v>
      </c>
      <c r="L26" s="55">
        <v>169</v>
      </c>
      <c r="M26" s="55">
        <f>'[2]3.Программа реализации'!$G$117/1000+0.0217</f>
        <v>112.15395182499999</v>
      </c>
      <c r="N26" s="50">
        <v>174.15</v>
      </c>
      <c r="O26" s="50">
        <v>228</v>
      </c>
      <c r="P26" s="50">
        <v>13.69</v>
      </c>
      <c r="Q26" s="50">
        <v>60</v>
      </c>
      <c r="R26" s="50">
        <v>5.41</v>
      </c>
      <c r="S26" s="50">
        <v>57</v>
      </c>
      <c r="T26" s="50">
        <v>278.56</v>
      </c>
      <c r="U26" s="50">
        <v>240.81</v>
      </c>
      <c r="V26" s="50">
        <f t="shared" si="2"/>
        <v>640.80999999999995</v>
      </c>
      <c r="W26" s="61">
        <f t="shared" si="3"/>
        <v>697.96395182499998</v>
      </c>
    </row>
    <row r="27" spans="1:23" s="3" customFormat="1" ht="8.1" customHeight="1" x14ac:dyDescent="0.2">
      <c r="A27" s="86" t="s">
        <v>19</v>
      </c>
      <c r="B27" s="87"/>
      <c r="C27" s="88" t="s">
        <v>79</v>
      </c>
      <c r="D27" s="89"/>
      <c r="E27" s="89"/>
      <c r="F27" s="89"/>
      <c r="G27" s="90"/>
      <c r="H27" s="1" t="s">
        <v>5</v>
      </c>
      <c r="I27" s="38">
        <v>339.05</v>
      </c>
      <c r="J27" s="38">
        <v>359.52</v>
      </c>
      <c r="K27" s="4">
        <f>'[1]3.Программа реализации'!$F$123/1000</f>
        <v>387.79661964166667</v>
      </c>
      <c r="L27" s="55">
        <v>379.03</v>
      </c>
      <c r="M27" s="55">
        <f>'[2]3.Программа реализации'!$G$123/1000</f>
        <v>397.73342698333335</v>
      </c>
      <c r="N27" s="50">
        <v>398.9</v>
      </c>
      <c r="O27" s="50">
        <v>398.9</v>
      </c>
      <c r="P27" s="50">
        <v>420.25</v>
      </c>
      <c r="Q27" s="50">
        <v>420.25</v>
      </c>
      <c r="R27" s="50">
        <v>443.14</v>
      </c>
      <c r="S27" s="50">
        <v>443.14</v>
      </c>
      <c r="T27" s="50">
        <v>467.26</v>
      </c>
      <c r="U27" s="50">
        <v>467.26</v>
      </c>
      <c r="V27" s="50">
        <f t="shared" si="2"/>
        <v>2108.58</v>
      </c>
      <c r="W27" s="61">
        <f t="shared" si="3"/>
        <v>2127.2834269833329</v>
      </c>
    </row>
    <row r="28" spans="1:23" s="3" customFormat="1" ht="8.1" customHeight="1" x14ac:dyDescent="0.2">
      <c r="A28" s="86" t="s">
        <v>20</v>
      </c>
      <c r="B28" s="87"/>
      <c r="C28" s="88" t="s">
        <v>80</v>
      </c>
      <c r="D28" s="89"/>
      <c r="E28" s="89"/>
      <c r="F28" s="89"/>
      <c r="G28" s="90"/>
      <c r="H28" s="1" t="s">
        <v>5</v>
      </c>
      <c r="I28" s="38"/>
      <c r="J28" s="38"/>
      <c r="K28" s="4"/>
      <c r="L28" s="55"/>
      <c r="M28" s="55"/>
      <c r="N28" s="50"/>
      <c r="O28" s="50"/>
      <c r="P28" s="50"/>
      <c r="Q28" s="50"/>
      <c r="R28" s="50"/>
      <c r="S28" s="50"/>
      <c r="T28" s="50"/>
      <c r="U28" s="50"/>
      <c r="V28" s="50">
        <f t="shared" si="2"/>
        <v>0</v>
      </c>
      <c r="W28" s="61">
        <f t="shared" si="3"/>
        <v>0</v>
      </c>
    </row>
    <row r="29" spans="1:23" s="3" customFormat="1" ht="16.5" customHeight="1" x14ac:dyDescent="0.2">
      <c r="A29" s="86" t="s">
        <v>21</v>
      </c>
      <c r="B29" s="87"/>
      <c r="C29" s="88" t="s">
        <v>81</v>
      </c>
      <c r="D29" s="89"/>
      <c r="E29" s="89"/>
      <c r="F29" s="89"/>
      <c r="G29" s="90"/>
      <c r="H29" s="1" t="s">
        <v>5</v>
      </c>
      <c r="I29" s="38"/>
      <c r="J29" s="38"/>
      <c r="K29" s="4"/>
      <c r="L29" s="55"/>
      <c r="M29" s="55"/>
      <c r="N29" s="50"/>
      <c r="O29" s="50"/>
      <c r="P29" s="50"/>
      <c r="Q29" s="50"/>
      <c r="R29" s="50"/>
      <c r="S29" s="50"/>
      <c r="T29" s="50"/>
      <c r="U29" s="50"/>
      <c r="V29" s="50">
        <f t="shared" si="2"/>
        <v>0</v>
      </c>
      <c r="W29" s="61">
        <f t="shared" si="3"/>
        <v>0</v>
      </c>
    </row>
    <row r="30" spans="1:23" s="3" customFormat="1" ht="8.1" customHeight="1" x14ac:dyDescent="0.2">
      <c r="A30" s="86" t="s">
        <v>22</v>
      </c>
      <c r="B30" s="87"/>
      <c r="C30" s="91" t="s">
        <v>82</v>
      </c>
      <c r="D30" s="92"/>
      <c r="E30" s="92"/>
      <c r="F30" s="92"/>
      <c r="G30" s="93"/>
      <c r="H30" s="1" t="s">
        <v>5</v>
      </c>
      <c r="I30" s="38"/>
      <c r="J30" s="38"/>
      <c r="K30" s="4"/>
      <c r="L30" s="55"/>
      <c r="M30" s="55"/>
      <c r="N30" s="50"/>
      <c r="O30" s="50"/>
      <c r="P30" s="50"/>
      <c r="Q30" s="50"/>
      <c r="R30" s="50"/>
      <c r="S30" s="50"/>
      <c r="T30" s="50"/>
      <c r="U30" s="50"/>
      <c r="V30" s="50">
        <f t="shared" si="2"/>
        <v>0</v>
      </c>
      <c r="W30" s="61">
        <f t="shared" si="3"/>
        <v>0</v>
      </c>
    </row>
    <row r="31" spans="1:23" s="3" customFormat="1" ht="8.1" customHeight="1" x14ac:dyDescent="0.2">
      <c r="A31" s="86" t="s">
        <v>23</v>
      </c>
      <c r="B31" s="87"/>
      <c r="C31" s="91" t="s">
        <v>83</v>
      </c>
      <c r="D31" s="92"/>
      <c r="E31" s="92"/>
      <c r="F31" s="92"/>
      <c r="G31" s="93"/>
      <c r="H31" s="1" t="s">
        <v>5</v>
      </c>
      <c r="I31" s="38"/>
      <c r="J31" s="38"/>
      <c r="K31" s="4"/>
      <c r="L31" s="55"/>
      <c r="M31" s="55"/>
      <c r="N31" s="50"/>
      <c r="O31" s="50"/>
      <c r="P31" s="50"/>
      <c r="Q31" s="50"/>
      <c r="R31" s="50"/>
      <c r="S31" s="50"/>
      <c r="T31" s="50"/>
      <c r="U31" s="50"/>
      <c r="V31" s="50">
        <f t="shared" si="2"/>
        <v>0</v>
      </c>
      <c r="W31" s="61">
        <f t="shared" si="3"/>
        <v>0</v>
      </c>
    </row>
    <row r="32" spans="1:23" s="3" customFormat="1" ht="8.1" customHeight="1" x14ac:dyDescent="0.2">
      <c r="A32" s="86" t="s">
        <v>24</v>
      </c>
      <c r="B32" s="87"/>
      <c r="C32" s="88" t="s">
        <v>84</v>
      </c>
      <c r="D32" s="89"/>
      <c r="E32" s="89"/>
      <c r="F32" s="89"/>
      <c r="G32" s="90"/>
      <c r="H32" s="1" t="s">
        <v>5</v>
      </c>
      <c r="I32" s="38">
        <v>6.86</v>
      </c>
      <c r="J32" s="38"/>
      <c r="K32" s="4">
        <f>'[1]3.Программа реализации'!$F$163/1000</f>
        <v>6.851396891666667</v>
      </c>
      <c r="L32" s="55">
        <v>0</v>
      </c>
      <c r="M32" s="55">
        <f>'[2]3.Программа реализации'!$G$163/1000</f>
        <v>4.5277335833333332</v>
      </c>
      <c r="N32" s="50"/>
      <c r="O32" s="50"/>
      <c r="P32" s="50"/>
      <c r="Q32" s="50"/>
      <c r="R32" s="50"/>
      <c r="S32" s="50"/>
      <c r="T32" s="50"/>
      <c r="U32" s="50"/>
      <c r="V32" s="50">
        <f t="shared" si="2"/>
        <v>0</v>
      </c>
      <c r="W32" s="61">
        <f t="shared" si="3"/>
        <v>4.5277335833333332</v>
      </c>
    </row>
    <row r="33" spans="1:24" s="3" customFormat="1" ht="16.5" customHeight="1" x14ac:dyDescent="0.2">
      <c r="A33" s="86" t="s">
        <v>26</v>
      </c>
      <c r="B33" s="87"/>
      <c r="C33" s="150" t="s">
        <v>85</v>
      </c>
      <c r="D33" s="151"/>
      <c r="E33" s="151"/>
      <c r="F33" s="151"/>
      <c r="G33" s="152"/>
      <c r="H33" s="1" t="s">
        <v>5</v>
      </c>
      <c r="I33" s="38">
        <v>572.33000000000004</v>
      </c>
      <c r="J33" s="38">
        <f t="shared" ref="J33:U33" si="4">J48+J57+J63+J64+J65+J68+J72</f>
        <v>618.27</v>
      </c>
      <c r="K33" s="79">
        <f>(K34+K39+K40+K41+K42+K43+K44+K47)*0+677.06</f>
        <v>677.06</v>
      </c>
      <c r="L33" s="55">
        <f t="shared" si="4"/>
        <v>665.4899999999999</v>
      </c>
      <c r="M33" s="80">
        <f>M48+M57+M63+M64+M65+M68+M72</f>
        <v>690.95468443000004</v>
      </c>
      <c r="N33" s="50">
        <f t="shared" si="4"/>
        <v>705.27</v>
      </c>
      <c r="O33" s="50">
        <f t="shared" si="4"/>
        <v>727.38</v>
      </c>
      <c r="P33" s="50">
        <f t="shared" si="4"/>
        <v>761.14999999999986</v>
      </c>
      <c r="Q33" s="50">
        <f t="shared" si="4"/>
        <v>779.97</v>
      </c>
      <c r="R33" s="50">
        <f t="shared" si="4"/>
        <v>796.13</v>
      </c>
      <c r="S33" s="50">
        <f t="shared" si="4"/>
        <v>810.8900000000001</v>
      </c>
      <c r="T33" s="50">
        <v>875.53</v>
      </c>
      <c r="U33" s="50">
        <f t="shared" si="4"/>
        <v>854.1</v>
      </c>
      <c r="V33" s="50">
        <f>L33+N33+P33+R33+T33</f>
        <v>3803.5699999999997</v>
      </c>
      <c r="W33" s="61">
        <f t="shared" si="3"/>
        <v>3863.29468443</v>
      </c>
    </row>
    <row r="34" spans="1:24" s="3" customFormat="1" ht="8.1" customHeight="1" x14ac:dyDescent="0.2">
      <c r="A34" s="86" t="s">
        <v>28</v>
      </c>
      <c r="B34" s="87"/>
      <c r="C34" s="88" t="s">
        <v>46</v>
      </c>
      <c r="D34" s="89"/>
      <c r="E34" s="89"/>
      <c r="F34" s="89"/>
      <c r="G34" s="90"/>
      <c r="H34" s="1" t="s">
        <v>5</v>
      </c>
      <c r="I34" s="38"/>
      <c r="J34" s="38"/>
      <c r="K34" s="44"/>
      <c r="L34" s="55"/>
      <c r="M34" s="55"/>
      <c r="N34" s="50"/>
      <c r="O34" s="50"/>
      <c r="P34" s="50"/>
      <c r="Q34" s="50"/>
      <c r="R34" s="50"/>
      <c r="S34" s="50"/>
      <c r="T34" s="50"/>
      <c r="U34" s="50"/>
      <c r="V34" s="50">
        <f t="shared" si="2"/>
        <v>0</v>
      </c>
      <c r="W34" s="61">
        <f t="shared" si="3"/>
        <v>0</v>
      </c>
    </row>
    <row r="35" spans="1:24" s="3" customFormat="1" ht="16.5" customHeight="1" x14ac:dyDescent="0.2">
      <c r="A35" s="86" t="s">
        <v>27</v>
      </c>
      <c r="B35" s="87"/>
      <c r="C35" s="91" t="s">
        <v>47</v>
      </c>
      <c r="D35" s="92"/>
      <c r="E35" s="92"/>
      <c r="F35" s="92"/>
      <c r="G35" s="93"/>
      <c r="H35" s="1" t="s">
        <v>5</v>
      </c>
      <c r="I35" s="38"/>
      <c r="J35" s="38"/>
      <c r="K35" s="44"/>
      <c r="L35" s="55"/>
      <c r="M35" s="55"/>
      <c r="N35" s="50"/>
      <c r="O35" s="50"/>
      <c r="P35" s="50"/>
      <c r="Q35" s="50"/>
      <c r="R35" s="50"/>
      <c r="S35" s="50"/>
      <c r="T35" s="50"/>
      <c r="U35" s="50"/>
      <c r="V35" s="50">
        <f t="shared" si="2"/>
        <v>0</v>
      </c>
      <c r="W35" s="61">
        <f t="shared" si="3"/>
        <v>0</v>
      </c>
    </row>
    <row r="36" spans="1:24" s="3" customFormat="1" ht="16.5" customHeight="1" x14ac:dyDescent="0.2">
      <c r="A36" s="86" t="s">
        <v>29</v>
      </c>
      <c r="B36" s="87"/>
      <c r="C36" s="91" t="s">
        <v>52</v>
      </c>
      <c r="D36" s="92"/>
      <c r="E36" s="92"/>
      <c r="F36" s="92"/>
      <c r="G36" s="93"/>
      <c r="H36" s="1" t="s">
        <v>5</v>
      </c>
      <c r="I36" s="38"/>
      <c r="J36" s="38"/>
      <c r="K36" s="44"/>
      <c r="L36" s="55"/>
      <c r="M36" s="55"/>
      <c r="N36" s="50"/>
      <c r="O36" s="50"/>
      <c r="P36" s="50"/>
      <c r="Q36" s="50"/>
      <c r="R36" s="50"/>
      <c r="S36" s="50"/>
      <c r="T36" s="50"/>
      <c r="U36" s="50"/>
      <c r="V36" s="50">
        <f t="shared" si="2"/>
        <v>0</v>
      </c>
      <c r="W36" s="61">
        <f t="shared" si="3"/>
        <v>0</v>
      </c>
    </row>
    <row r="37" spans="1:24" s="3" customFormat="1" ht="16.5" customHeight="1" x14ac:dyDescent="0.2">
      <c r="A37" s="86" t="s">
        <v>30</v>
      </c>
      <c r="B37" s="87"/>
      <c r="C37" s="91" t="s">
        <v>53</v>
      </c>
      <c r="D37" s="92"/>
      <c r="E37" s="92"/>
      <c r="F37" s="92"/>
      <c r="G37" s="93"/>
      <c r="H37" s="1" t="s">
        <v>5</v>
      </c>
      <c r="I37" s="38"/>
      <c r="J37" s="38"/>
      <c r="K37" s="44"/>
      <c r="L37" s="55"/>
      <c r="M37" s="55"/>
      <c r="N37" s="50"/>
      <c r="O37" s="50"/>
      <c r="P37" s="50"/>
      <c r="Q37" s="50"/>
      <c r="R37" s="50"/>
      <c r="S37" s="50"/>
      <c r="T37" s="50"/>
      <c r="U37" s="50"/>
      <c r="V37" s="50">
        <f t="shared" si="2"/>
        <v>0</v>
      </c>
      <c r="W37" s="61">
        <f t="shared" si="3"/>
        <v>0</v>
      </c>
    </row>
    <row r="38" spans="1:24" s="3" customFormat="1" ht="8.1" customHeight="1" x14ac:dyDescent="0.2">
      <c r="A38" s="86" t="s">
        <v>31</v>
      </c>
      <c r="B38" s="87"/>
      <c r="C38" s="88" t="s">
        <v>54</v>
      </c>
      <c r="D38" s="89"/>
      <c r="E38" s="89"/>
      <c r="F38" s="89"/>
      <c r="G38" s="90"/>
      <c r="H38" s="1" t="s">
        <v>5</v>
      </c>
      <c r="I38" s="38"/>
      <c r="J38" s="38"/>
      <c r="K38" s="44"/>
      <c r="L38" s="55"/>
      <c r="M38" s="55"/>
      <c r="N38" s="50"/>
      <c r="O38" s="50"/>
      <c r="P38" s="50"/>
      <c r="Q38" s="50"/>
      <c r="R38" s="50"/>
      <c r="S38" s="50"/>
      <c r="T38" s="50"/>
      <c r="U38" s="50"/>
      <c r="V38" s="50">
        <f t="shared" si="2"/>
        <v>0</v>
      </c>
      <c r="W38" s="61">
        <f t="shared" si="3"/>
        <v>0</v>
      </c>
    </row>
    <row r="39" spans="1:24" s="3" customFormat="1" ht="8.1" customHeight="1" x14ac:dyDescent="0.2">
      <c r="A39" s="86" t="s">
        <v>32</v>
      </c>
      <c r="B39" s="87"/>
      <c r="C39" s="88" t="s">
        <v>76</v>
      </c>
      <c r="D39" s="89"/>
      <c r="E39" s="89"/>
      <c r="F39" s="89"/>
      <c r="G39" s="90"/>
      <c r="H39" s="1" t="s">
        <v>5</v>
      </c>
      <c r="I39" s="38">
        <v>236.88</v>
      </c>
      <c r="J39" s="38">
        <v>261.91000000000003</v>
      </c>
      <c r="K39" s="44">
        <f>'[1]9.1. Смета затрат'!$F$731/1000*0+285.19</f>
        <v>285.19</v>
      </c>
      <c r="L39" s="55">
        <f>L33-L41-L42</f>
        <v>289.83999999999986</v>
      </c>
      <c r="M39" s="55">
        <f>'[2]9.1. Смета затрат'!$H$731/1000</f>
        <v>296.79884098000002</v>
      </c>
      <c r="N39" s="50">
        <f t="shared" ref="N39:V39" si="5">N33-N41-N42</f>
        <v>310</v>
      </c>
      <c r="O39" s="50">
        <f t="shared" si="5"/>
        <v>331.90999999999997</v>
      </c>
      <c r="P39" s="50">
        <f t="shared" si="5"/>
        <v>344.84999999999991</v>
      </c>
      <c r="Q39" s="50">
        <f t="shared" si="5"/>
        <v>363.5</v>
      </c>
      <c r="R39" s="50">
        <f t="shared" si="5"/>
        <v>357.26</v>
      </c>
      <c r="S39" s="50">
        <f t="shared" si="5"/>
        <v>371.86000000000013</v>
      </c>
      <c r="T39" s="50">
        <f t="shared" si="5"/>
        <v>412.85</v>
      </c>
      <c r="U39" s="50">
        <f t="shared" si="5"/>
        <v>391.28</v>
      </c>
      <c r="V39" s="50">
        <f t="shared" si="5"/>
        <v>1714.7999999999997</v>
      </c>
      <c r="W39" s="61">
        <f t="shared" si="3"/>
        <v>1755.34884098</v>
      </c>
    </row>
    <row r="40" spans="1:24" s="3" customFormat="1" ht="8.1" customHeight="1" x14ac:dyDescent="0.2">
      <c r="A40" s="86" t="s">
        <v>33</v>
      </c>
      <c r="B40" s="87"/>
      <c r="C40" s="88" t="s">
        <v>77</v>
      </c>
      <c r="D40" s="89"/>
      <c r="E40" s="89"/>
      <c r="F40" s="89"/>
      <c r="G40" s="90"/>
      <c r="H40" s="1" t="s">
        <v>5</v>
      </c>
      <c r="I40" s="38"/>
      <c r="J40" s="38"/>
      <c r="K40" s="44"/>
      <c r="L40" s="55"/>
      <c r="M40" s="55"/>
      <c r="N40" s="50"/>
      <c r="O40" s="50"/>
      <c r="P40" s="50"/>
      <c r="Q40" s="50"/>
      <c r="R40" s="50"/>
      <c r="S40" s="50"/>
      <c r="T40" s="50"/>
      <c r="U40" s="50"/>
      <c r="V40" s="50">
        <f t="shared" si="2"/>
        <v>0</v>
      </c>
      <c r="W40" s="61">
        <f t="shared" si="3"/>
        <v>0</v>
      </c>
    </row>
    <row r="41" spans="1:24" s="3" customFormat="1" ht="8.1" customHeight="1" x14ac:dyDescent="0.2">
      <c r="A41" s="86" t="s">
        <v>34</v>
      </c>
      <c r="B41" s="87"/>
      <c r="C41" s="88" t="s">
        <v>78</v>
      </c>
      <c r="D41" s="89"/>
      <c r="E41" s="89"/>
      <c r="F41" s="89"/>
      <c r="G41" s="90"/>
      <c r="H41" s="1" t="s">
        <v>5</v>
      </c>
      <c r="I41" s="38">
        <v>0.67</v>
      </c>
      <c r="J41" s="38">
        <v>1.26</v>
      </c>
      <c r="K41" s="44">
        <f>'[2]9.1. Смета затрат'!$F$1419/1000</f>
        <v>1.4491923899999999</v>
      </c>
      <c r="L41" s="55">
        <v>1.32</v>
      </c>
      <c r="M41" s="55">
        <f>'[2]9.1. Смета затрат'!$H$1419/1000</f>
        <v>1.0615682199999998</v>
      </c>
      <c r="N41" s="50">
        <v>1.37</v>
      </c>
      <c r="O41" s="50">
        <v>1.57</v>
      </c>
      <c r="P41" s="50">
        <v>1.43</v>
      </c>
      <c r="Q41" s="50">
        <v>1.6</v>
      </c>
      <c r="R41" s="50">
        <v>1.49</v>
      </c>
      <c r="S41" s="50">
        <v>1.65</v>
      </c>
      <c r="T41" s="50">
        <v>1.56</v>
      </c>
      <c r="U41" s="50">
        <v>1.7</v>
      </c>
      <c r="V41" s="50">
        <f t="shared" si="2"/>
        <v>7.17</v>
      </c>
      <c r="W41" s="61">
        <f t="shared" si="3"/>
        <v>7.5815682200000003</v>
      </c>
    </row>
    <row r="42" spans="1:24" s="3" customFormat="1" ht="8.1" customHeight="1" x14ac:dyDescent="0.2">
      <c r="A42" s="86" t="s">
        <v>35</v>
      </c>
      <c r="B42" s="87"/>
      <c r="C42" s="88" t="s">
        <v>79</v>
      </c>
      <c r="D42" s="89"/>
      <c r="E42" s="89"/>
      <c r="F42" s="89"/>
      <c r="G42" s="90"/>
      <c r="H42" s="1" t="s">
        <v>5</v>
      </c>
      <c r="I42" s="38">
        <v>334.46</v>
      </c>
      <c r="J42" s="38">
        <v>354.63</v>
      </c>
      <c r="K42" s="44">
        <f>'[2]9.1. Смета затрат'!$F$2099/1000</f>
        <v>383.50392832</v>
      </c>
      <c r="L42" s="55">
        <v>374.33</v>
      </c>
      <c r="M42" s="55">
        <f>'[2]9.1. Смета затрат'!$H$2099/1000</f>
        <v>392.49700451000001</v>
      </c>
      <c r="N42" s="50">
        <v>393.9</v>
      </c>
      <c r="O42" s="50">
        <v>393.9</v>
      </c>
      <c r="P42" s="50">
        <v>414.87</v>
      </c>
      <c r="Q42" s="50">
        <v>414.87</v>
      </c>
      <c r="R42" s="50">
        <v>437.38</v>
      </c>
      <c r="S42" s="50">
        <v>437.38</v>
      </c>
      <c r="T42" s="50">
        <v>461.12</v>
      </c>
      <c r="U42" s="50">
        <v>461.12</v>
      </c>
      <c r="V42" s="50">
        <f t="shared" si="2"/>
        <v>2081.6</v>
      </c>
      <c r="W42" s="61">
        <f t="shared" si="3"/>
        <v>2099.7670045099999</v>
      </c>
    </row>
    <row r="43" spans="1:24" s="3" customFormat="1" ht="8.1" customHeight="1" x14ac:dyDescent="0.2">
      <c r="A43" s="86" t="s">
        <v>36</v>
      </c>
      <c r="B43" s="87"/>
      <c r="C43" s="88" t="s">
        <v>80</v>
      </c>
      <c r="D43" s="89"/>
      <c r="E43" s="89"/>
      <c r="F43" s="89"/>
      <c r="G43" s="90"/>
      <c r="H43" s="1" t="s">
        <v>5</v>
      </c>
      <c r="I43" s="38"/>
      <c r="J43" s="38"/>
      <c r="K43" s="44"/>
      <c r="L43" s="55"/>
      <c r="M43" s="55"/>
      <c r="N43" s="50"/>
      <c r="O43" s="50"/>
      <c r="P43" s="50"/>
      <c r="Q43" s="50"/>
      <c r="R43" s="50"/>
      <c r="S43" s="50"/>
      <c r="T43" s="50"/>
      <c r="U43" s="50"/>
      <c r="V43" s="50">
        <f t="shared" si="2"/>
        <v>0</v>
      </c>
      <c r="W43" s="61">
        <f t="shared" si="3"/>
        <v>0</v>
      </c>
    </row>
    <row r="44" spans="1:24" s="3" customFormat="1" ht="16.5" customHeight="1" x14ac:dyDescent="0.2">
      <c r="A44" s="86" t="s">
        <v>37</v>
      </c>
      <c r="B44" s="87"/>
      <c r="C44" s="88" t="s">
        <v>81</v>
      </c>
      <c r="D44" s="89"/>
      <c r="E44" s="89"/>
      <c r="F44" s="89"/>
      <c r="G44" s="90"/>
      <c r="H44" s="1" t="s">
        <v>5</v>
      </c>
      <c r="I44" s="38"/>
      <c r="J44" s="38"/>
      <c r="K44" s="44"/>
      <c r="L44" s="55"/>
      <c r="M44" s="55"/>
      <c r="N44" s="50"/>
      <c r="O44" s="50"/>
      <c r="P44" s="50"/>
      <c r="Q44" s="50"/>
      <c r="R44" s="50"/>
      <c r="S44" s="50"/>
      <c r="T44" s="50"/>
      <c r="U44" s="50"/>
      <c r="V44" s="50">
        <f t="shared" si="2"/>
        <v>0</v>
      </c>
      <c r="W44" s="61">
        <f t="shared" si="3"/>
        <v>0</v>
      </c>
    </row>
    <row r="45" spans="1:24" s="3" customFormat="1" ht="8.1" customHeight="1" x14ac:dyDescent="0.2">
      <c r="A45" s="86" t="s">
        <v>38</v>
      </c>
      <c r="B45" s="87"/>
      <c r="C45" s="91" t="s">
        <v>82</v>
      </c>
      <c r="D45" s="92"/>
      <c r="E45" s="92"/>
      <c r="F45" s="92"/>
      <c r="G45" s="93"/>
      <c r="H45" s="1" t="s">
        <v>5</v>
      </c>
      <c r="I45" s="38"/>
      <c r="J45" s="38"/>
      <c r="K45" s="44"/>
      <c r="L45" s="55"/>
      <c r="M45" s="55"/>
      <c r="N45" s="50"/>
      <c r="O45" s="50"/>
      <c r="P45" s="50"/>
      <c r="Q45" s="50"/>
      <c r="R45" s="50"/>
      <c r="S45" s="50"/>
      <c r="T45" s="50"/>
      <c r="U45" s="50"/>
      <c r="V45" s="50">
        <f t="shared" si="2"/>
        <v>0</v>
      </c>
      <c r="W45" s="61">
        <f t="shared" si="3"/>
        <v>0</v>
      </c>
    </row>
    <row r="46" spans="1:24" s="3" customFormat="1" ht="8.1" customHeight="1" x14ac:dyDescent="0.2">
      <c r="A46" s="86" t="s">
        <v>39</v>
      </c>
      <c r="B46" s="87"/>
      <c r="C46" s="91" t="s">
        <v>83</v>
      </c>
      <c r="D46" s="92"/>
      <c r="E46" s="92"/>
      <c r="F46" s="92"/>
      <c r="G46" s="93"/>
      <c r="H46" s="1" t="s">
        <v>5</v>
      </c>
      <c r="I46" s="38"/>
      <c r="J46" s="38"/>
      <c r="K46" s="44"/>
      <c r="L46" s="55"/>
      <c r="M46" s="55"/>
      <c r="N46" s="50"/>
      <c r="O46" s="50"/>
      <c r="P46" s="50"/>
      <c r="Q46" s="50"/>
      <c r="R46" s="50"/>
      <c r="S46" s="50"/>
      <c r="T46" s="50"/>
      <c r="U46" s="50"/>
      <c r="V46" s="50">
        <f t="shared" si="2"/>
        <v>0</v>
      </c>
      <c r="W46" s="61">
        <f t="shared" si="3"/>
        <v>0</v>
      </c>
    </row>
    <row r="47" spans="1:24" s="3" customFormat="1" ht="8.1" customHeight="1" x14ac:dyDescent="0.2">
      <c r="A47" s="86" t="s">
        <v>40</v>
      </c>
      <c r="B47" s="87"/>
      <c r="C47" s="88" t="s">
        <v>84</v>
      </c>
      <c r="D47" s="89"/>
      <c r="E47" s="89"/>
      <c r="F47" s="89"/>
      <c r="G47" s="90"/>
      <c r="H47" s="1" t="s">
        <v>5</v>
      </c>
      <c r="I47" s="38">
        <v>0.32</v>
      </c>
      <c r="J47" s="38"/>
      <c r="K47" s="44">
        <f>'[2]9.1. Смета затрат'!$F$2787/1000</f>
        <v>0.69184559999999995</v>
      </c>
      <c r="L47" s="55"/>
      <c r="M47" s="55">
        <f>'[2]9.1. Смета затрат'!$H$2787/1000</f>
        <v>0.59727072000000003</v>
      </c>
      <c r="N47" s="50"/>
      <c r="O47" s="50"/>
      <c r="P47" s="50"/>
      <c r="Q47" s="50"/>
      <c r="R47" s="50"/>
      <c r="S47" s="50"/>
      <c r="T47" s="50"/>
      <c r="U47" s="50"/>
      <c r="V47" s="50">
        <f t="shared" si="2"/>
        <v>0</v>
      </c>
      <c r="W47" s="61">
        <f t="shared" si="3"/>
        <v>0.59727072000000003</v>
      </c>
    </row>
    <row r="48" spans="1:24" s="3" customFormat="1" ht="8.1" customHeight="1" x14ac:dyDescent="0.2">
      <c r="A48" s="86" t="s">
        <v>41</v>
      </c>
      <c r="B48" s="87"/>
      <c r="C48" s="88" t="s">
        <v>86</v>
      </c>
      <c r="D48" s="89"/>
      <c r="E48" s="89"/>
      <c r="F48" s="89"/>
      <c r="G48" s="90"/>
      <c r="H48" s="1" t="s">
        <v>5</v>
      </c>
      <c r="I48" s="38">
        <f>I50+I55</f>
        <v>348.84</v>
      </c>
      <c r="J48" s="38">
        <f t="shared" ref="J48:U48" si="6">J50+J55</f>
        <v>373.21</v>
      </c>
      <c r="K48" s="44">
        <f>K50+K56+K55</f>
        <v>424.39670036000007</v>
      </c>
      <c r="L48" s="55">
        <f t="shared" si="6"/>
        <v>427.05999999999995</v>
      </c>
      <c r="M48" s="55">
        <f>M50+M55+M56</f>
        <v>424.35076909000003</v>
      </c>
      <c r="N48" s="50">
        <f t="shared" si="6"/>
        <v>450.19</v>
      </c>
      <c r="O48" s="50">
        <f t="shared" si="6"/>
        <v>439.68</v>
      </c>
      <c r="P48" s="50">
        <f t="shared" si="6"/>
        <v>474.94999999999993</v>
      </c>
      <c r="Q48" s="50">
        <f t="shared" si="6"/>
        <v>462.39</v>
      </c>
      <c r="R48" s="50">
        <f t="shared" si="6"/>
        <v>501.53000000000003</v>
      </c>
      <c r="S48" s="50">
        <f t="shared" si="6"/>
        <v>486.71</v>
      </c>
      <c r="T48" s="50">
        <f t="shared" si="6"/>
        <v>529.57999999999993</v>
      </c>
      <c r="U48" s="50">
        <f t="shared" si="6"/>
        <v>512.32000000000005</v>
      </c>
      <c r="V48" s="50">
        <f t="shared" si="2"/>
        <v>2383.3099999999995</v>
      </c>
      <c r="W48" s="61">
        <f t="shared" si="3"/>
        <v>2325.45076909</v>
      </c>
      <c r="X48" s="45">
        <f>M48+M57+M63+M64+M65+M68+M73+M75</f>
        <v>690.95468442999993</v>
      </c>
    </row>
    <row r="49" spans="1:23" s="3" customFormat="1" ht="8.1" customHeight="1" x14ac:dyDescent="0.2">
      <c r="A49" s="86" t="s">
        <v>27</v>
      </c>
      <c r="B49" s="87"/>
      <c r="C49" s="91" t="s">
        <v>87</v>
      </c>
      <c r="D49" s="92"/>
      <c r="E49" s="92"/>
      <c r="F49" s="92"/>
      <c r="G49" s="93"/>
      <c r="H49" s="1" t="s">
        <v>5</v>
      </c>
      <c r="I49" s="38"/>
      <c r="J49" s="38"/>
      <c r="K49" s="44"/>
      <c r="L49" s="55"/>
      <c r="M49" s="55"/>
      <c r="N49" s="50"/>
      <c r="O49" s="50"/>
      <c r="P49" s="50"/>
      <c r="Q49" s="50"/>
      <c r="R49" s="50"/>
      <c r="S49" s="50"/>
      <c r="T49" s="50"/>
      <c r="U49" s="50"/>
      <c r="V49" s="50">
        <f t="shared" si="2"/>
        <v>0</v>
      </c>
      <c r="W49" s="61">
        <f t="shared" si="3"/>
        <v>0</v>
      </c>
    </row>
    <row r="50" spans="1:23" s="3" customFormat="1" ht="8.1" customHeight="1" x14ac:dyDescent="0.2">
      <c r="A50" s="86" t="s">
        <v>29</v>
      </c>
      <c r="B50" s="87"/>
      <c r="C50" s="91" t="s">
        <v>88</v>
      </c>
      <c r="D50" s="92"/>
      <c r="E50" s="92"/>
      <c r="F50" s="92"/>
      <c r="G50" s="93"/>
      <c r="H50" s="1" t="s">
        <v>5</v>
      </c>
      <c r="I50" s="38">
        <f>I51</f>
        <v>348.33</v>
      </c>
      <c r="J50" s="38">
        <f t="shared" ref="J50:U50" si="7">J51</f>
        <v>368.18</v>
      </c>
      <c r="K50" s="44">
        <f>K51+K54</f>
        <v>413.84670036000006</v>
      </c>
      <c r="L50" s="55">
        <f t="shared" si="7"/>
        <v>421.53</v>
      </c>
      <c r="M50" s="55">
        <f t="shared" si="7"/>
        <v>421.99792635</v>
      </c>
      <c r="N50" s="50">
        <f t="shared" si="7"/>
        <v>444.16</v>
      </c>
      <c r="O50" s="58">
        <f t="shared" si="7"/>
        <v>433.03000000000003</v>
      </c>
      <c r="P50" s="50">
        <f t="shared" si="7"/>
        <v>468.41999999999996</v>
      </c>
      <c r="Q50" s="50">
        <f t="shared" si="7"/>
        <v>455.53999999999996</v>
      </c>
      <c r="R50" s="50">
        <f t="shared" si="7"/>
        <v>494.49</v>
      </c>
      <c r="S50" s="50">
        <f t="shared" si="7"/>
        <v>479.65999999999997</v>
      </c>
      <c r="T50" s="50">
        <f t="shared" si="7"/>
        <v>522.04</v>
      </c>
      <c r="U50" s="50">
        <f t="shared" si="7"/>
        <v>505.06</v>
      </c>
      <c r="V50" s="50">
        <f t="shared" si="2"/>
        <v>2350.6400000000003</v>
      </c>
      <c r="W50" s="61">
        <f t="shared" si="3"/>
        <v>2295.2879263499999</v>
      </c>
    </row>
    <row r="51" spans="1:23" s="3" customFormat="1" ht="8.1" customHeight="1" x14ac:dyDescent="0.2">
      <c r="A51" s="86" t="s">
        <v>42</v>
      </c>
      <c r="B51" s="87"/>
      <c r="C51" s="127" t="s">
        <v>89</v>
      </c>
      <c r="D51" s="128"/>
      <c r="E51" s="128"/>
      <c r="F51" s="128"/>
      <c r="G51" s="129"/>
      <c r="H51" s="1" t="s">
        <v>5</v>
      </c>
      <c r="I51" s="38">
        <f>I53+I52</f>
        <v>348.33</v>
      </c>
      <c r="J51" s="38">
        <f t="shared" ref="J51:U51" si="8">J53+J52</f>
        <v>368.18</v>
      </c>
      <c r="K51" s="44">
        <f>K52+K53</f>
        <v>413.84670036000006</v>
      </c>
      <c r="L51" s="55">
        <f t="shared" si="8"/>
        <v>421.53</v>
      </c>
      <c r="M51" s="55">
        <f t="shared" si="8"/>
        <v>421.99792635</v>
      </c>
      <c r="N51" s="50">
        <f t="shared" si="8"/>
        <v>444.16</v>
      </c>
      <c r="O51" s="58">
        <f t="shared" si="8"/>
        <v>433.03000000000003</v>
      </c>
      <c r="P51" s="50">
        <f t="shared" si="8"/>
        <v>468.41999999999996</v>
      </c>
      <c r="Q51" s="50">
        <f t="shared" si="8"/>
        <v>455.53999999999996</v>
      </c>
      <c r="R51" s="50">
        <f t="shared" si="8"/>
        <v>494.49</v>
      </c>
      <c r="S51" s="50">
        <f t="shared" si="8"/>
        <v>479.65999999999997</v>
      </c>
      <c r="T51" s="50">
        <f t="shared" si="8"/>
        <v>522.04</v>
      </c>
      <c r="U51" s="50">
        <f t="shared" si="8"/>
        <v>505.06</v>
      </c>
      <c r="V51" s="50">
        <f t="shared" si="2"/>
        <v>2350.6400000000003</v>
      </c>
      <c r="W51" s="61">
        <f t="shared" si="3"/>
        <v>2295.2879263499999</v>
      </c>
    </row>
    <row r="52" spans="1:23" s="3" customFormat="1" ht="16.5" customHeight="1" x14ac:dyDescent="0.2">
      <c r="A52" s="86" t="s">
        <v>44</v>
      </c>
      <c r="B52" s="87"/>
      <c r="C52" s="153" t="s">
        <v>90</v>
      </c>
      <c r="D52" s="154"/>
      <c r="E52" s="154"/>
      <c r="F52" s="154"/>
      <c r="G52" s="155"/>
      <c r="H52" s="1" t="s">
        <v>5</v>
      </c>
      <c r="I52" s="38">
        <v>17.12</v>
      </c>
      <c r="J52" s="38">
        <v>16.86</v>
      </c>
      <c r="K52" s="44">
        <f>'[2]9.1. Смета затрат'!$F$16/1000</f>
        <v>35.098664679999999</v>
      </c>
      <c r="L52" s="55">
        <v>51.15</v>
      </c>
      <c r="M52" s="80">
        <f>'[2]9.1. Смета затрат'!$H$228/1000</f>
        <v>33.086680209999997</v>
      </c>
      <c r="N52" s="50">
        <v>54.37</v>
      </c>
      <c r="O52" s="58">
        <f>43.24</f>
        <v>43.24</v>
      </c>
      <c r="P52" s="50">
        <v>57.84</v>
      </c>
      <c r="Q52" s="50">
        <v>44.96</v>
      </c>
      <c r="R52" s="50">
        <v>61.59</v>
      </c>
      <c r="S52" s="50">
        <v>46.76</v>
      </c>
      <c r="T52" s="50">
        <v>65.599999999999994</v>
      </c>
      <c r="U52" s="50">
        <v>48.62</v>
      </c>
      <c r="V52" s="50">
        <f t="shared" si="2"/>
        <v>290.55</v>
      </c>
      <c r="W52" s="61">
        <f t="shared" si="3"/>
        <v>216.66668021000001</v>
      </c>
    </row>
    <row r="53" spans="1:23" s="3" customFormat="1" ht="8.1" customHeight="1" x14ac:dyDescent="0.2">
      <c r="A53" s="86" t="s">
        <v>55</v>
      </c>
      <c r="B53" s="87"/>
      <c r="C53" s="153" t="s">
        <v>91</v>
      </c>
      <c r="D53" s="154"/>
      <c r="E53" s="154"/>
      <c r="F53" s="154"/>
      <c r="G53" s="155"/>
      <c r="H53" s="1" t="s">
        <v>5</v>
      </c>
      <c r="I53" s="38">
        <v>331.21</v>
      </c>
      <c r="J53" s="38">
        <v>351.32</v>
      </c>
      <c r="K53" s="44">
        <f>'[2]9.1. Смета затрат'!$F$15/1000</f>
        <v>378.74803568000004</v>
      </c>
      <c r="L53" s="55">
        <v>370.38</v>
      </c>
      <c r="M53" s="80">
        <f>'[2]9.1. Смета затрат'!$H$227/1000</f>
        <v>388.91124614</v>
      </c>
      <c r="N53" s="50">
        <v>389.79</v>
      </c>
      <c r="O53" s="58">
        <f>389.79</f>
        <v>389.79</v>
      </c>
      <c r="P53" s="50">
        <v>410.58</v>
      </c>
      <c r="Q53" s="50">
        <v>410.58</v>
      </c>
      <c r="R53" s="50">
        <v>432.9</v>
      </c>
      <c r="S53" s="50">
        <v>432.9</v>
      </c>
      <c r="T53" s="50">
        <v>456.44</v>
      </c>
      <c r="U53" s="50">
        <v>456.44</v>
      </c>
      <c r="V53" s="50">
        <f t="shared" si="2"/>
        <v>2060.09</v>
      </c>
      <c r="W53" s="61">
        <f t="shared" si="3"/>
        <v>2078.62124614</v>
      </c>
    </row>
    <row r="54" spans="1:23" s="3" customFormat="1" ht="8.1" customHeight="1" x14ac:dyDescent="0.2">
      <c r="A54" s="86" t="s">
        <v>43</v>
      </c>
      <c r="B54" s="87"/>
      <c r="C54" s="127" t="s">
        <v>92</v>
      </c>
      <c r="D54" s="128"/>
      <c r="E54" s="128"/>
      <c r="F54" s="128"/>
      <c r="G54" s="129"/>
      <c r="H54" s="1" t="s">
        <v>5</v>
      </c>
      <c r="I54" s="38"/>
      <c r="J54" s="38"/>
      <c r="K54" s="44">
        <v>0</v>
      </c>
      <c r="L54" s="55"/>
      <c r="M54" s="55">
        <v>0</v>
      </c>
      <c r="N54" s="50"/>
      <c r="O54" s="58"/>
      <c r="P54" s="50"/>
      <c r="Q54" s="50"/>
      <c r="R54" s="50"/>
      <c r="S54" s="50"/>
      <c r="T54" s="50"/>
      <c r="U54" s="50"/>
      <c r="V54" s="50">
        <f t="shared" si="2"/>
        <v>0</v>
      </c>
      <c r="W54" s="61">
        <f t="shared" si="3"/>
        <v>0</v>
      </c>
    </row>
    <row r="55" spans="1:23" s="3" customFormat="1" ht="8.1" customHeight="1" x14ac:dyDescent="0.2">
      <c r="A55" s="86"/>
      <c r="B55" s="87"/>
      <c r="C55" s="91" t="s">
        <v>93</v>
      </c>
      <c r="D55" s="92"/>
      <c r="E55" s="92"/>
      <c r="F55" s="92"/>
      <c r="G55" s="93"/>
      <c r="H55" s="1" t="s">
        <v>5</v>
      </c>
      <c r="I55" s="38">
        <v>0.51</v>
      </c>
      <c r="J55" s="38">
        <v>5.03</v>
      </c>
      <c r="K55" s="44">
        <f>('[2]9.1. Смета затрат'!$F$13+'[2]9.1. Смета затрат'!$F$21+'[2]9.1. Смета затрат'!$F$23+'[2]9.1. Смета затрат'!$F$24)/1000*0+10.55</f>
        <v>10.55</v>
      </c>
      <c r="L55" s="55">
        <v>5.53</v>
      </c>
      <c r="M55" s="80">
        <f>'[2]9.1. Смета затрат'!$H$225/1000</f>
        <v>0.21232992000000001</v>
      </c>
      <c r="N55" s="50">
        <v>6.03</v>
      </c>
      <c r="O55" s="58">
        <v>6.65</v>
      </c>
      <c r="P55" s="50">
        <v>6.53</v>
      </c>
      <c r="Q55" s="50">
        <v>6.85</v>
      </c>
      <c r="R55" s="50">
        <v>7.04</v>
      </c>
      <c r="S55" s="50">
        <v>7.05</v>
      </c>
      <c r="T55" s="50">
        <v>7.54</v>
      </c>
      <c r="U55" s="50">
        <v>7.26</v>
      </c>
      <c r="V55" s="50">
        <f t="shared" si="2"/>
        <v>32.67</v>
      </c>
      <c r="W55" s="61">
        <f t="shared" si="3"/>
        <v>28.022329919999997</v>
      </c>
    </row>
    <row r="56" spans="1:23" s="3" customFormat="1" ht="8.1" customHeight="1" x14ac:dyDescent="0.2">
      <c r="A56" s="86" t="s">
        <v>56</v>
      </c>
      <c r="B56" s="87"/>
      <c r="C56" s="91" t="s">
        <v>94</v>
      </c>
      <c r="D56" s="92"/>
      <c r="E56" s="92"/>
      <c r="F56" s="92"/>
      <c r="G56" s="93"/>
      <c r="H56" s="1" t="s">
        <v>5</v>
      </c>
      <c r="I56" s="38"/>
      <c r="J56" s="38"/>
      <c r="K56" s="44">
        <v>0</v>
      </c>
      <c r="L56" s="55">
        <v>0</v>
      </c>
      <c r="M56" s="55">
        <f>('[2]9.1. Смета затрат'!$H$233+'[2]9.1. Смета затрат'!$H$235+'[2]9.1. Смета затрат'!$H$236)/1000</f>
        <v>2.1405128200000001</v>
      </c>
      <c r="N56" s="50"/>
      <c r="O56" s="58"/>
      <c r="P56" s="50"/>
      <c r="Q56" s="50"/>
      <c r="R56" s="50"/>
      <c r="S56" s="50"/>
      <c r="T56" s="50"/>
      <c r="U56" s="50"/>
      <c r="V56" s="50">
        <f t="shared" si="2"/>
        <v>0</v>
      </c>
      <c r="W56" s="61">
        <f t="shared" si="3"/>
        <v>2.1405128200000001</v>
      </c>
    </row>
    <row r="57" spans="1:23" s="3" customFormat="1" ht="8.1" customHeight="1" x14ac:dyDescent="0.2">
      <c r="A57" s="86" t="s">
        <v>57</v>
      </c>
      <c r="B57" s="87"/>
      <c r="C57" s="88" t="s">
        <v>95</v>
      </c>
      <c r="D57" s="89"/>
      <c r="E57" s="89"/>
      <c r="F57" s="89"/>
      <c r="G57" s="90"/>
      <c r="H57" s="1" t="s">
        <v>5</v>
      </c>
      <c r="I57" s="38">
        <v>55.76</v>
      </c>
      <c r="J57" s="38">
        <v>50</v>
      </c>
      <c r="K57" s="44">
        <f>SUM(K58:K62)</f>
        <v>62.18</v>
      </c>
      <c r="L57" s="55">
        <v>30</v>
      </c>
      <c r="M57" s="55">
        <f>M59</f>
        <v>28.27393398000001</v>
      </c>
      <c r="N57" s="50">
        <f t="shared" ref="N57:V57" si="9">N59</f>
        <v>35</v>
      </c>
      <c r="O57" s="58">
        <f t="shared" si="9"/>
        <v>43.92</v>
      </c>
      <c r="P57" s="50">
        <f t="shared" si="9"/>
        <v>40</v>
      </c>
      <c r="Q57" s="50">
        <f t="shared" si="9"/>
        <v>45.81</v>
      </c>
      <c r="R57" s="50">
        <f t="shared" si="9"/>
        <v>45</v>
      </c>
      <c r="S57" s="50">
        <f t="shared" si="9"/>
        <v>47.76</v>
      </c>
      <c r="T57" s="50">
        <f t="shared" si="9"/>
        <v>50</v>
      </c>
      <c r="U57" s="50">
        <f t="shared" si="9"/>
        <v>49.76</v>
      </c>
      <c r="V57" s="50">
        <f t="shared" si="9"/>
        <v>200</v>
      </c>
      <c r="W57" s="61">
        <f t="shared" si="3"/>
        <v>215.52393398000001</v>
      </c>
    </row>
    <row r="58" spans="1:23" s="3" customFormat="1" ht="16.5" customHeight="1" x14ac:dyDescent="0.2">
      <c r="A58" s="86" t="s">
        <v>58</v>
      </c>
      <c r="B58" s="87"/>
      <c r="C58" s="91" t="s">
        <v>96</v>
      </c>
      <c r="D58" s="92"/>
      <c r="E58" s="92"/>
      <c r="F58" s="92"/>
      <c r="G58" s="93"/>
      <c r="H58" s="1" t="s">
        <v>5</v>
      </c>
      <c r="I58" s="38"/>
      <c r="J58" s="38"/>
      <c r="K58" s="44">
        <v>0</v>
      </c>
      <c r="L58" s="55"/>
      <c r="M58" s="55">
        <v>0</v>
      </c>
      <c r="N58" s="50"/>
      <c r="O58" s="58"/>
      <c r="P58" s="50"/>
      <c r="Q58" s="50"/>
      <c r="R58" s="50"/>
      <c r="S58" s="50"/>
      <c r="T58" s="50"/>
      <c r="U58" s="50"/>
      <c r="V58" s="50">
        <f t="shared" si="2"/>
        <v>0</v>
      </c>
      <c r="W58" s="61">
        <f t="shared" si="3"/>
        <v>0</v>
      </c>
    </row>
    <row r="59" spans="1:23" s="3" customFormat="1" ht="16.5" customHeight="1" x14ac:dyDescent="0.2">
      <c r="A59" s="86" t="s">
        <v>59</v>
      </c>
      <c r="B59" s="87"/>
      <c r="C59" s="91" t="s">
        <v>97</v>
      </c>
      <c r="D59" s="92"/>
      <c r="E59" s="92"/>
      <c r="F59" s="92"/>
      <c r="G59" s="93"/>
      <c r="H59" s="1" t="s">
        <v>5</v>
      </c>
      <c r="I59" s="38">
        <v>55.76</v>
      </c>
      <c r="J59" s="38">
        <v>50</v>
      </c>
      <c r="K59" s="44">
        <v>62.18</v>
      </c>
      <c r="L59" s="55">
        <v>30</v>
      </c>
      <c r="M59" s="80">
        <f>('[2]9.1. Смета затрат'!$H$243+'[2]9.1. Смета затрат'!$H$306+'[2]9.1. Смета затрат'!$H$319)/1000-M73</f>
        <v>28.27393398000001</v>
      </c>
      <c r="N59" s="50">
        <v>35</v>
      </c>
      <c r="O59" s="58">
        <v>43.92</v>
      </c>
      <c r="P59" s="50">
        <v>40</v>
      </c>
      <c r="Q59" s="50">
        <v>45.81</v>
      </c>
      <c r="R59" s="50">
        <v>45</v>
      </c>
      <c r="S59" s="50">
        <v>47.76</v>
      </c>
      <c r="T59" s="50">
        <v>50</v>
      </c>
      <c r="U59" s="50">
        <v>49.76</v>
      </c>
      <c r="V59" s="50">
        <f t="shared" si="2"/>
        <v>200</v>
      </c>
      <c r="W59" s="61">
        <f t="shared" si="3"/>
        <v>215.52393398000001</v>
      </c>
    </row>
    <row r="60" spans="1:23" s="3" customFormat="1" ht="8.1" customHeight="1" x14ac:dyDescent="0.2">
      <c r="A60" s="86" t="s">
        <v>60</v>
      </c>
      <c r="B60" s="87"/>
      <c r="C60" s="91" t="s">
        <v>98</v>
      </c>
      <c r="D60" s="92"/>
      <c r="E60" s="92"/>
      <c r="F60" s="92"/>
      <c r="G60" s="93"/>
      <c r="H60" s="1" t="s">
        <v>5</v>
      </c>
      <c r="I60" s="38"/>
      <c r="J60" s="38"/>
      <c r="K60" s="44">
        <v>0</v>
      </c>
      <c r="L60" s="55"/>
      <c r="M60" s="55">
        <v>0</v>
      </c>
      <c r="N60" s="50"/>
      <c r="O60" s="58"/>
      <c r="P60" s="50"/>
      <c r="Q60" s="50"/>
      <c r="R60" s="50"/>
      <c r="S60" s="50"/>
      <c r="T60" s="50"/>
      <c r="U60" s="50"/>
      <c r="V60" s="50">
        <f t="shared" si="2"/>
        <v>0</v>
      </c>
      <c r="W60" s="61">
        <f t="shared" si="3"/>
        <v>0</v>
      </c>
    </row>
    <row r="61" spans="1:23" s="3" customFormat="1" ht="8.1" customHeight="1" x14ac:dyDescent="0.2">
      <c r="A61" s="86" t="s">
        <v>61</v>
      </c>
      <c r="B61" s="87"/>
      <c r="C61" s="91" t="s">
        <v>99</v>
      </c>
      <c r="D61" s="92"/>
      <c r="E61" s="92"/>
      <c r="F61" s="92"/>
      <c r="G61" s="93"/>
      <c r="H61" s="1" t="s">
        <v>5</v>
      </c>
      <c r="I61" s="38"/>
      <c r="J61" s="38"/>
      <c r="K61" s="44">
        <v>0</v>
      </c>
      <c r="L61" s="55"/>
      <c r="M61" s="55">
        <v>0</v>
      </c>
      <c r="N61" s="50"/>
      <c r="O61" s="58"/>
      <c r="P61" s="50"/>
      <c r="Q61" s="50"/>
      <c r="R61" s="50"/>
      <c r="S61" s="50"/>
      <c r="T61" s="50"/>
      <c r="U61" s="50"/>
      <c r="V61" s="50">
        <f t="shared" si="2"/>
        <v>0</v>
      </c>
      <c r="W61" s="61">
        <f t="shared" si="3"/>
        <v>0</v>
      </c>
    </row>
    <row r="62" spans="1:23" s="3" customFormat="1" ht="8.1" customHeight="1" x14ac:dyDescent="0.2">
      <c r="A62" s="86" t="s">
        <v>62</v>
      </c>
      <c r="B62" s="87"/>
      <c r="C62" s="91" t="s">
        <v>100</v>
      </c>
      <c r="D62" s="92"/>
      <c r="E62" s="92"/>
      <c r="F62" s="92"/>
      <c r="G62" s="93"/>
      <c r="H62" s="1" t="s">
        <v>5</v>
      </c>
      <c r="I62" s="38"/>
      <c r="J62" s="38"/>
      <c r="K62" s="44">
        <v>0</v>
      </c>
      <c r="L62" s="55"/>
      <c r="M62" s="55">
        <v>0</v>
      </c>
      <c r="N62" s="50"/>
      <c r="O62" s="58"/>
      <c r="P62" s="50"/>
      <c r="Q62" s="50"/>
      <c r="R62" s="50"/>
      <c r="S62" s="50"/>
      <c r="T62" s="50"/>
      <c r="U62" s="50"/>
      <c r="V62" s="50">
        <f t="shared" si="2"/>
        <v>0</v>
      </c>
      <c r="W62" s="61">
        <f t="shared" si="3"/>
        <v>0</v>
      </c>
    </row>
    <row r="63" spans="1:23" s="3" customFormat="1" ht="8.1" customHeight="1" x14ac:dyDescent="0.2">
      <c r="A63" s="86" t="s">
        <v>63</v>
      </c>
      <c r="B63" s="87"/>
      <c r="C63" s="88" t="s">
        <v>101</v>
      </c>
      <c r="D63" s="89"/>
      <c r="E63" s="89"/>
      <c r="F63" s="89"/>
      <c r="G63" s="90"/>
      <c r="H63" s="1" t="s">
        <v>5</v>
      </c>
      <c r="I63" s="38">
        <v>25.11</v>
      </c>
      <c r="J63" s="38">
        <v>35.869999999999997</v>
      </c>
      <c r="K63" s="44">
        <f>'[2]9.1. Смета затрат'!$F$45/1000</f>
        <v>36.638391810000002</v>
      </c>
      <c r="L63" s="55">
        <v>42.19</v>
      </c>
      <c r="M63" s="80">
        <f>('[2]9.1. Смета затрат'!$H$257+'[2]9.1. Смета затрат'!$H$431)/1000</f>
        <v>41.227289090000006</v>
      </c>
      <c r="N63" s="50">
        <v>48.77</v>
      </c>
      <c r="O63" s="58">
        <v>48.77</v>
      </c>
      <c r="P63" s="50">
        <v>52.8</v>
      </c>
      <c r="Q63" s="50">
        <v>52.8</v>
      </c>
      <c r="R63" s="50">
        <v>56.61</v>
      </c>
      <c r="S63" s="50">
        <v>56.61</v>
      </c>
      <c r="T63" s="50">
        <v>59.89</v>
      </c>
      <c r="U63" s="50">
        <v>59.89</v>
      </c>
      <c r="V63" s="50">
        <f t="shared" si="2"/>
        <v>260.26</v>
      </c>
      <c r="W63" s="61">
        <f t="shared" si="3"/>
        <v>259.29728908999999</v>
      </c>
    </row>
    <row r="64" spans="1:23" s="3" customFormat="1" ht="8.1" customHeight="1" x14ac:dyDescent="0.2">
      <c r="A64" s="86" t="s">
        <v>64</v>
      </c>
      <c r="B64" s="87"/>
      <c r="C64" s="88" t="s">
        <v>102</v>
      </c>
      <c r="D64" s="89"/>
      <c r="E64" s="89"/>
      <c r="F64" s="89"/>
      <c r="G64" s="90"/>
      <c r="H64" s="1" t="s">
        <v>5</v>
      </c>
      <c r="I64" s="38">
        <v>94.27</v>
      </c>
      <c r="J64" s="38">
        <v>114.76</v>
      </c>
      <c r="K64" s="44">
        <f>'[2]9.1. Смета затрат'!$F$42/1000</f>
        <v>98.615267779999996</v>
      </c>
      <c r="L64" s="55">
        <v>120.84</v>
      </c>
      <c r="M64" s="80">
        <f>('[2]9.1. Смета затрат'!$H$254+'[2]9.1. Смета затрат'!$H$428)/1000</f>
        <v>132.02147185999999</v>
      </c>
      <c r="N64" s="50">
        <v>124.85</v>
      </c>
      <c r="O64" s="58">
        <v>133.38</v>
      </c>
      <c r="P64" s="50">
        <v>146.01</v>
      </c>
      <c r="Q64" s="50">
        <v>154</v>
      </c>
      <c r="R64" s="50">
        <v>146.19999999999999</v>
      </c>
      <c r="S64" s="50">
        <v>154</v>
      </c>
      <c r="T64" s="50">
        <v>159.22999999999999</v>
      </c>
      <c r="U64" s="50">
        <v>167</v>
      </c>
      <c r="V64" s="50">
        <f t="shared" si="2"/>
        <v>697.13</v>
      </c>
      <c r="W64" s="61">
        <f t="shared" si="3"/>
        <v>740.40147186000002</v>
      </c>
    </row>
    <row r="65" spans="1:23" s="3" customFormat="1" ht="8.1" customHeight="1" x14ac:dyDescent="0.2">
      <c r="A65" s="86" t="s">
        <v>65</v>
      </c>
      <c r="B65" s="87"/>
      <c r="C65" s="88" t="s">
        <v>103</v>
      </c>
      <c r="D65" s="89"/>
      <c r="E65" s="89"/>
      <c r="F65" s="89"/>
      <c r="G65" s="90"/>
      <c r="H65" s="1" t="s">
        <v>5</v>
      </c>
      <c r="I65" s="38">
        <f>I67+I66</f>
        <v>13.03</v>
      </c>
      <c r="J65" s="38">
        <f t="shared" ref="J65:U65" si="10">J67+J66</f>
        <v>11.85</v>
      </c>
      <c r="K65" s="44">
        <f>K66+K67</f>
        <v>10.84</v>
      </c>
      <c r="L65" s="55">
        <f t="shared" si="10"/>
        <v>11.120000000000001</v>
      </c>
      <c r="M65" s="80">
        <f t="shared" si="10"/>
        <v>8.5962019999999999</v>
      </c>
      <c r="N65" s="50">
        <f t="shared" si="10"/>
        <v>11.05</v>
      </c>
      <c r="O65" s="58">
        <f t="shared" si="10"/>
        <v>16.22</v>
      </c>
      <c r="P65" s="50">
        <f t="shared" si="10"/>
        <v>11.64</v>
      </c>
      <c r="Q65" s="50">
        <f t="shared" si="10"/>
        <v>19.22</v>
      </c>
      <c r="R65" s="50">
        <v>10.199999999999999</v>
      </c>
      <c r="S65" s="50">
        <f t="shared" si="10"/>
        <v>19.22</v>
      </c>
      <c r="T65" s="50">
        <f t="shared" si="10"/>
        <v>11.94</v>
      </c>
      <c r="U65" s="50">
        <f t="shared" si="10"/>
        <v>18.22</v>
      </c>
      <c r="V65" s="50">
        <f t="shared" si="2"/>
        <v>55.95</v>
      </c>
      <c r="W65" s="61">
        <f t="shared" si="3"/>
        <v>81.476202000000001</v>
      </c>
    </row>
    <row r="66" spans="1:23" s="3" customFormat="1" ht="8.1" customHeight="1" x14ac:dyDescent="0.2">
      <c r="A66" s="86" t="s">
        <v>66</v>
      </c>
      <c r="B66" s="87"/>
      <c r="C66" s="91" t="s">
        <v>104</v>
      </c>
      <c r="D66" s="92"/>
      <c r="E66" s="92"/>
      <c r="F66" s="92"/>
      <c r="G66" s="93"/>
      <c r="H66" s="1" t="s">
        <v>5</v>
      </c>
      <c r="I66" s="38">
        <v>12.87</v>
      </c>
      <c r="J66" s="38">
        <v>11.69</v>
      </c>
      <c r="K66" s="44">
        <f>'[2]9.1. Смета затрат'!$F$73/1000*0+10.68</f>
        <v>10.68</v>
      </c>
      <c r="L66" s="55">
        <v>10.96</v>
      </c>
      <c r="M66" s="80">
        <f>'[2]9.1. Смета затрат'!$H$285/1000</f>
        <v>8.5962019999999999</v>
      </c>
      <c r="N66" s="50">
        <v>10.89</v>
      </c>
      <c r="O66" s="58">
        <v>16</v>
      </c>
      <c r="P66" s="50">
        <v>11.48</v>
      </c>
      <c r="Q66" s="50">
        <v>19</v>
      </c>
      <c r="R66" s="50">
        <v>10.039999999999999</v>
      </c>
      <c r="S66" s="50">
        <v>19</v>
      </c>
      <c r="T66" s="50">
        <v>11.78</v>
      </c>
      <c r="U66" s="50">
        <v>18</v>
      </c>
      <c r="V66" s="50">
        <f t="shared" si="2"/>
        <v>55.15</v>
      </c>
      <c r="W66" s="61">
        <f t="shared" si="3"/>
        <v>80.596202000000005</v>
      </c>
    </row>
    <row r="67" spans="1:23" s="3" customFormat="1" ht="8.1" customHeight="1" x14ac:dyDescent="0.2">
      <c r="A67" s="86" t="s">
        <v>67</v>
      </c>
      <c r="B67" s="87"/>
      <c r="C67" s="91" t="s">
        <v>105</v>
      </c>
      <c r="D67" s="92"/>
      <c r="E67" s="92"/>
      <c r="F67" s="92"/>
      <c r="G67" s="93"/>
      <c r="H67" s="1" t="s">
        <v>5</v>
      </c>
      <c r="I67" s="38">
        <v>0.16</v>
      </c>
      <c r="J67" s="38">
        <v>0.16</v>
      </c>
      <c r="K67" s="44">
        <v>0.16</v>
      </c>
      <c r="L67" s="55">
        <v>0.16</v>
      </c>
      <c r="M67" s="80">
        <v>0</v>
      </c>
      <c r="N67" s="50">
        <v>0.16</v>
      </c>
      <c r="O67" s="58">
        <v>0.22</v>
      </c>
      <c r="P67" s="50">
        <v>0.16</v>
      </c>
      <c r="Q67" s="50">
        <v>0.22</v>
      </c>
      <c r="R67" s="50">
        <v>0.16</v>
      </c>
      <c r="S67" s="50">
        <v>0.22</v>
      </c>
      <c r="T67" s="50">
        <v>0.16</v>
      </c>
      <c r="U67" s="50">
        <v>0.22</v>
      </c>
      <c r="V67" s="50">
        <f t="shared" si="2"/>
        <v>0.8</v>
      </c>
      <c r="W67" s="61">
        <f t="shared" si="3"/>
        <v>0.88</v>
      </c>
    </row>
    <row r="68" spans="1:23" s="3" customFormat="1" ht="8.1" customHeight="1" x14ac:dyDescent="0.2">
      <c r="A68" s="86" t="s">
        <v>68</v>
      </c>
      <c r="B68" s="87"/>
      <c r="C68" s="88" t="s">
        <v>106</v>
      </c>
      <c r="D68" s="89"/>
      <c r="E68" s="89"/>
      <c r="F68" s="89"/>
      <c r="G68" s="90"/>
      <c r="H68" s="1" t="s">
        <v>5</v>
      </c>
      <c r="I68" s="38">
        <f>I70+I71</f>
        <v>0</v>
      </c>
      <c r="J68" s="38">
        <f t="shared" ref="J68:U68" si="11">J70+J71</f>
        <v>3.64</v>
      </c>
      <c r="K68" s="44">
        <f>SUM(K69:K71)</f>
        <v>13.169538169999999</v>
      </c>
      <c r="L68" s="55">
        <f t="shared" si="11"/>
        <v>4.5999999999999996</v>
      </c>
      <c r="M68" s="55">
        <f t="shared" si="11"/>
        <v>6.7758337100000015</v>
      </c>
      <c r="N68" s="50">
        <f t="shared" si="11"/>
        <v>4.9000000000000004</v>
      </c>
      <c r="O68" s="58">
        <f t="shared" si="11"/>
        <v>14.9</v>
      </c>
      <c r="P68" s="50">
        <f t="shared" si="11"/>
        <v>5</v>
      </c>
      <c r="Q68" s="50">
        <f t="shared" si="11"/>
        <v>15</v>
      </c>
      <c r="R68" s="50">
        <f t="shared" si="11"/>
        <v>5.2</v>
      </c>
      <c r="S68" s="50">
        <f t="shared" si="11"/>
        <v>15.2</v>
      </c>
      <c r="T68" s="50">
        <f t="shared" si="11"/>
        <v>5.3</v>
      </c>
      <c r="U68" s="50">
        <f t="shared" si="11"/>
        <v>15.3</v>
      </c>
      <c r="V68" s="50">
        <f t="shared" si="2"/>
        <v>25</v>
      </c>
      <c r="W68" s="61">
        <f t="shared" si="3"/>
        <v>67.175833710000006</v>
      </c>
    </row>
    <row r="69" spans="1:23" s="3" customFormat="1" ht="8.1" customHeight="1" x14ac:dyDescent="0.2">
      <c r="A69" s="86" t="s">
        <v>69</v>
      </c>
      <c r="B69" s="87"/>
      <c r="C69" s="91" t="s">
        <v>107</v>
      </c>
      <c r="D69" s="92"/>
      <c r="E69" s="92"/>
      <c r="F69" s="92"/>
      <c r="G69" s="93"/>
      <c r="H69" s="1" t="s">
        <v>5</v>
      </c>
      <c r="I69" s="38"/>
      <c r="J69" s="38"/>
      <c r="K69" s="44">
        <v>0</v>
      </c>
      <c r="L69" s="55"/>
      <c r="M69" s="55">
        <v>0</v>
      </c>
      <c r="N69" s="50"/>
      <c r="O69" s="58"/>
      <c r="P69" s="50"/>
      <c r="Q69" s="50"/>
      <c r="R69" s="50"/>
      <c r="S69" s="50"/>
      <c r="T69" s="50"/>
      <c r="U69" s="50"/>
      <c r="V69" s="50">
        <f t="shared" si="2"/>
        <v>0</v>
      </c>
      <c r="W69" s="61">
        <f t="shared" si="3"/>
        <v>0</v>
      </c>
    </row>
    <row r="70" spans="1:23" s="3" customFormat="1" ht="8.1" customHeight="1" x14ac:dyDescent="0.2">
      <c r="A70" s="86" t="s">
        <v>70</v>
      </c>
      <c r="B70" s="87"/>
      <c r="C70" s="91" t="s">
        <v>108</v>
      </c>
      <c r="D70" s="92"/>
      <c r="E70" s="92"/>
      <c r="F70" s="92"/>
      <c r="G70" s="93"/>
      <c r="H70" s="1" t="s">
        <v>5</v>
      </c>
      <c r="I70" s="38"/>
      <c r="J70" s="38"/>
      <c r="K70" s="44">
        <f>'[2]9.1. Смета затрат'!$F$84/1000-0.01</f>
        <v>9.2545381699999982</v>
      </c>
      <c r="L70" s="55"/>
      <c r="M70" s="80">
        <f>'[2]9.1. Смета затрат'!$H$296/1000</f>
        <v>6.1776395500000012</v>
      </c>
      <c r="N70" s="50"/>
      <c r="O70" s="58">
        <f>10</f>
        <v>10</v>
      </c>
      <c r="P70" s="50"/>
      <c r="Q70" s="50">
        <v>10</v>
      </c>
      <c r="R70" s="50"/>
      <c r="S70" s="50">
        <v>10</v>
      </c>
      <c r="T70" s="50"/>
      <c r="U70" s="50">
        <v>10</v>
      </c>
      <c r="V70" s="50">
        <f t="shared" si="2"/>
        <v>0</v>
      </c>
      <c r="W70" s="61">
        <f t="shared" si="3"/>
        <v>46.177639550000002</v>
      </c>
    </row>
    <row r="71" spans="1:23" s="3" customFormat="1" ht="9" thickBot="1" x14ac:dyDescent="0.25">
      <c r="A71" s="117" t="s">
        <v>71</v>
      </c>
      <c r="B71" s="118"/>
      <c r="C71" s="130" t="s">
        <v>109</v>
      </c>
      <c r="D71" s="131"/>
      <c r="E71" s="131"/>
      <c r="F71" s="131"/>
      <c r="G71" s="132"/>
      <c r="H71" s="22" t="s">
        <v>5</v>
      </c>
      <c r="I71" s="40"/>
      <c r="J71" s="40">
        <v>3.64</v>
      </c>
      <c r="K71" s="81">
        <f>3.92-0.005</f>
        <v>3.915</v>
      </c>
      <c r="L71" s="56">
        <v>4.5999999999999996</v>
      </c>
      <c r="M71" s="82">
        <f>'[2]9.1. Смета затрат'!$H$373/1000</f>
        <v>0.59819416000000014</v>
      </c>
      <c r="N71" s="51">
        <v>4.9000000000000004</v>
      </c>
      <c r="O71" s="59">
        <f>4.9</f>
        <v>4.9000000000000004</v>
      </c>
      <c r="P71" s="51">
        <v>5</v>
      </c>
      <c r="Q71" s="51">
        <v>5</v>
      </c>
      <c r="R71" s="51">
        <v>5.2</v>
      </c>
      <c r="S71" s="51">
        <v>5.2</v>
      </c>
      <c r="T71" s="51">
        <v>5.3</v>
      </c>
      <c r="U71" s="51">
        <v>5.3</v>
      </c>
      <c r="V71" s="51">
        <f t="shared" si="2"/>
        <v>25</v>
      </c>
      <c r="W71" s="68">
        <f>M71+O71+Q71+S71+U71</f>
        <v>20.998194160000001</v>
      </c>
    </row>
    <row r="72" spans="1:23" s="3" customFormat="1" ht="9.75" customHeight="1" x14ac:dyDescent="0.2">
      <c r="A72" s="186" t="s">
        <v>72</v>
      </c>
      <c r="B72" s="187"/>
      <c r="C72" s="183" t="s">
        <v>110</v>
      </c>
      <c r="D72" s="184"/>
      <c r="E72" s="184"/>
      <c r="F72" s="184"/>
      <c r="G72" s="185"/>
      <c r="H72" s="21" t="s">
        <v>5</v>
      </c>
      <c r="I72" s="39">
        <f>I73+I74+I75</f>
        <v>35.32</v>
      </c>
      <c r="J72" s="39">
        <f t="shared" ref="J72:U72" si="12">J73+J74+J75</f>
        <v>28.939999999999998</v>
      </c>
      <c r="K72" s="83">
        <f>SUM(K73:K75)</f>
        <v>31.22</v>
      </c>
      <c r="L72" s="54">
        <f t="shared" si="12"/>
        <v>29.68</v>
      </c>
      <c r="M72" s="54">
        <f t="shared" si="12"/>
        <v>49.709184700000002</v>
      </c>
      <c r="N72" s="49">
        <f t="shared" si="12"/>
        <v>30.509999999999998</v>
      </c>
      <c r="O72" s="49">
        <f t="shared" si="12"/>
        <v>30.509999999999998</v>
      </c>
      <c r="P72" s="49">
        <f t="shared" si="12"/>
        <v>30.75</v>
      </c>
      <c r="Q72" s="49">
        <f t="shared" si="12"/>
        <v>30.75</v>
      </c>
      <c r="R72" s="49">
        <f t="shared" si="12"/>
        <v>31.39</v>
      </c>
      <c r="S72" s="49">
        <f t="shared" si="12"/>
        <v>31.39</v>
      </c>
      <c r="T72" s="49">
        <f t="shared" si="12"/>
        <v>31.61</v>
      </c>
      <c r="U72" s="49">
        <f t="shared" si="12"/>
        <v>31.61</v>
      </c>
      <c r="V72" s="49">
        <f t="shared" si="2"/>
        <v>153.94</v>
      </c>
      <c r="W72" s="67">
        <f t="shared" ref="W72:W135" si="13">M72+O72+Q72+S72+U72</f>
        <v>173.96918470000003</v>
      </c>
    </row>
    <row r="73" spans="1:23" s="3" customFormat="1" ht="8.1" customHeight="1" x14ac:dyDescent="0.2">
      <c r="A73" s="86" t="s">
        <v>73</v>
      </c>
      <c r="B73" s="87"/>
      <c r="C73" s="91" t="s">
        <v>111</v>
      </c>
      <c r="D73" s="92"/>
      <c r="E73" s="92"/>
      <c r="F73" s="92"/>
      <c r="G73" s="93"/>
      <c r="H73" s="1" t="s">
        <v>5</v>
      </c>
      <c r="I73" s="38">
        <v>27.99</v>
      </c>
      <c r="J73" s="38">
        <v>20</v>
      </c>
      <c r="K73" s="44">
        <v>26.2</v>
      </c>
      <c r="L73" s="55">
        <v>20</v>
      </c>
      <c r="M73" s="55">
        <f>(36671682.94+8836)/1000000</f>
        <v>36.680518939999999</v>
      </c>
      <c r="N73" s="50">
        <v>20</v>
      </c>
      <c r="O73" s="50">
        <v>20</v>
      </c>
      <c r="P73" s="50">
        <v>20</v>
      </c>
      <c r="Q73" s="50">
        <v>20</v>
      </c>
      <c r="R73" s="50">
        <v>20</v>
      </c>
      <c r="S73" s="50">
        <v>20</v>
      </c>
      <c r="T73" s="50">
        <v>20</v>
      </c>
      <c r="U73" s="50">
        <v>20</v>
      </c>
      <c r="V73" s="50">
        <f t="shared" si="2"/>
        <v>100</v>
      </c>
      <c r="W73" s="61">
        <f t="shared" si="13"/>
        <v>116.68051894</v>
      </c>
    </row>
    <row r="74" spans="1:23" s="3" customFormat="1" ht="8.1" customHeight="1" x14ac:dyDescent="0.2">
      <c r="A74" s="86" t="s">
        <v>74</v>
      </c>
      <c r="B74" s="87"/>
      <c r="C74" s="91" t="s">
        <v>112</v>
      </c>
      <c r="D74" s="92"/>
      <c r="E74" s="92"/>
      <c r="F74" s="92"/>
      <c r="G74" s="93"/>
      <c r="H74" s="1" t="s">
        <v>5</v>
      </c>
      <c r="I74" s="38">
        <v>0.42</v>
      </c>
      <c r="J74" s="38"/>
      <c r="K74" s="44"/>
      <c r="L74" s="55"/>
      <c r="M74" s="55"/>
      <c r="N74" s="50"/>
      <c r="O74" s="50"/>
      <c r="P74" s="50"/>
      <c r="Q74" s="50"/>
      <c r="R74" s="50"/>
      <c r="S74" s="50"/>
      <c r="T74" s="50"/>
      <c r="U74" s="50"/>
      <c r="V74" s="50">
        <f t="shared" si="2"/>
        <v>0</v>
      </c>
      <c r="W74" s="61">
        <f t="shared" si="13"/>
        <v>0</v>
      </c>
    </row>
    <row r="75" spans="1:23" s="3" customFormat="1" ht="9" thickBot="1" x14ac:dyDescent="0.25">
      <c r="A75" s="117" t="s">
        <v>75</v>
      </c>
      <c r="B75" s="118"/>
      <c r="C75" s="130" t="s">
        <v>113</v>
      </c>
      <c r="D75" s="131"/>
      <c r="E75" s="131"/>
      <c r="F75" s="131"/>
      <c r="G75" s="132"/>
      <c r="H75" s="24" t="s">
        <v>5</v>
      </c>
      <c r="I75" s="41">
        <v>6.91</v>
      </c>
      <c r="J75" s="41">
        <v>8.94</v>
      </c>
      <c r="K75" s="84">
        <v>5.0199999999999996</v>
      </c>
      <c r="L75" s="57">
        <v>9.68</v>
      </c>
      <c r="M75" s="57">
        <f>('[2]9.1. Смета затрат'!$H$397-'[2]9.1. Смета затрат'!$H$431-'[2]9.1. Смета затрат'!$H$428)/1000</f>
        <v>13.028665760000001</v>
      </c>
      <c r="N75" s="52">
        <v>10.51</v>
      </c>
      <c r="O75" s="52">
        <v>10.51</v>
      </c>
      <c r="P75" s="52">
        <v>10.75</v>
      </c>
      <c r="Q75" s="52">
        <v>10.75</v>
      </c>
      <c r="R75" s="52">
        <v>11.39</v>
      </c>
      <c r="S75" s="52">
        <v>11.39</v>
      </c>
      <c r="T75" s="52">
        <v>11.61</v>
      </c>
      <c r="U75" s="52">
        <v>11.61</v>
      </c>
      <c r="V75" s="52">
        <f t="shared" si="2"/>
        <v>53.94</v>
      </c>
      <c r="W75" s="69">
        <f t="shared" si="13"/>
        <v>57.288665760000001</v>
      </c>
    </row>
    <row r="76" spans="1:23" s="3" customFormat="1" ht="9" customHeight="1" x14ac:dyDescent="0.2">
      <c r="A76" s="186" t="s">
        <v>114</v>
      </c>
      <c r="B76" s="187"/>
      <c r="C76" s="180" t="s">
        <v>115</v>
      </c>
      <c r="D76" s="181"/>
      <c r="E76" s="181"/>
      <c r="F76" s="181"/>
      <c r="G76" s="182"/>
      <c r="H76" s="21" t="s">
        <v>5</v>
      </c>
      <c r="I76" s="39">
        <f>I18-I33</f>
        <v>70.299999999999955</v>
      </c>
      <c r="J76" s="39">
        <f t="shared" ref="J76:V76" si="14">J18-J33</f>
        <v>108.54999999999995</v>
      </c>
      <c r="K76" s="83">
        <f t="shared" si="14"/>
        <v>72.419214225000133</v>
      </c>
      <c r="L76" s="49">
        <f t="shared" si="14"/>
        <v>227.59000000000003</v>
      </c>
      <c r="M76" s="49">
        <f t="shared" si="14"/>
        <v>76.430364269999927</v>
      </c>
      <c r="N76" s="49">
        <f t="shared" si="14"/>
        <v>253.37</v>
      </c>
      <c r="O76" s="49">
        <f t="shared" si="14"/>
        <v>217.64</v>
      </c>
      <c r="P76" s="49">
        <f t="shared" si="14"/>
        <v>39.130000000000109</v>
      </c>
      <c r="Q76" s="49">
        <f t="shared" si="14"/>
        <v>23.619999999999891</v>
      </c>
      <c r="R76" s="49">
        <f t="shared" si="14"/>
        <v>26.009999999999991</v>
      </c>
      <c r="S76" s="49">
        <f t="shared" si="14"/>
        <v>17.999999999999886</v>
      </c>
      <c r="T76" s="49">
        <f t="shared" si="14"/>
        <v>269.03999999999996</v>
      </c>
      <c r="U76" s="49">
        <f t="shared" si="14"/>
        <v>188.28999999999985</v>
      </c>
      <c r="V76" s="49">
        <f t="shared" si="14"/>
        <v>815.14000000000033</v>
      </c>
      <c r="W76" s="67">
        <f t="shared" si="13"/>
        <v>523.98036426999954</v>
      </c>
    </row>
    <row r="77" spans="1:23" s="3" customFormat="1" ht="8.1" customHeight="1" x14ac:dyDescent="0.2">
      <c r="A77" s="86" t="s">
        <v>116</v>
      </c>
      <c r="B77" s="87"/>
      <c r="C77" s="88" t="s">
        <v>46</v>
      </c>
      <c r="D77" s="89"/>
      <c r="E77" s="89"/>
      <c r="F77" s="89"/>
      <c r="G77" s="90"/>
      <c r="H77" s="1" t="s">
        <v>5</v>
      </c>
      <c r="I77" s="38"/>
      <c r="J77" s="38"/>
      <c r="K77" s="44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>
        <f t="shared" si="2"/>
        <v>0</v>
      </c>
      <c r="W77" s="61">
        <f t="shared" si="13"/>
        <v>0</v>
      </c>
    </row>
    <row r="78" spans="1:23" s="3" customFormat="1" ht="16.5" customHeight="1" x14ac:dyDescent="0.2">
      <c r="A78" s="86" t="s">
        <v>117</v>
      </c>
      <c r="B78" s="87"/>
      <c r="C78" s="91" t="s">
        <v>47</v>
      </c>
      <c r="D78" s="92"/>
      <c r="E78" s="92"/>
      <c r="F78" s="92"/>
      <c r="G78" s="93"/>
      <c r="H78" s="1" t="s">
        <v>5</v>
      </c>
      <c r="I78" s="38"/>
      <c r="J78" s="38"/>
      <c r="K78" s="44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>
        <f t="shared" si="2"/>
        <v>0</v>
      </c>
      <c r="W78" s="61">
        <f t="shared" si="13"/>
        <v>0</v>
      </c>
    </row>
    <row r="79" spans="1:23" s="3" customFormat="1" ht="16.5" customHeight="1" x14ac:dyDescent="0.2">
      <c r="A79" s="86" t="s">
        <v>118</v>
      </c>
      <c r="B79" s="87"/>
      <c r="C79" s="91" t="s">
        <v>52</v>
      </c>
      <c r="D79" s="92"/>
      <c r="E79" s="92"/>
      <c r="F79" s="92"/>
      <c r="G79" s="93"/>
      <c r="H79" s="1" t="s">
        <v>5</v>
      </c>
      <c r="I79" s="38"/>
      <c r="J79" s="38"/>
      <c r="K79" s="44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>
        <f t="shared" si="2"/>
        <v>0</v>
      </c>
      <c r="W79" s="61">
        <f t="shared" si="13"/>
        <v>0</v>
      </c>
    </row>
    <row r="80" spans="1:23" s="3" customFormat="1" ht="16.5" customHeight="1" x14ac:dyDescent="0.2">
      <c r="A80" s="86" t="s">
        <v>119</v>
      </c>
      <c r="B80" s="87"/>
      <c r="C80" s="91" t="s">
        <v>53</v>
      </c>
      <c r="D80" s="92"/>
      <c r="E80" s="92"/>
      <c r="F80" s="92"/>
      <c r="G80" s="93"/>
      <c r="H80" s="1" t="s">
        <v>5</v>
      </c>
      <c r="I80" s="38"/>
      <c r="J80" s="38"/>
      <c r="K80" s="44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>
        <f t="shared" si="2"/>
        <v>0</v>
      </c>
      <c r="W80" s="61">
        <f t="shared" si="13"/>
        <v>0</v>
      </c>
    </row>
    <row r="81" spans="1:23" s="3" customFormat="1" ht="8.1" customHeight="1" x14ac:dyDescent="0.2">
      <c r="A81" s="86" t="s">
        <v>120</v>
      </c>
      <c r="B81" s="87"/>
      <c r="C81" s="88" t="s">
        <v>54</v>
      </c>
      <c r="D81" s="89"/>
      <c r="E81" s="89"/>
      <c r="F81" s="89"/>
      <c r="G81" s="90"/>
      <c r="H81" s="1" t="s">
        <v>5</v>
      </c>
      <c r="I81" s="38"/>
      <c r="J81" s="38"/>
      <c r="K81" s="44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>
        <f t="shared" si="2"/>
        <v>0</v>
      </c>
      <c r="W81" s="61">
        <f t="shared" si="13"/>
        <v>0</v>
      </c>
    </row>
    <row r="82" spans="1:23" s="3" customFormat="1" ht="8.1" customHeight="1" x14ac:dyDescent="0.2">
      <c r="A82" s="86" t="s">
        <v>121</v>
      </c>
      <c r="B82" s="87"/>
      <c r="C82" s="88" t="s">
        <v>76</v>
      </c>
      <c r="D82" s="89"/>
      <c r="E82" s="89"/>
      <c r="F82" s="89"/>
      <c r="G82" s="90"/>
      <c r="H82" s="1" t="s">
        <v>5</v>
      </c>
      <c r="I82" s="38">
        <f>I24-I39</f>
        <v>-25.419999999999987</v>
      </c>
      <c r="J82" s="38">
        <f>J76-J84-J85</f>
        <v>-2.0800000000000267</v>
      </c>
      <c r="K82" s="44">
        <v>-55.57</v>
      </c>
      <c r="L82" s="50">
        <f t="shared" ref="L82:V82" si="15">L76-L84-L85</f>
        <v>55.210000000000036</v>
      </c>
      <c r="M82" s="50">
        <f t="shared" ref="J82:V84" si="16">M24-M39</f>
        <v>-43.828904671666692</v>
      </c>
      <c r="N82" s="50">
        <f t="shared" si="15"/>
        <v>75.59</v>
      </c>
      <c r="O82" s="50">
        <f t="shared" si="15"/>
        <v>-13.79000000000002</v>
      </c>
      <c r="P82" s="50">
        <f t="shared" si="15"/>
        <v>21.490000000000116</v>
      </c>
      <c r="Q82" s="50">
        <f t="shared" si="15"/>
        <v>-40.160000000000103</v>
      </c>
      <c r="R82" s="50">
        <f t="shared" si="15"/>
        <v>16.329999999999998</v>
      </c>
      <c r="S82" s="50">
        <f t="shared" si="15"/>
        <v>-43.110000000000106</v>
      </c>
      <c r="T82" s="50">
        <f t="shared" si="15"/>
        <v>-14.100000000000023</v>
      </c>
      <c r="U82" s="50">
        <f t="shared" si="15"/>
        <v>-56.96000000000015</v>
      </c>
      <c r="V82" s="50">
        <f t="shared" si="15"/>
        <v>154.52000000000032</v>
      </c>
      <c r="W82" s="61">
        <f t="shared" si="13"/>
        <v>-197.84890467166707</v>
      </c>
    </row>
    <row r="83" spans="1:23" s="3" customFormat="1" ht="8.1" customHeight="1" x14ac:dyDescent="0.2">
      <c r="A83" s="86" t="s">
        <v>122</v>
      </c>
      <c r="B83" s="87"/>
      <c r="C83" s="88" t="s">
        <v>77</v>
      </c>
      <c r="D83" s="89"/>
      <c r="E83" s="89"/>
      <c r="F83" s="89"/>
      <c r="G83" s="90"/>
      <c r="H83" s="1" t="s">
        <v>5</v>
      </c>
      <c r="I83" s="38"/>
      <c r="J83" s="38"/>
      <c r="K83" s="44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>
        <f t="shared" ref="V83:V146" si="17">L83+N83+P83+R83+T83</f>
        <v>0</v>
      </c>
      <c r="W83" s="61">
        <f t="shared" si="13"/>
        <v>0</v>
      </c>
    </row>
    <row r="84" spans="1:23" s="3" customFormat="1" ht="8.1" customHeight="1" x14ac:dyDescent="0.2">
      <c r="A84" s="86" t="s">
        <v>123</v>
      </c>
      <c r="B84" s="87"/>
      <c r="C84" s="88" t="s">
        <v>78</v>
      </c>
      <c r="D84" s="89"/>
      <c r="E84" s="89"/>
      <c r="F84" s="89"/>
      <c r="G84" s="90"/>
      <c r="H84" s="1" t="s">
        <v>5</v>
      </c>
      <c r="I84" s="38">
        <f>I26-I41</f>
        <v>84.59</v>
      </c>
      <c r="J84" s="38">
        <f t="shared" si="16"/>
        <v>105.74</v>
      </c>
      <c r="K84" s="44">
        <v>123.76</v>
      </c>
      <c r="L84" s="50">
        <f t="shared" si="16"/>
        <v>167.68</v>
      </c>
      <c r="M84" s="50">
        <f t="shared" si="16"/>
        <v>111.09238360499999</v>
      </c>
      <c r="N84" s="50">
        <f t="shared" si="16"/>
        <v>172.78</v>
      </c>
      <c r="O84" s="50">
        <f t="shared" si="16"/>
        <v>226.43</v>
      </c>
      <c r="P84" s="50">
        <f t="shared" si="16"/>
        <v>12.26</v>
      </c>
      <c r="Q84" s="50">
        <f t="shared" si="16"/>
        <v>58.4</v>
      </c>
      <c r="R84" s="50">
        <f t="shared" si="16"/>
        <v>3.92</v>
      </c>
      <c r="S84" s="50">
        <f t="shared" si="16"/>
        <v>55.35</v>
      </c>
      <c r="T84" s="50">
        <f t="shared" si="16"/>
        <v>277</v>
      </c>
      <c r="U84" s="50">
        <f t="shared" si="16"/>
        <v>239.11</v>
      </c>
      <c r="V84" s="50">
        <f t="shared" si="16"/>
        <v>633.64</v>
      </c>
      <c r="W84" s="61">
        <f t="shared" si="13"/>
        <v>690.38238360500009</v>
      </c>
    </row>
    <row r="85" spans="1:23" s="3" customFormat="1" ht="8.1" customHeight="1" x14ac:dyDescent="0.2">
      <c r="A85" s="86" t="s">
        <v>124</v>
      </c>
      <c r="B85" s="87"/>
      <c r="C85" s="88" t="s">
        <v>79</v>
      </c>
      <c r="D85" s="89"/>
      <c r="E85" s="89"/>
      <c r="F85" s="89"/>
      <c r="G85" s="90"/>
      <c r="H85" s="1" t="s">
        <v>5</v>
      </c>
      <c r="I85" s="38">
        <f>I27-I42</f>
        <v>4.5900000000000318</v>
      </c>
      <c r="J85" s="38">
        <f t="shared" ref="J85:V85" si="18">J27-J42</f>
        <v>4.8899999999999864</v>
      </c>
      <c r="K85" s="44">
        <v>4.3</v>
      </c>
      <c r="L85" s="50">
        <f t="shared" si="18"/>
        <v>4.6999999999999886</v>
      </c>
      <c r="M85" s="50">
        <f t="shared" si="18"/>
        <v>5.2364224733333344</v>
      </c>
      <c r="N85" s="50">
        <f t="shared" si="18"/>
        <v>5</v>
      </c>
      <c r="O85" s="50">
        <f t="shared" si="18"/>
        <v>5</v>
      </c>
      <c r="P85" s="50">
        <f t="shared" si="18"/>
        <v>5.3799999999999955</v>
      </c>
      <c r="Q85" s="50">
        <f t="shared" si="18"/>
        <v>5.3799999999999955</v>
      </c>
      <c r="R85" s="50">
        <f t="shared" si="18"/>
        <v>5.7599999999999909</v>
      </c>
      <c r="S85" s="50">
        <f t="shared" si="18"/>
        <v>5.7599999999999909</v>
      </c>
      <c r="T85" s="50">
        <f t="shared" si="18"/>
        <v>6.1399999999999864</v>
      </c>
      <c r="U85" s="50">
        <f t="shared" si="18"/>
        <v>6.1399999999999864</v>
      </c>
      <c r="V85" s="50">
        <f t="shared" si="18"/>
        <v>26.980000000000018</v>
      </c>
      <c r="W85" s="61">
        <f t="shared" si="13"/>
        <v>27.516422473333307</v>
      </c>
    </row>
    <row r="86" spans="1:23" s="3" customFormat="1" ht="8.1" customHeight="1" x14ac:dyDescent="0.2">
      <c r="A86" s="86" t="s">
        <v>125</v>
      </c>
      <c r="B86" s="87"/>
      <c r="C86" s="88" t="s">
        <v>80</v>
      </c>
      <c r="D86" s="89"/>
      <c r="E86" s="89"/>
      <c r="F86" s="89"/>
      <c r="G86" s="90"/>
      <c r="H86" s="1" t="s">
        <v>5</v>
      </c>
      <c r="I86" s="38"/>
      <c r="J86" s="38"/>
      <c r="K86" s="44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>
        <f t="shared" si="17"/>
        <v>0</v>
      </c>
      <c r="W86" s="61">
        <f t="shared" si="13"/>
        <v>0</v>
      </c>
    </row>
    <row r="87" spans="1:23" s="3" customFormat="1" ht="16.5" customHeight="1" x14ac:dyDescent="0.2">
      <c r="A87" s="86" t="s">
        <v>126</v>
      </c>
      <c r="B87" s="87"/>
      <c r="C87" s="88" t="s">
        <v>81</v>
      </c>
      <c r="D87" s="89"/>
      <c r="E87" s="89"/>
      <c r="F87" s="89"/>
      <c r="G87" s="90"/>
      <c r="H87" s="1" t="s">
        <v>5</v>
      </c>
      <c r="I87" s="38"/>
      <c r="J87" s="38"/>
      <c r="K87" s="44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>
        <f t="shared" si="17"/>
        <v>0</v>
      </c>
      <c r="W87" s="61">
        <f t="shared" si="13"/>
        <v>0</v>
      </c>
    </row>
    <row r="88" spans="1:23" s="3" customFormat="1" ht="8.1" customHeight="1" x14ac:dyDescent="0.2">
      <c r="A88" s="86" t="s">
        <v>127</v>
      </c>
      <c r="B88" s="87"/>
      <c r="C88" s="91" t="s">
        <v>82</v>
      </c>
      <c r="D88" s="92"/>
      <c r="E88" s="92"/>
      <c r="F88" s="92"/>
      <c r="G88" s="93"/>
      <c r="H88" s="1" t="s">
        <v>5</v>
      </c>
      <c r="I88" s="38"/>
      <c r="J88" s="38"/>
      <c r="K88" s="44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>
        <f t="shared" si="17"/>
        <v>0</v>
      </c>
      <c r="W88" s="61">
        <f t="shared" si="13"/>
        <v>0</v>
      </c>
    </row>
    <row r="89" spans="1:23" s="3" customFormat="1" ht="8.1" customHeight="1" x14ac:dyDescent="0.2">
      <c r="A89" s="86" t="s">
        <v>128</v>
      </c>
      <c r="B89" s="87"/>
      <c r="C89" s="91" t="s">
        <v>83</v>
      </c>
      <c r="D89" s="92"/>
      <c r="E89" s="92"/>
      <c r="F89" s="92"/>
      <c r="G89" s="93"/>
      <c r="H89" s="1" t="s">
        <v>5</v>
      </c>
      <c r="I89" s="38"/>
      <c r="J89" s="38"/>
      <c r="K89" s="44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>
        <f t="shared" si="17"/>
        <v>0</v>
      </c>
      <c r="W89" s="61">
        <f t="shared" si="13"/>
        <v>0</v>
      </c>
    </row>
    <row r="90" spans="1:23" s="3" customFormat="1" ht="8.1" customHeight="1" x14ac:dyDescent="0.2">
      <c r="A90" s="86" t="s">
        <v>129</v>
      </c>
      <c r="B90" s="87"/>
      <c r="C90" s="88" t="s">
        <v>84</v>
      </c>
      <c r="D90" s="89"/>
      <c r="E90" s="89"/>
      <c r="F90" s="89"/>
      <c r="G90" s="90"/>
      <c r="H90" s="1" t="s">
        <v>5</v>
      </c>
      <c r="I90" s="38">
        <f>I32-I47</f>
        <v>6.54</v>
      </c>
      <c r="J90" s="38"/>
      <c r="K90" s="44"/>
      <c r="L90" s="50"/>
      <c r="M90" s="50">
        <f>M32-M47</f>
        <v>3.9304628633333332</v>
      </c>
      <c r="N90" s="50"/>
      <c r="O90" s="50"/>
      <c r="P90" s="50"/>
      <c r="Q90" s="50"/>
      <c r="R90" s="50"/>
      <c r="S90" s="50"/>
      <c r="T90" s="50"/>
      <c r="U90" s="50"/>
      <c r="V90" s="50">
        <f t="shared" si="17"/>
        <v>0</v>
      </c>
      <c r="W90" s="61">
        <f t="shared" si="13"/>
        <v>3.9304628633333332</v>
      </c>
    </row>
    <row r="91" spans="1:23" s="3" customFormat="1" x14ac:dyDescent="0.2">
      <c r="A91" s="86" t="s">
        <v>130</v>
      </c>
      <c r="B91" s="87"/>
      <c r="C91" s="150" t="s">
        <v>144</v>
      </c>
      <c r="D91" s="151"/>
      <c r="E91" s="151"/>
      <c r="F91" s="151"/>
      <c r="G91" s="152"/>
      <c r="H91" s="1" t="s">
        <v>5</v>
      </c>
      <c r="I91" s="38">
        <f>I92-I98</f>
        <v>-28.64</v>
      </c>
      <c r="J91" s="38">
        <f t="shared" ref="J91:V91" si="19">J92-J98</f>
        <v>-30.02</v>
      </c>
      <c r="K91" s="44">
        <v>-36.35</v>
      </c>
      <c r="L91" s="50">
        <f t="shared" si="19"/>
        <v>-23.78</v>
      </c>
      <c r="M91" s="50">
        <f t="shared" si="19"/>
        <v>-60.710999999999999</v>
      </c>
      <c r="N91" s="50">
        <f t="shared" si="19"/>
        <v>-21.349999999999998</v>
      </c>
      <c r="O91" s="50">
        <f t="shared" si="19"/>
        <v>-21.349999999999998</v>
      </c>
      <c r="P91" s="50">
        <f t="shared" si="19"/>
        <v>-11.16</v>
      </c>
      <c r="Q91" s="50">
        <f t="shared" si="19"/>
        <v>-11.16</v>
      </c>
      <c r="R91" s="50">
        <f t="shared" si="19"/>
        <v>-5.49</v>
      </c>
      <c r="S91" s="50">
        <f t="shared" si="19"/>
        <v>-5.49</v>
      </c>
      <c r="T91" s="50">
        <f t="shared" si="19"/>
        <v>23.87</v>
      </c>
      <c r="U91" s="50">
        <f t="shared" si="19"/>
        <v>-3.13</v>
      </c>
      <c r="V91" s="50">
        <f t="shared" si="19"/>
        <v>-37.909999999999997</v>
      </c>
      <c r="W91" s="61">
        <f t="shared" si="13"/>
        <v>-101.84099999999998</v>
      </c>
    </row>
    <row r="92" spans="1:23" s="3" customFormat="1" ht="8.1" customHeight="1" x14ac:dyDescent="0.2">
      <c r="A92" s="86" t="s">
        <v>131</v>
      </c>
      <c r="B92" s="87"/>
      <c r="C92" s="88" t="s">
        <v>145</v>
      </c>
      <c r="D92" s="89"/>
      <c r="E92" s="89"/>
      <c r="F92" s="89"/>
      <c r="G92" s="90"/>
      <c r="H92" s="1" t="s">
        <v>5</v>
      </c>
      <c r="I92" s="38">
        <f>I94+I97</f>
        <v>7.2899999999999991</v>
      </c>
      <c r="J92" s="38">
        <f t="shared" ref="J92:V92" si="20">J94+J97</f>
        <v>0</v>
      </c>
      <c r="K92" s="44">
        <v>9.16</v>
      </c>
      <c r="L92" s="50">
        <f t="shared" si="20"/>
        <v>0</v>
      </c>
      <c r="M92" s="50">
        <f>M93+M94+M95+M97</f>
        <v>0.33700000000000002</v>
      </c>
      <c r="N92" s="50">
        <f t="shared" si="20"/>
        <v>0</v>
      </c>
      <c r="O92" s="50">
        <f t="shared" si="20"/>
        <v>0</v>
      </c>
      <c r="P92" s="50">
        <f t="shared" si="20"/>
        <v>0</v>
      </c>
      <c r="Q92" s="50">
        <f t="shared" si="20"/>
        <v>0</v>
      </c>
      <c r="R92" s="50">
        <f t="shared" si="20"/>
        <v>0</v>
      </c>
      <c r="S92" s="50">
        <f t="shared" si="20"/>
        <v>0</v>
      </c>
      <c r="T92" s="50">
        <f t="shared" si="20"/>
        <v>27</v>
      </c>
      <c r="U92" s="50">
        <v>0</v>
      </c>
      <c r="V92" s="50">
        <f t="shared" si="20"/>
        <v>27</v>
      </c>
      <c r="W92" s="61">
        <f t="shared" si="13"/>
        <v>0.33700000000000002</v>
      </c>
    </row>
    <row r="93" spans="1:23" s="3" customFormat="1" ht="8.1" customHeight="1" x14ac:dyDescent="0.2">
      <c r="A93" s="86" t="s">
        <v>132</v>
      </c>
      <c r="B93" s="87"/>
      <c r="C93" s="91" t="s">
        <v>146</v>
      </c>
      <c r="D93" s="92"/>
      <c r="E93" s="92"/>
      <c r="F93" s="92"/>
      <c r="G93" s="93"/>
      <c r="H93" s="1" t="s">
        <v>5</v>
      </c>
      <c r="I93" s="38"/>
      <c r="J93" s="38"/>
      <c r="K93" s="44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>
        <f t="shared" si="17"/>
        <v>0</v>
      </c>
      <c r="W93" s="61">
        <f t="shared" si="13"/>
        <v>0</v>
      </c>
    </row>
    <row r="94" spans="1:23" s="3" customFormat="1" ht="8.1" customHeight="1" x14ac:dyDescent="0.2">
      <c r="A94" s="86" t="s">
        <v>133</v>
      </c>
      <c r="B94" s="87"/>
      <c r="C94" s="91" t="s">
        <v>147</v>
      </c>
      <c r="D94" s="92"/>
      <c r="E94" s="92"/>
      <c r="F94" s="92"/>
      <c r="G94" s="93"/>
      <c r="H94" s="1" t="s">
        <v>5</v>
      </c>
      <c r="I94" s="38">
        <v>2.5299999999999998</v>
      </c>
      <c r="J94" s="38"/>
      <c r="K94" s="44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>
        <f t="shared" si="17"/>
        <v>0</v>
      </c>
      <c r="W94" s="61">
        <f t="shared" si="13"/>
        <v>0</v>
      </c>
    </row>
    <row r="95" spans="1:23" s="3" customFormat="1" ht="8.1" customHeight="1" x14ac:dyDescent="0.2">
      <c r="A95" s="86" t="s">
        <v>134</v>
      </c>
      <c r="B95" s="87"/>
      <c r="C95" s="91" t="s">
        <v>148</v>
      </c>
      <c r="D95" s="92"/>
      <c r="E95" s="92"/>
      <c r="F95" s="92"/>
      <c r="G95" s="93"/>
      <c r="H95" s="1" t="s">
        <v>5</v>
      </c>
      <c r="I95" s="38"/>
      <c r="J95" s="38"/>
      <c r="K95" s="44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>
        <f t="shared" si="17"/>
        <v>0</v>
      </c>
      <c r="W95" s="61">
        <f t="shared" si="13"/>
        <v>0</v>
      </c>
    </row>
    <row r="96" spans="1:23" s="3" customFormat="1" ht="8.1" customHeight="1" x14ac:dyDescent="0.2">
      <c r="A96" s="86" t="s">
        <v>135</v>
      </c>
      <c r="B96" s="87"/>
      <c r="C96" s="127" t="s">
        <v>149</v>
      </c>
      <c r="D96" s="128"/>
      <c r="E96" s="128"/>
      <c r="F96" s="128"/>
      <c r="G96" s="129"/>
      <c r="H96" s="1" t="s">
        <v>5</v>
      </c>
      <c r="I96" s="38"/>
      <c r="J96" s="38"/>
      <c r="K96" s="44">
        <v>9.16</v>
      </c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>
        <f t="shared" si="17"/>
        <v>0</v>
      </c>
      <c r="W96" s="61">
        <f t="shared" si="13"/>
        <v>0</v>
      </c>
    </row>
    <row r="97" spans="1:23" s="3" customFormat="1" ht="8.1" customHeight="1" x14ac:dyDescent="0.2">
      <c r="A97" s="86" t="s">
        <v>136</v>
      </c>
      <c r="B97" s="87"/>
      <c r="C97" s="91" t="s">
        <v>150</v>
      </c>
      <c r="D97" s="92"/>
      <c r="E97" s="92"/>
      <c r="F97" s="92"/>
      <c r="G97" s="93"/>
      <c r="H97" s="1" t="s">
        <v>5</v>
      </c>
      <c r="I97" s="38">
        <v>4.76</v>
      </c>
      <c r="J97" s="38"/>
      <c r="K97" s="44"/>
      <c r="L97" s="50"/>
      <c r="M97" s="50">
        <v>0.33700000000000002</v>
      </c>
      <c r="N97" s="50"/>
      <c r="O97" s="50"/>
      <c r="P97" s="50"/>
      <c r="Q97" s="50"/>
      <c r="R97" s="50"/>
      <c r="S97" s="50"/>
      <c r="T97" s="50">
        <v>27</v>
      </c>
      <c r="U97" s="50">
        <v>0</v>
      </c>
      <c r="V97" s="50">
        <f t="shared" si="17"/>
        <v>27</v>
      </c>
      <c r="W97" s="61">
        <f t="shared" si="13"/>
        <v>0.33700000000000002</v>
      </c>
    </row>
    <row r="98" spans="1:23" s="3" customFormat="1" ht="8.1" customHeight="1" x14ac:dyDescent="0.2">
      <c r="A98" s="86" t="s">
        <v>137</v>
      </c>
      <c r="B98" s="87"/>
      <c r="C98" s="88" t="s">
        <v>106</v>
      </c>
      <c r="D98" s="89"/>
      <c r="E98" s="89"/>
      <c r="F98" s="89"/>
      <c r="G98" s="90"/>
      <c r="H98" s="1" t="s">
        <v>5</v>
      </c>
      <c r="I98" s="38">
        <f>I100+I103</f>
        <v>35.93</v>
      </c>
      <c r="J98" s="38">
        <f t="shared" ref="J98:U98" si="21">J100+J103</f>
        <v>30.02</v>
      </c>
      <c r="K98" s="44">
        <v>45.51</v>
      </c>
      <c r="L98" s="50">
        <f t="shared" si="21"/>
        <v>23.78</v>
      </c>
      <c r="M98" s="50">
        <f>M99+M100+M101+M103</f>
        <v>61.048000000000002</v>
      </c>
      <c r="N98" s="50">
        <f t="shared" si="21"/>
        <v>21.349999999999998</v>
      </c>
      <c r="O98" s="50">
        <f t="shared" si="21"/>
        <v>21.349999999999998</v>
      </c>
      <c r="P98" s="50">
        <f t="shared" si="21"/>
        <v>11.16</v>
      </c>
      <c r="Q98" s="50">
        <f t="shared" si="21"/>
        <v>11.16</v>
      </c>
      <c r="R98" s="50">
        <f t="shared" si="21"/>
        <v>5.49</v>
      </c>
      <c r="S98" s="50">
        <f t="shared" si="21"/>
        <v>5.49</v>
      </c>
      <c r="T98" s="50">
        <f t="shared" si="21"/>
        <v>3.13</v>
      </c>
      <c r="U98" s="50">
        <f t="shared" si="21"/>
        <v>3.13</v>
      </c>
      <c r="V98" s="50">
        <f t="shared" si="17"/>
        <v>64.91</v>
      </c>
      <c r="W98" s="61">
        <f t="shared" si="13"/>
        <v>102.17799999999998</v>
      </c>
    </row>
    <row r="99" spans="1:23" s="3" customFormat="1" ht="8.1" customHeight="1" x14ac:dyDescent="0.2">
      <c r="A99" s="86" t="s">
        <v>138</v>
      </c>
      <c r="B99" s="87"/>
      <c r="C99" s="91" t="s">
        <v>151</v>
      </c>
      <c r="D99" s="92"/>
      <c r="E99" s="92"/>
      <c r="F99" s="92"/>
      <c r="G99" s="93"/>
      <c r="H99" s="1" t="s">
        <v>5</v>
      </c>
      <c r="I99" s="38"/>
      <c r="J99" s="38"/>
      <c r="K99" s="44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>
        <f t="shared" si="17"/>
        <v>0</v>
      </c>
      <c r="W99" s="61">
        <f t="shared" si="13"/>
        <v>0</v>
      </c>
    </row>
    <row r="100" spans="1:23" s="3" customFormat="1" ht="8.1" customHeight="1" x14ac:dyDescent="0.2">
      <c r="A100" s="86" t="s">
        <v>139</v>
      </c>
      <c r="B100" s="87"/>
      <c r="C100" s="91" t="s">
        <v>152</v>
      </c>
      <c r="D100" s="92"/>
      <c r="E100" s="92"/>
      <c r="F100" s="92"/>
      <c r="G100" s="93"/>
      <c r="H100" s="1" t="s">
        <v>5</v>
      </c>
      <c r="I100" s="38">
        <v>24.9</v>
      </c>
      <c r="J100" s="38">
        <v>29.82</v>
      </c>
      <c r="K100" s="44">
        <v>24.19</v>
      </c>
      <c r="L100" s="50">
        <v>23.57</v>
      </c>
      <c r="M100" s="50">
        <v>48.898000000000003</v>
      </c>
      <c r="N100" s="50">
        <v>21.13</v>
      </c>
      <c r="O100" s="50">
        <v>21.13</v>
      </c>
      <c r="P100" s="50">
        <v>10.93</v>
      </c>
      <c r="Q100" s="50">
        <v>10.93</v>
      </c>
      <c r="R100" s="50">
        <v>5.25</v>
      </c>
      <c r="S100" s="50">
        <v>5.25</v>
      </c>
      <c r="T100" s="50">
        <v>2.88</v>
      </c>
      <c r="U100" s="50">
        <v>2.88</v>
      </c>
      <c r="V100" s="50">
        <f t="shared" si="17"/>
        <v>63.760000000000005</v>
      </c>
      <c r="W100" s="61">
        <f t="shared" si="13"/>
        <v>89.087999999999994</v>
      </c>
    </row>
    <row r="101" spans="1:23" s="3" customFormat="1" ht="8.1" customHeight="1" x14ac:dyDescent="0.2">
      <c r="A101" s="86" t="s">
        <v>140</v>
      </c>
      <c r="B101" s="87"/>
      <c r="C101" s="91" t="s">
        <v>153</v>
      </c>
      <c r="D101" s="92"/>
      <c r="E101" s="92"/>
      <c r="F101" s="92"/>
      <c r="G101" s="93"/>
      <c r="H101" s="1" t="s">
        <v>5</v>
      </c>
      <c r="I101" s="38"/>
      <c r="J101" s="38"/>
      <c r="K101" s="44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>
        <f t="shared" si="17"/>
        <v>0</v>
      </c>
      <c r="W101" s="61">
        <f t="shared" si="13"/>
        <v>0</v>
      </c>
    </row>
    <row r="102" spans="1:23" s="3" customFormat="1" ht="8.1" customHeight="1" x14ac:dyDescent="0.2">
      <c r="A102" s="86" t="s">
        <v>141</v>
      </c>
      <c r="B102" s="87"/>
      <c r="C102" s="127" t="s">
        <v>149</v>
      </c>
      <c r="D102" s="128"/>
      <c r="E102" s="128"/>
      <c r="F102" s="128"/>
      <c r="G102" s="129"/>
      <c r="H102" s="1" t="s">
        <v>5</v>
      </c>
      <c r="I102" s="38"/>
      <c r="J102" s="38"/>
      <c r="K102" s="44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>
        <f t="shared" si="17"/>
        <v>0</v>
      </c>
      <c r="W102" s="61">
        <f t="shared" si="13"/>
        <v>0</v>
      </c>
    </row>
    <row r="103" spans="1:23" s="3" customFormat="1" ht="8.1" customHeight="1" x14ac:dyDescent="0.2">
      <c r="A103" s="86" t="s">
        <v>142</v>
      </c>
      <c r="B103" s="87"/>
      <c r="C103" s="91" t="s">
        <v>154</v>
      </c>
      <c r="D103" s="92"/>
      <c r="E103" s="92"/>
      <c r="F103" s="92"/>
      <c r="G103" s="93"/>
      <c r="H103" s="1" t="s">
        <v>5</v>
      </c>
      <c r="I103" s="38">
        <v>11.03</v>
      </c>
      <c r="J103" s="38">
        <v>0.2</v>
      </c>
      <c r="K103" s="44">
        <v>21.32</v>
      </c>
      <c r="L103" s="50">
        <v>0.21</v>
      </c>
      <c r="M103" s="50">
        <v>12.15</v>
      </c>
      <c r="N103" s="50">
        <v>0.22</v>
      </c>
      <c r="O103" s="50">
        <v>0.22</v>
      </c>
      <c r="P103" s="50">
        <v>0.23</v>
      </c>
      <c r="Q103" s="50">
        <v>0.23</v>
      </c>
      <c r="R103" s="50">
        <v>0.24</v>
      </c>
      <c r="S103" s="50">
        <v>0.24</v>
      </c>
      <c r="T103" s="50">
        <v>0.25</v>
      </c>
      <c r="U103" s="50">
        <v>0.25</v>
      </c>
      <c r="V103" s="50">
        <f t="shared" si="17"/>
        <v>1.1499999999999999</v>
      </c>
      <c r="W103" s="61">
        <f t="shared" si="13"/>
        <v>13.090000000000002</v>
      </c>
    </row>
    <row r="104" spans="1:23" s="3" customFormat="1" x14ac:dyDescent="0.2">
      <c r="A104" s="86" t="s">
        <v>143</v>
      </c>
      <c r="B104" s="87"/>
      <c r="C104" s="150" t="s">
        <v>155</v>
      </c>
      <c r="D104" s="151"/>
      <c r="E104" s="151"/>
      <c r="F104" s="151"/>
      <c r="G104" s="152"/>
      <c r="H104" s="1" t="s">
        <v>5</v>
      </c>
      <c r="I104" s="38">
        <f>I110+I112+I113+I118</f>
        <v>41.660000000000046</v>
      </c>
      <c r="J104" s="38">
        <f>J76+J91</f>
        <v>78.529999999999959</v>
      </c>
      <c r="K104" s="44">
        <f t="shared" ref="K104:V104" si="22">K76+K91</f>
        <v>36.069214225000131</v>
      </c>
      <c r="L104" s="50">
        <f t="shared" si="22"/>
        <v>203.81000000000003</v>
      </c>
      <c r="M104" s="50">
        <f t="shared" si="22"/>
        <v>15.719364269999929</v>
      </c>
      <c r="N104" s="50">
        <f t="shared" si="22"/>
        <v>232.02</v>
      </c>
      <c r="O104" s="50">
        <f t="shared" si="22"/>
        <v>196.29</v>
      </c>
      <c r="P104" s="50">
        <f t="shared" si="22"/>
        <v>27.970000000000109</v>
      </c>
      <c r="Q104" s="50">
        <f t="shared" si="22"/>
        <v>12.459999999999891</v>
      </c>
      <c r="R104" s="50">
        <f t="shared" si="22"/>
        <v>20.519999999999989</v>
      </c>
      <c r="S104" s="50">
        <f t="shared" si="22"/>
        <v>12.509999999999886</v>
      </c>
      <c r="T104" s="50">
        <f t="shared" si="22"/>
        <v>292.90999999999997</v>
      </c>
      <c r="U104" s="50">
        <f t="shared" si="22"/>
        <v>185.15999999999985</v>
      </c>
      <c r="V104" s="50">
        <f t="shared" si="22"/>
        <v>777.23000000000036</v>
      </c>
      <c r="W104" s="61">
        <f t="shared" si="13"/>
        <v>422.13936426999953</v>
      </c>
    </row>
    <row r="105" spans="1:23" s="3" customFormat="1" ht="16.5" customHeight="1" x14ac:dyDescent="0.2">
      <c r="A105" s="86" t="s">
        <v>156</v>
      </c>
      <c r="B105" s="87"/>
      <c r="C105" s="88" t="s">
        <v>157</v>
      </c>
      <c r="D105" s="89"/>
      <c r="E105" s="89"/>
      <c r="F105" s="89"/>
      <c r="G105" s="90"/>
      <c r="H105" s="1" t="s">
        <v>5</v>
      </c>
      <c r="I105" s="38"/>
      <c r="J105" s="38"/>
      <c r="K105" s="38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>
        <f t="shared" si="17"/>
        <v>0</v>
      </c>
      <c r="W105" s="61">
        <f t="shared" si="13"/>
        <v>0</v>
      </c>
    </row>
    <row r="106" spans="1:23" s="3" customFormat="1" ht="16.5" customHeight="1" x14ac:dyDescent="0.2">
      <c r="A106" s="86" t="s">
        <v>158</v>
      </c>
      <c r="B106" s="87"/>
      <c r="C106" s="91" t="s">
        <v>47</v>
      </c>
      <c r="D106" s="92"/>
      <c r="E106" s="92"/>
      <c r="F106" s="92"/>
      <c r="G106" s="93"/>
      <c r="H106" s="1" t="s">
        <v>5</v>
      </c>
      <c r="I106" s="38"/>
      <c r="J106" s="38"/>
      <c r="K106" s="38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>
        <f t="shared" si="17"/>
        <v>0</v>
      </c>
      <c r="W106" s="61">
        <f t="shared" si="13"/>
        <v>0</v>
      </c>
    </row>
    <row r="107" spans="1:23" s="3" customFormat="1" ht="16.5" customHeight="1" x14ac:dyDescent="0.2">
      <c r="A107" s="86" t="s">
        <v>159</v>
      </c>
      <c r="B107" s="87"/>
      <c r="C107" s="91" t="s">
        <v>52</v>
      </c>
      <c r="D107" s="92"/>
      <c r="E107" s="92"/>
      <c r="F107" s="92"/>
      <c r="G107" s="93"/>
      <c r="H107" s="1" t="s">
        <v>5</v>
      </c>
      <c r="I107" s="38"/>
      <c r="J107" s="38"/>
      <c r="K107" s="38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>
        <f t="shared" si="17"/>
        <v>0</v>
      </c>
      <c r="W107" s="61">
        <f t="shared" si="13"/>
        <v>0</v>
      </c>
    </row>
    <row r="108" spans="1:23" s="3" customFormat="1" ht="16.5" customHeight="1" x14ac:dyDescent="0.2">
      <c r="A108" s="86" t="s">
        <v>160</v>
      </c>
      <c r="B108" s="87"/>
      <c r="C108" s="91" t="s">
        <v>53</v>
      </c>
      <c r="D108" s="92"/>
      <c r="E108" s="92"/>
      <c r="F108" s="92"/>
      <c r="G108" s="93"/>
      <c r="H108" s="1" t="s">
        <v>5</v>
      </c>
      <c r="I108" s="38"/>
      <c r="J108" s="38"/>
      <c r="K108" s="38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>
        <f t="shared" si="17"/>
        <v>0</v>
      </c>
      <c r="W108" s="61">
        <f t="shared" si="13"/>
        <v>0</v>
      </c>
    </row>
    <row r="109" spans="1:23" s="3" customFormat="1" ht="8.1" customHeight="1" x14ac:dyDescent="0.2">
      <c r="A109" s="86" t="s">
        <v>161</v>
      </c>
      <c r="B109" s="87"/>
      <c r="C109" s="88" t="s">
        <v>54</v>
      </c>
      <c r="D109" s="89"/>
      <c r="E109" s="89"/>
      <c r="F109" s="89"/>
      <c r="G109" s="90"/>
      <c r="H109" s="1" t="s">
        <v>5</v>
      </c>
      <c r="I109" s="38"/>
      <c r="J109" s="38"/>
      <c r="K109" s="38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>
        <f t="shared" si="17"/>
        <v>0</v>
      </c>
      <c r="W109" s="61">
        <f t="shared" si="13"/>
        <v>0</v>
      </c>
    </row>
    <row r="110" spans="1:23" s="3" customFormat="1" ht="8.1" customHeight="1" x14ac:dyDescent="0.2">
      <c r="A110" s="86" t="s">
        <v>162</v>
      </c>
      <c r="B110" s="87"/>
      <c r="C110" s="88" t="s">
        <v>76</v>
      </c>
      <c r="D110" s="89"/>
      <c r="E110" s="89"/>
      <c r="F110" s="89"/>
      <c r="G110" s="90"/>
      <c r="H110" s="1" t="s">
        <v>5</v>
      </c>
      <c r="I110" s="38">
        <f>I82-I100</f>
        <v>-50.319999999999986</v>
      </c>
      <c r="J110" s="38">
        <f>J104-J112-J113</f>
        <v>-31.900000000000023</v>
      </c>
      <c r="K110" s="38">
        <v>-70.599999999999994</v>
      </c>
      <c r="L110" s="50">
        <f t="shared" ref="L110:V110" si="23">L104-L112-L113</f>
        <v>31.640000000000036</v>
      </c>
      <c r="M110" s="50">
        <f>M82+M91</f>
        <v>-104.53990467166669</v>
      </c>
      <c r="N110" s="50">
        <f t="shared" si="23"/>
        <v>54.460000000000008</v>
      </c>
      <c r="O110" s="50">
        <f t="shared" si="23"/>
        <v>-34.920000000000016</v>
      </c>
      <c r="P110" s="50">
        <f t="shared" si="23"/>
        <v>10.560000000000114</v>
      </c>
      <c r="Q110" s="50">
        <f t="shared" si="23"/>
        <v>-51.090000000000103</v>
      </c>
      <c r="R110" s="50">
        <f t="shared" si="23"/>
        <v>11.079999999999997</v>
      </c>
      <c r="S110" s="50">
        <f t="shared" si="23"/>
        <v>-48.360000000000106</v>
      </c>
      <c r="T110" s="50">
        <f t="shared" si="23"/>
        <v>10.019999999999982</v>
      </c>
      <c r="U110" s="50">
        <f t="shared" si="23"/>
        <v>-59.840000000000146</v>
      </c>
      <c r="V110" s="50">
        <f t="shared" si="23"/>
        <v>117.76000000000036</v>
      </c>
      <c r="W110" s="61">
        <f t="shared" si="13"/>
        <v>-298.74990467166708</v>
      </c>
    </row>
    <row r="111" spans="1:23" s="3" customFormat="1" ht="8.1" customHeight="1" x14ac:dyDescent="0.2">
      <c r="A111" s="86" t="s">
        <v>163</v>
      </c>
      <c r="B111" s="87"/>
      <c r="C111" s="88" t="s">
        <v>77</v>
      </c>
      <c r="D111" s="89"/>
      <c r="E111" s="89"/>
      <c r="F111" s="89"/>
      <c r="G111" s="90"/>
      <c r="H111" s="1" t="s">
        <v>5</v>
      </c>
      <c r="I111" s="38"/>
      <c r="J111" s="38"/>
      <c r="K111" s="38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>
        <f t="shared" si="17"/>
        <v>0</v>
      </c>
      <c r="W111" s="61">
        <f t="shared" si="13"/>
        <v>0</v>
      </c>
    </row>
    <row r="112" spans="1:23" s="3" customFormat="1" ht="8.1" customHeight="1" x14ac:dyDescent="0.2">
      <c r="A112" s="86" t="s">
        <v>164</v>
      </c>
      <c r="B112" s="87"/>
      <c r="C112" s="88" t="s">
        <v>78</v>
      </c>
      <c r="D112" s="89"/>
      <c r="E112" s="89"/>
      <c r="F112" s="89"/>
      <c r="G112" s="90"/>
      <c r="H112" s="1" t="s">
        <v>5</v>
      </c>
      <c r="I112" s="38">
        <f>I84</f>
        <v>84.59</v>
      </c>
      <c r="J112" s="38">
        <f t="shared" ref="J112:V112" si="24">J84</f>
        <v>105.74</v>
      </c>
      <c r="K112" s="38">
        <v>124.68</v>
      </c>
      <c r="L112" s="50">
        <f t="shared" si="24"/>
        <v>167.68</v>
      </c>
      <c r="M112" s="50">
        <f t="shared" ref="M112:M113" si="25">M84</f>
        <v>111.09238360499999</v>
      </c>
      <c r="N112" s="50">
        <f t="shared" si="24"/>
        <v>172.78</v>
      </c>
      <c r="O112" s="50">
        <f t="shared" si="24"/>
        <v>226.43</v>
      </c>
      <c r="P112" s="50">
        <f t="shared" si="24"/>
        <v>12.26</v>
      </c>
      <c r="Q112" s="50">
        <f t="shared" si="24"/>
        <v>58.4</v>
      </c>
      <c r="R112" s="50">
        <f t="shared" si="24"/>
        <v>3.92</v>
      </c>
      <c r="S112" s="50">
        <f t="shared" si="24"/>
        <v>55.35</v>
      </c>
      <c r="T112" s="50">
        <f t="shared" si="24"/>
        <v>277</v>
      </c>
      <c r="U112" s="50">
        <f t="shared" si="24"/>
        <v>239.11</v>
      </c>
      <c r="V112" s="50">
        <f t="shared" si="24"/>
        <v>633.64</v>
      </c>
      <c r="W112" s="61">
        <f t="shared" si="13"/>
        <v>690.38238360500009</v>
      </c>
    </row>
    <row r="113" spans="1:23" s="3" customFormat="1" ht="8.1" customHeight="1" x14ac:dyDescent="0.2">
      <c r="A113" s="86" t="s">
        <v>165</v>
      </c>
      <c r="B113" s="87"/>
      <c r="C113" s="88" t="s">
        <v>79</v>
      </c>
      <c r="D113" s="89"/>
      <c r="E113" s="89"/>
      <c r="F113" s="89"/>
      <c r="G113" s="90"/>
      <c r="H113" s="1" t="s">
        <v>5</v>
      </c>
      <c r="I113" s="38">
        <f>I85-I103</f>
        <v>-6.4399999999999675</v>
      </c>
      <c r="J113" s="38">
        <f t="shared" ref="J113:V113" si="26">J85-J103</f>
        <v>4.6899999999999862</v>
      </c>
      <c r="K113" s="38">
        <v>-17.02</v>
      </c>
      <c r="L113" s="50">
        <f t="shared" si="26"/>
        <v>4.4899999999999887</v>
      </c>
      <c r="M113" s="50">
        <f t="shared" si="25"/>
        <v>5.2364224733333344</v>
      </c>
      <c r="N113" s="50">
        <f t="shared" si="26"/>
        <v>4.78</v>
      </c>
      <c r="O113" s="50">
        <f t="shared" si="26"/>
        <v>4.78</v>
      </c>
      <c r="P113" s="50">
        <f t="shared" si="26"/>
        <v>5.149999999999995</v>
      </c>
      <c r="Q113" s="50">
        <f t="shared" si="26"/>
        <v>5.149999999999995</v>
      </c>
      <c r="R113" s="50">
        <f t="shared" si="26"/>
        <v>5.5199999999999907</v>
      </c>
      <c r="S113" s="50">
        <f t="shared" si="26"/>
        <v>5.5199999999999907</v>
      </c>
      <c r="T113" s="50">
        <f t="shared" si="26"/>
        <v>5.8899999999999864</v>
      </c>
      <c r="U113" s="50">
        <f t="shared" si="26"/>
        <v>5.8899999999999864</v>
      </c>
      <c r="V113" s="50">
        <f t="shared" si="26"/>
        <v>25.83000000000002</v>
      </c>
      <c r="W113" s="61">
        <f t="shared" si="13"/>
        <v>26.576422473333309</v>
      </c>
    </row>
    <row r="114" spans="1:23" s="3" customFormat="1" ht="8.1" customHeight="1" x14ac:dyDescent="0.2">
      <c r="A114" s="86" t="s">
        <v>166</v>
      </c>
      <c r="B114" s="87"/>
      <c r="C114" s="88" t="s">
        <v>80</v>
      </c>
      <c r="D114" s="89"/>
      <c r="E114" s="89"/>
      <c r="F114" s="89"/>
      <c r="G114" s="90"/>
      <c r="H114" s="1" t="s">
        <v>5</v>
      </c>
      <c r="I114" s="38"/>
      <c r="J114" s="38"/>
      <c r="K114" s="38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>
        <f t="shared" si="17"/>
        <v>0</v>
      </c>
      <c r="W114" s="61">
        <f t="shared" si="13"/>
        <v>0</v>
      </c>
    </row>
    <row r="115" spans="1:23" s="3" customFormat="1" ht="16.5" customHeight="1" x14ac:dyDescent="0.2">
      <c r="A115" s="86" t="s">
        <v>167</v>
      </c>
      <c r="B115" s="87"/>
      <c r="C115" s="88" t="s">
        <v>81</v>
      </c>
      <c r="D115" s="89"/>
      <c r="E115" s="89"/>
      <c r="F115" s="89"/>
      <c r="G115" s="90"/>
      <c r="H115" s="1" t="s">
        <v>5</v>
      </c>
      <c r="I115" s="38"/>
      <c r="J115" s="38"/>
      <c r="K115" s="38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>
        <f t="shared" si="17"/>
        <v>0</v>
      </c>
      <c r="W115" s="61">
        <f t="shared" si="13"/>
        <v>0</v>
      </c>
    </row>
    <row r="116" spans="1:23" s="3" customFormat="1" ht="8.1" customHeight="1" x14ac:dyDescent="0.2">
      <c r="A116" s="86" t="s">
        <v>168</v>
      </c>
      <c r="B116" s="87"/>
      <c r="C116" s="91" t="s">
        <v>82</v>
      </c>
      <c r="D116" s="92"/>
      <c r="E116" s="92"/>
      <c r="F116" s="92"/>
      <c r="G116" s="93"/>
      <c r="H116" s="1" t="s">
        <v>5</v>
      </c>
      <c r="I116" s="38"/>
      <c r="J116" s="38"/>
      <c r="K116" s="38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>
        <f t="shared" si="17"/>
        <v>0</v>
      </c>
      <c r="W116" s="61">
        <f t="shared" si="13"/>
        <v>0</v>
      </c>
    </row>
    <row r="117" spans="1:23" s="3" customFormat="1" ht="8.1" customHeight="1" x14ac:dyDescent="0.2">
      <c r="A117" s="86" t="s">
        <v>169</v>
      </c>
      <c r="B117" s="87"/>
      <c r="C117" s="91" t="s">
        <v>83</v>
      </c>
      <c r="D117" s="92"/>
      <c r="E117" s="92"/>
      <c r="F117" s="92"/>
      <c r="G117" s="93"/>
      <c r="H117" s="1" t="s">
        <v>5</v>
      </c>
      <c r="I117" s="38"/>
      <c r="J117" s="38"/>
      <c r="K117" s="38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>
        <f t="shared" si="17"/>
        <v>0</v>
      </c>
      <c r="W117" s="61">
        <f t="shared" si="13"/>
        <v>0</v>
      </c>
    </row>
    <row r="118" spans="1:23" s="3" customFormat="1" ht="8.1" customHeight="1" x14ac:dyDescent="0.2">
      <c r="A118" s="86" t="s">
        <v>170</v>
      </c>
      <c r="B118" s="87"/>
      <c r="C118" s="88" t="s">
        <v>84</v>
      </c>
      <c r="D118" s="89"/>
      <c r="E118" s="89"/>
      <c r="F118" s="89"/>
      <c r="G118" s="90"/>
      <c r="H118" s="1" t="s">
        <v>5</v>
      </c>
      <c r="I118" s="38">
        <f>I90+I92</f>
        <v>13.829999999999998</v>
      </c>
      <c r="J118" s="38"/>
      <c r="K118" s="38"/>
      <c r="L118" s="50"/>
      <c r="M118" s="50">
        <f t="shared" ref="M118" si="27">M90</f>
        <v>3.9304628633333332</v>
      </c>
      <c r="N118" s="50"/>
      <c r="O118" s="50"/>
      <c r="P118" s="50"/>
      <c r="Q118" s="50"/>
      <c r="R118" s="50"/>
      <c r="S118" s="50"/>
      <c r="T118" s="50"/>
      <c r="U118" s="50"/>
      <c r="V118" s="50">
        <f t="shared" si="17"/>
        <v>0</v>
      </c>
      <c r="W118" s="61">
        <f t="shared" si="13"/>
        <v>3.9304628633333332</v>
      </c>
    </row>
    <row r="119" spans="1:23" s="3" customFormat="1" x14ac:dyDescent="0.2">
      <c r="A119" s="86" t="s">
        <v>171</v>
      </c>
      <c r="B119" s="87"/>
      <c r="C119" s="150" t="s">
        <v>172</v>
      </c>
      <c r="D119" s="151"/>
      <c r="E119" s="151"/>
      <c r="F119" s="151"/>
      <c r="G119" s="152"/>
      <c r="H119" s="1" t="s">
        <v>5</v>
      </c>
      <c r="I119" s="38">
        <f>I125+I127+I128</f>
        <v>6.66</v>
      </c>
      <c r="J119" s="38">
        <f t="shared" ref="J119:V119" si="28">J125+J127+J128</f>
        <v>24.43</v>
      </c>
      <c r="K119" s="38">
        <v>0.83</v>
      </c>
      <c r="L119" s="50">
        <f t="shared" si="28"/>
        <v>27.21</v>
      </c>
      <c r="M119" s="50">
        <f t="shared" si="28"/>
        <v>4.5960000000000001</v>
      </c>
      <c r="N119" s="50">
        <f t="shared" si="28"/>
        <v>41.46</v>
      </c>
      <c r="O119" s="50">
        <v>29</v>
      </c>
      <c r="P119" s="50">
        <f t="shared" si="28"/>
        <v>1</v>
      </c>
      <c r="Q119" s="50">
        <f t="shared" si="28"/>
        <v>1</v>
      </c>
      <c r="R119" s="50">
        <f t="shared" si="28"/>
        <v>1</v>
      </c>
      <c r="S119" s="50">
        <f t="shared" si="28"/>
        <v>1</v>
      </c>
      <c r="T119" s="50">
        <f t="shared" si="28"/>
        <v>1</v>
      </c>
      <c r="U119" s="50">
        <v>34</v>
      </c>
      <c r="V119" s="50">
        <f t="shared" si="28"/>
        <v>71.67</v>
      </c>
      <c r="W119" s="61">
        <f t="shared" si="13"/>
        <v>69.596000000000004</v>
      </c>
    </row>
    <row r="120" spans="1:23" s="3" customFormat="1" ht="8.1" customHeight="1" x14ac:dyDescent="0.2">
      <c r="A120" s="86" t="s">
        <v>173</v>
      </c>
      <c r="B120" s="87"/>
      <c r="C120" s="88" t="s">
        <v>46</v>
      </c>
      <c r="D120" s="89"/>
      <c r="E120" s="89"/>
      <c r="F120" s="89"/>
      <c r="G120" s="90"/>
      <c r="H120" s="1" t="s">
        <v>5</v>
      </c>
      <c r="I120" s="38"/>
      <c r="J120" s="38"/>
      <c r="K120" s="38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>
        <f t="shared" si="17"/>
        <v>0</v>
      </c>
      <c r="W120" s="61">
        <f t="shared" si="13"/>
        <v>0</v>
      </c>
    </row>
    <row r="121" spans="1:23" s="3" customFormat="1" ht="16.5" customHeight="1" x14ac:dyDescent="0.2">
      <c r="A121" s="86" t="s">
        <v>174</v>
      </c>
      <c r="B121" s="87"/>
      <c r="C121" s="91" t="s">
        <v>47</v>
      </c>
      <c r="D121" s="92"/>
      <c r="E121" s="92"/>
      <c r="F121" s="92"/>
      <c r="G121" s="93"/>
      <c r="H121" s="1" t="s">
        <v>5</v>
      </c>
      <c r="I121" s="38"/>
      <c r="J121" s="38"/>
      <c r="K121" s="38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>
        <f t="shared" si="17"/>
        <v>0</v>
      </c>
      <c r="W121" s="61">
        <f t="shared" si="13"/>
        <v>0</v>
      </c>
    </row>
    <row r="122" spans="1:23" s="3" customFormat="1" ht="16.5" customHeight="1" x14ac:dyDescent="0.2">
      <c r="A122" s="86" t="s">
        <v>175</v>
      </c>
      <c r="B122" s="87"/>
      <c r="C122" s="91" t="s">
        <v>52</v>
      </c>
      <c r="D122" s="92"/>
      <c r="E122" s="92"/>
      <c r="F122" s="92"/>
      <c r="G122" s="93"/>
      <c r="H122" s="1" t="s">
        <v>5</v>
      </c>
      <c r="I122" s="38"/>
      <c r="J122" s="38"/>
      <c r="K122" s="38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>
        <f t="shared" si="17"/>
        <v>0</v>
      </c>
      <c r="W122" s="61">
        <f t="shared" si="13"/>
        <v>0</v>
      </c>
    </row>
    <row r="123" spans="1:23" s="3" customFormat="1" ht="16.5" customHeight="1" x14ac:dyDescent="0.2">
      <c r="A123" s="86" t="s">
        <v>176</v>
      </c>
      <c r="B123" s="87"/>
      <c r="C123" s="91" t="s">
        <v>53</v>
      </c>
      <c r="D123" s="92"/>
      <c r="E123" s="92"/>
      <c r="F123" s="92"/>
      <c r="G123" s="93"/>
      <c r="H123" s="1" t="s">
        <v>5</v>
      </c>
      <c r="I123" s="38"/>
      <c r="J123" s="38"/>
      <c r="K123" s="38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>
        <f t="shared" si="17"/>
        <v>0</v>
      </c>
      <c r="W123" s="61">
        <f t="shared" si="13"/>
        <v>0</v>
      </c>
    </row>
    <row r="124" spans="1:23" s="3" customFormat="1" ht="8.1" customHeight="1" x14ac:dyDescent="0.2">
      <c r="A124" s="86" t="s">
        <v>177</v>
      </c>
      <c r="B124" s="87"/>
      <c r="C124" s="88" t="s">
        <v>661</v>
      </c>
      <c r="D124" s="89"/>
      <c r="E124" s="89"/>
      <c r="F124" s="89"/>
      <c r="G124" s="90"/>
      <c r="H124" s="1" t="s">
        <v>5</v>
      </c>
      <c r="I124" s="38"/>
      <c r="J124" s="38"/>
      <c r="K124" s="38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>
        <f t="shared" si="17"/>
        <v>0</v>
      </c>
      <c r="W124" s="61">
        <f t="shared" si="13"/>
        <v>0</v>
      </c>
    </row>
    <row r="125" spans="1:23" s="3" customFormat="1" ht="8.1" customHeight="1" x14ac:dyDescent="0.2">
      <c r="A125" s="86" t="s">
        <v>178</v>
      </c>
      <c r="B125" s="87"/>
      <c r="C125" s="88" t="s">
        <v>662</v>
      </c>
      <c r="D125" s="89"/>
      <c r="E125" s="89"/>
      <c r="F125" s="89"/>
      <c r="G125" s="90"/>
      <c r="H125" s="1" t="s">
        <v>5</v>
      </c>
      <c r="I125" s="38"/>
      <c r="J125" s="38">
        <v>3.91</v>
      </c>
      <c r="K125" s="38"/>
      <c r="L125" s="50">
        <v>4.82</v>
      </c>
      <c r="M125" s="50"/>
      <c r="N125" s="50">
        <v>6.64</v>
      </c>
      <c r="O125" s="50"/>
      <c r="P125" s="50"/>
      <c r="Q125" s="50"/>
      <c r="R125" s="50"/>
      <c r="S125" s="50"/>
      <c r="T125" s="50"/>
      <c r="U125" s="50"/>
      <c r="V125" s="50">
        <f t="shared" si="17"/>
        <v>11.46</v>
      </c>
      <c r="W125" s="61">
        <f t="shared" si="13"/>
        <v>0</v>
      </c>
    </row>
    <row r="126" spans="1:23" s="3" customFormat="1" ht="8.1" customHeight="1" x14ac:dyDescent="0.2">
      <c r="A126" s="86" t="s">
        <v>179</v>
      </c>
      <c r="B126" s="87"/>
      <c r="C126" s="88" t="s">
        <v>663</v>
      </c>
      <c r="D126" s="89"/>
      <c r="E126" s="89"/>
      <c r="F126" s="89"/>
      <c r="G126" s="90"/>
      <c r="H126" s="1" t="s">
        <v>5</v>
      </c>
      <c r="I126" s="38"/>
      <c r="J126" s="38"/>
      <c r="K126" s="38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>
        <f t="shared" si="17"/>
        <v>0</v>
      </c>
      <c r="W126" s="61">
        <f t="shared" si="13"/>
        <v>0</v>
      </c>
    </row>
    <row r="127" spans="1:23" s="3" customFormat="1" ht="8.1" customHeight="1" x14ac:dyDescent="0.2">
      <c r="A127" s="86" t="s">
        <v>180</v>
      </c>
      <c r="B127" s="87"/>
      <c r="C127" s="88" t="s">
        <v>664</v>
      </c>
      <c r="D127" s="89"/>
      <c r="E127" s="89"/>
      <c r="F127" s="89"/>
      <c r="G127" s="90"/>
      <c r="H127" s="1" t="s">
        <v>5</v>
      </c>
      <c r="I127" s="38">
        <v>6.66</v>
      </c>
      <c r="J127" s="38">
        <v>19.52</v>
      </c>
      <c r="K127" s="38">
        <v>0.83</v>
      </c>
      <c r="L127" s="50">
        <v>21.39</v>
      </c>
      <c r="M127" s="50">
        <f>0.753+1.258+2.585</f>
        <v>4.5960000000000001</v>
      </c>
      <c r="N127" s="50">
        <v>33.82</v>
      </c>
      <c r="O127" s="50">
        <v>28</v>
      </c>
      <c r="P127" s="50"/>
      <c r="Q127" s="50"/>
      <c r="R127" s="50"/>
      <c r="S127" s="50"/>
      <c r="T127" s="50"/>
      <c r="U127" s="50">
        <v>33</v>
      </c>
      <c r="V127" s="50">
        <f t="shared" si="17"/>
        <v>55.21</v>
      </c>
      <c r="W127" s="61">
        <f t="shared" si="13"/>
        <v>65.596000000000004</v>
      </c>
    </row>
    <row r="128" spans="1:23" s="3" customFormat="1" ht="8.1" customHeight="1" x14ac:dyDescent="0.2">
      <c r="A128" s="86" t="s">
        <v>181</v>
      </c>
      <c r="B128" s="87"/>
      <c r="C128" s="88" t="s">
        <v>665</v>
      </c>
      <c r="D128" s="89"/>
      <c r="E128" s="89"/>
      <c r="F128" s="89"/>
      <c r="G128" s="90"/>
      <c r="H128" s="1" t="s">
        <v>5</v>
      </c>
      <c r="I128" s="38"/>
      <c r="J128" s="38">
        <v>1</v>
      </c>
      <c r="K128" s="38"/>
      <c r="L128" s="50">
        <v>1</v>
      </c>
      <c r="M128" s="50"/>
      <c r="N128" s="50">
        <v>1</v>
      </c>
      <c r="O128" s="50">
        <v>1</v>
      </c>
      <c r="P128" s="50">
        <v>1</v>
      </c>
      <c r="Q128" s="50">
        <v>1</v>
      </c>
      <c r="R128" s="50">
        <v>1</v>
      </c>
      <c r="S128" s="50">
        <v>1</v>
      </c>
      <c r="T128" s="50">
        <v>1</v>
      </c>
      <c r="U128" s="50">
        <v>1</v>
      </c>
      <c r="V128" s="50">
        <f t="shared" si="17"/>
        <v>5</v>
      </c>
      <c r="W128" s="61">
        <f t="shared" si="13"/>
        <v>4</v>
      </c>
    </row>
    <row r="129" spans="1:23" s="3" customFormat="1" ht="8.1" customHeight="1" x14ac:dyDescent="0.2">
      <c r="A129" s="86" t="s">
        <v>182</v>
      </c>
      <c r="B129" s="87"/>
      <c r="C129" s="88" t="s">
        <v>666</v>
      </c>
      <c r="D129" s="89"/>
      <c r="E129" s="89"/>
      <c r="F129" s="89"/>
      <c r="G129" s="90"/>
      <c r="H129" s="1" t="s">
        <v>5</v>
      </c>
      <c r="I129" s="38"/>
      <c r="J129" s="38"/>
      <c r="K129" s="38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>
        <f t="shared" si="17"/>
        <v>0</v>
      </c>
      <c r="W129" s="61">
        <f t="shared" si="13"/>
        <v>0</v>
      </c>
    </row>
    <row r="130" spans="1:23" s="3" customFormat="1" ht="17.100000000000001" customHeight="1" x14ac:dyDescent="0.2">
      <c r="A130" s="86" t="s">
        <v>183</v>
      </c>
      <c r="B130" s="87"/>
      <c r="C130" s="88" t="s">
        <v>81</v>
      </c>
      <c r="D130" s="89"/>
      <c r="E130" s="89"/>
      <c r="F130" s="89"/>
      <c r="G130" s="90"/>
      <c r="H130" s="1" t="s">
        <v>5</v>
      </c>
      <c r="I130" s="38"/>
      <c r="J130" s="38"/>
      <c r="K130" s="38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>
        <f t="shared" si="17"/>
        <v>0</v>
      </c>
      <c r="W130" s="61">
        <f t="shared" si="13"/>
        <v>0</v>
      </c>
    </row>
    <row r="131" spans="1:23" s="3" customFormat="1" ht="8.1" customHeight="1" x14ac:dyDescent="0.2">
      <c r="A131" s="86" t="s">
        <v>184</v>
      </c>
      <c r="B131" s="87"/>
      <c r="C131" s="91" t="s">
        <v>82</v>
      </c>
      <c r="D131" s="92"/>
      <c r="E131" s="92"/>
      <c r="F131" s="92"/>
      <c r="G131" s="93"/>
      <c r="H131" s="1" t="s">
        <v>5</v>
      </c>
      <c r="I131" s="38"/>
      <c r="J131" s="38"/>
      <c r="K131" s="38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>
        <f t="shared" si="17"/>
        <v>0</v>
      </c>
      <c r="W131" s="61">
        <f t="shared" si="13"/>
        <v>0</v>
      </c>
    </row>
    <row r="132" spans="1:23" s="3" customFormat="1" ht="8.1" customHeight="1" x14ac:dyDescent="0.2">
      <c r="A132" s="86" t="s">
        <v>185</v>
      </c>
      <c r="B132" s="87"/>
      <c r="C132" s="91" t="s">
        <v>83</v>
      </c>
      <c r="D132" s="92"/>
      <c r="E132" s="92"/>
      <c r="F132" s="92"/>
      <c r="G132" s="93"/>
      <c r="H132" s="1" t="s">
        <v>5</v>
      </c>
      <c r="I132" s="38"/>
      <c r="J132" s="38"/>
      <c r="K132" s="38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>
        <f t="shared" si="17"/>
        <v>0</v>
      </c>
      <c r="W132" s="61">
        <f t="shared" si="13"/>
        <v>0</v>
      </c>
    </row>
    <row r="133" spans="1:23" s="3" customFormat="1" ht="8.1" customHeight="1" x14ac:dyDescent="0.2">
      <c r="A133" s="86" t="s">
        <v>186</v>
      </c>
      <c r="B133" s="87"/>
      <c r="C133" s="88" t="s">
        <v>667</v>
      </c>
      <c r="D133" s="89"/>
      <c r="E133" s="89"/>
      <c r="F133" s="89"/>
      <c r="G133" s="90"/>
      <c r="H133" s="1" t="s">
        <v>5</v>
      </c>
      <c r="I133" s="38"/>
      <c r="J133" s="38"/>
      <c r="K133" s="38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>
        <f t="shared" si="17"/>
        <v>0</v>
      </c>
      <c r="W133" s="61">
        <f t="shared" si="13"/>
        <v>0</v>
      </c>
    </row>
    <row r="134" spans="1:23" s="3" customFormat="1" x14ac:dyDescent="0.2">
      <c r="A134" s="86" t="s">
        <v>187</v>
      </c>
      <c r="B134" s="87"/>
      <c r="C134" s="150" t="s">
        <v>188</v>
      </c>
      <c r="D134" s="151"/>
      <c r="E134" s="151"/>
      <c r="F134" s="151"/>
      <c r="G134" s="152"/>
      <c r="H134" s="1" t="s">
        <v>5</v>
      </c>
      <c r="I134" s="38">
        <f>I140+I142+I143+I148</f>
        <v>28.280000000000051</v>
      </c>
      <c r="J134" s="38">
        <f t="shared" ref="J134:V134" si="29">J140+J142+J143+J148</f>
        <v>58.009999999999962</v>
      </c>
      <c r="K134" s="38">
        <v>27.47</v>
      </c>
      <c r="L134" s="50">
        <f t="shared" si="29"/>
        <v>181.42000000000004</v>
      </c>
      <c r="M134" s="50">
        <f>M140+M142+M143+M148</f>
        <v>11.123364269999968</v>
      </c>
      <c r="N134" s="50">
        <f t="shared" si="29"/>
        <v>197.20000000000002</v>
      </c>
      <c r="O134" s="50">
        <f t="shared" si="29"/>
        <v>167.29</v>
      </c>
      <c r="P134" s="50">
        <f t="shared" si="29"/>
        <v>26.970000000000109</v>
      </c>
      <c r="Q134" s="50">
        <f t="shared" si="29"/>
        <v>11.459999999999891</v>
      </c>
      <c r="R134" s="50">
        <f t="shared" si="29"/>
        <v>19.519999999999989</v>
      </c>
      <c r="S134" s="50">
        <f t="shared" si="29"/>
        <v>11.509999999999886</v>
      </c>
      <c r="T134" s="50">
        <f t="shared" si="29"/>
        <v>291.90999999999997</v>
      </c>
      <c r="U134" s="50">
        <f t="shared" si="29"/>
        <v>151.15999999999985</v>
      </c>
      <c r="V134" s="50">
        <f t="shared" si="29"/>
        <v>717.02000000000032</v>
      </c>
      <c r="W134" s="61">
        <f t="shared" si="13"/>
        <v>352.54336426999959</v>
      </c>
    </row>
    <row r="135" spans="1:23" s="3" customFormat="1" ht="8.1" customHeight="1" x14ac:dyDescent="0.2">
      <c r="A135" s="86" t="s">
        <v>189</v>
      </c>
      <c r="B135" s="87"/>
      <c r="C135" s="88" t="s">
        <v>46</v>
      </c>
      <c r="D135" s="89"/>
      <c r="E135" s="89"/>
      <c r="F135" s="89"/>
      <c r="G135" s="90"/>
      <c r="H135" s="1" t="s">
        <v>5</v>
      </c>
      <c r="I135" s="38"/>
      <c r="J135" s="38"/>
      <c r="K135" s="38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61">
        <f t="shared" si="13"/>
        <v>0</v>
      </c>
    </row>
    <row r="136" spans="1:23" s="3" customFormat="1" ht="16.5" customHeight="1" x14ac:dyDescent="0.2">
      <c r="A136" s="86" t="s">
        <v>190</v>
      </c>
      <c r="B136" s="87"/>
      <c r="C136" s="91" t="s">
        <v>47</v>
      </c>
      <c r="D136" s="92"/>
      <c r="E136" s="92"/>
      <c r="F136" s="92"/>
      <c r="G136" s="93"/>
      <c r="H136" s="1" t="s">
        <v>5</v>
      </c>
      <c r="I136" s="38"/>
      <c r="J136" s="38"/>
      <c r="K136" s="38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>
        <f t="shared" si="17"/>
        <v>0</v>
      </c>
      <c r="W136" s="61">
        <f t="shared" ref="W136:W158" si="30">M136+O136+Q136+S136+U136</f>
        <v>0</v>
      </c>
    </row>
    <row r="137" spans="1:23" s="3" customFormat="1" ht="16.5" customHeight="1" x14ac:dyDescent="0.2">
      <c r="A137" s="86" t="s">
        <v>191</v>
      </c>
      <c r="B137" s="87"/>
      <c r="C137" s="91" t="s">
        <v>52</v>
      </c>
      <c r="D137" s="92"/>
      <c r="E137" s="92"/>
      <c r="F137" s="92"/>
      <c r="G137" s="93"/>
      <c r="H137" s="1" t="s">
        <v>5</v>
      </c>
      <c r="I137" s="38"/>
      <c r="J137" s="38"/>
      <c r="K137" s="38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>
        <f t="shared" si="17"/>
        <v>0</v>
      </c>
      <c r="W137" s="61">
        <f t="shared" si="30"/>
        <v>0</v>
      </c>
    </row>
    <row r="138" spans="1:23" s="3" customFormat="1" ht="16.5" customHeight="1" x14ac:dyDescent="0.2">
      <c r="A138" s="86" t="s">
        <v>192</v>
      </c>
      <c r="B138" s="87"/>
      <c r="C138" s="91" t="s">
        <v>53</v>
      </c>
      <c r="D138" s="92"/>
      <c r="E138" s="92"/>
      <c r="F138" s="92"/>
      <c r="G138" s="93"/>
      <c r="H138" s="1" t="s">
        <v>5</v>
      </c>
      <c r="I138" s="38"/>
      <c r="J138" s="38"/>
      <c r="K138" s="38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>
        <f t="shared" si="17"/>
        <v>0</v>
      </c>
      <c r="W138" s="61">
        <f t="shared" si="30"/>
        <v>0</v>
      </c>
    </row>
    <row r="139" spans="1:23" s="3" customFormat="1" ht="8.1" customHeight="1" x14ac:dyDescent="0.2">
      <c r="A139" s="86" t="s">
        <v>193</v>
      </c>
      <c r="B139" s="87"/>
      <c r="C139" s="88" t="s">
        <v>54</v>
      </c>
      <c r="D139" s="89"/>
      <c r="E139" s="89"/>
      <c r="F139" s="89"/>
      <c r="G139" s="90"/>
      <c r="H139" s="1" t="s">
        <v>5</v>
      </c>
      <c r="I139" s="38"/>
      <c r="J139" s="38"/>
      <c r="K139" s="38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>
        <f t="shared" si="17"/>
        <v>0</v>
      </c>
      <c r="W139" s="61">
        <f t="shared" si="30"/>
        <v>0</v>
      </c>
    </row>
    <row r="140" spans="1:23" s="3" customFormat="1" ht="8.1" customHeight="1" x14ac:dyDescent="0.2">
      <c r="A140" s="86" t="s">
        <v>194</v>
      </c>
      <c r="B140" s="87"/>
      <c r="C140" s="88" t="s">
        <v>76</v>
      </c>
      <c r="D140" s="89"/>
      <c r="E140" s="89"/>
      <c r="F140" s="89"/>
      <c r="G140" s="90"/>
      <c r="H140" s="1" t="s">
        <v>5</v>
      </c>
      <c r="I140" s="38">
        <f>I110-I126</f>
        <v>-50.319999999999986</v>
      </c>
      <c r="J140" s="38">
        <f t="shared" ref="J140:V140" si="31">J110-J126</f>
        <v>-31.900000000000023</v>
      </c>
      <c r="K140" s="38">
        <f t="shared" si="31"/>
        <v>-70.599999999999994</v>
      </c>
      <c r="L140" s="50">
        <f t="shared" si="31"/>
        <v>31.640000000000036</v>
      </c>
      <c r="M140" s="85">
        <f>M110-M125</f>
        <v>-104.53990467166669</v>
      </c>
      <c r="N140" s="50">
        <f t="shared" si="31"/>
        <v>54.460000000000008</v>
      </c>
      <c r="O140" s="50">
        <f t="shared" si="31"/>
        <v>-34.920000000000016</v>
      </c>
      <c r="P140" s="50">
        <f t="shared" si="31"/>
        <v>10.560000000000114</v>
      </c>
      <c r="Q140" s="50">
        <f t="shared" si="31"/>
        <v>-51.090000000000103</v>
      </c>
      <c r="R140" s="50">
        <f t="shared" si="31"/>
        <v>11.079999999999997</v>
      </c>
      <c r="S140" s="50">
        <f t="shared" si="31"/>
        <v>-48.360000000000106</v>
      </c>
      <c r="T140" s="50">
        <f t="shared" si="31"/>
        <v>10.019999999999982</v>
      </c>
      <c r="U140" s="50">
        <f t="shared" si="31"/>
        <v>-59.840000000000146</v>
      </c>
      <c r="V140" s="50">
        <f t="shared" si="31"/>
        <v>117.76000000000036</v>
      </c>
      <c r="W140" s="61">
        <f t="shared" si="30"/>
        <v>-298.74990467166708</v>
      </c>
    </row>
    <row r="141" spans="1:23" s="3" customFormat="1" ht="8.1" customHeight="1" x14ac:dyDescent="0.2">
      <c r="A141" s="86" t="s">
        <v>195</v>
      </c>
      <c r="B141" s="87"/>
      <c r="C141" s="88" t="s">
        <v>77</v>
      </c>
      <c r="D141" s="89"/>
      <c r="E141" s="89"/>
      <c r="F141" s="89"/>
      <c r="G141" s="90"/>
      <c r="H141" s="1" t="s">
        <v>5</v>
      </c>
      <c r="I141" s="38"/>
      <c r="J141" s="38"/>
      <c r="K141" s="38"/>
      <c r="L141" s="50"/>
      <c r="M141" s="85"/>
      <c r="N141" s="50"/>
      <c r="O141" s="50"/>
      <c r="P141" s="50"/>
      <c r="Q141" s="50"/>
      <c r="R141" s="50"/>
      <c r="S141" s="50"/>
      <c r="T141" s="50"/>
      <c r="U141" s="50"/>
      <c r="V141" s="50">
        <f t="shared" si="17"/>
        <v>0</v>
      </c>
      <c r="W141" s="61">
        <f t="shared" si="30"/>
        <v>0</v>
      </c>
    </row>
    <row r="142" spans="1:23" s="3" customFormat="1" ht="8.1" customHeight="1" x14ac:dyDescent="0.2">
      <c r="A142" s="86" t="s">
        <v>196</v>
      </c>
      <c r="B142" s="87"/>
      <c r="C142" s="88" t="s">
        <v>78</v>
      </c>
      <c r="D142" s="89"/>
      <c r="E142" s="89"/>
      <c r="F142" s="89"/>
      <c r="G142" s="90"/>
      <c r="H142" s="1" t="s">
        <v>5</v>
      </c>
      <c r="I142" s="38">
        <f>I112-I127</f>
        <v>77.930000000000007</v>
      </c>
      <c r="J142" s="38">
        <f t="shared" ref="J142:V148" si="32">J112-J127</f>
        <v>86.22</v>
      </c>
      <c r="K142" s="38">
        <v>115.09</v>
      </c>
      <c r="L142" s="50">
        <f t="shared" si="32"/>
        <v>146.29000000000002</v>
      </c>
      <c r="M142" s="85">
        <f t="shared" si="32"/>
        <v>106.49638360499999</v>
      </c>
      <c r="N142" s="50">
        <f t="shared" si="32"/>
        <v>138.96</v>
      </c>
      <c r="O142" s="50">
        <f t="shared" si="32"/>
        <v>198.43</v>
      </c>
      <c r="P142" s="50">
        <f t="shared" si="32"/>
        <v>12.26</v>
      </c>
      <c r="Q142" s="50">
        <f t="shared" si="32"/>
        <v>58.4</v>
      </c>
      <c r="R142" s="50">
        <f t="shared" si="32"/>
        <v>3.92</v>
      </c>
      <c r="S142" s="50">
        <f t="shared" si="32"/>
        <v>55.35</v>
      </c>
      <c r="T142" s="50">
        <f t="shared" si="32"/>
        <v>277</v>
      </c>
      <c r="U142" s="50">
        <f t="shared" si="32"/>
        <v>206.11</v>
      </c>
      <c r="V142" s="50">
        <f t="shared" si="32"/>
        <v>578.42999999999995</v>
      </c>
      <c r="W142" s="61">
        <f t="shared" si="30"/>
        <v>624.78638360500008</v>
      </c>
    </row>
    <row r="143" spans="1:23" s="3" customFormat="1" ht="8.1" customHeight="1" x14ac:dyDescent="0.2">
      <c r="A143" s="86" t="s">
        <v>197</v>
      </c>
      <c r="B143" s="87"/>
      <c r="C143" s="88" t="s">
        <v>79</v>
      </c>
      <c r="D143" s="89"/>
      <c r="E143" s="89"/>
      <c r="F143" s="89"/>
      <c r="G143" s="90"/>
      <c r="H143" s="1" t="s">
        <v>5</v>
      </c>
      <c r="I143" s="38">
        <f>I113-I128</f>
        <v>-6.4399999999999675</v>
      </c>
      <c r="J143" s="38">
        <f t="shared" ref="J143:V143" si="33">J113-J128</f>
        <v>3.6899999999999862</v>
      </c>
      <c r="K143" s="38">
        <v>-17.02</v>
      </c>
      <c r="L143" s="50">
        <f t="shared" si="33"/>
        <v>3.4899999999999887</v>
      </c>
      <c r="M143" s="85">
        <f t="shared" si="32"/>
        <v>5.2364224733333344</v>
      </c>
      <c r="N143" s="50">
        <f t="shared" si="33"/>
        <v>3.7800000000000002</v>
      </c>
      <c r="O143" s="50">
        <f t="shared" si="33"/>
        <v>3.7800000000000002</v>
      </c>
      <c r="P143" s="50">
        <f t="shared" si="33"/>
        <v>4.149999999999995</v>
      </c>
      <c r="Q143" s="50">
        <f t="shared" si="33"/>
        <v>4.149999999999995</v>
      </c>
      <c r="R143" s="50">
        <f t="shared" si="33"/>
        <v>4.5199999999999907</v>
      </c>
      <c r="S143" s="50">
        <f t="shared" si="33"/>
        <v>4.5199999999999907</v>
      </c>
      <c r="T143" s="50">
        <f t="shared" si="33"/>
        <v>4.8899999999999864</v>
      </c>
      <c r="U143" s="50">
        <f t="shared" si="33"/>
        <v>4.8899999999999864</v>
      </c>
      <c r="V143" s="50">
        <f t="shared" si="33"/>
        <v>20.83000000000002</v>
      </c>
      <c r="W143" s="61">
        <f t="shared" si="30"/>
        <v>22.576422473333309</v>
      </c>
    </row>
    <row r="144" spans="1:23" s="3" customFormat="1" ht="8.1" customHeight="1" x14ac:dyDescent="0.2">
      <c r="A144" s="86" t="s">
        <v>198</v>
      </c>
      <c r="B144" s="87"/>
      <c r="C144" s="88" t="s">
        <v>80</v>
      </c>
      <c r="D144" s="89"/>
      <c r="E144" s="89"/>
      <c r="F144" s="89"/>
      <c r="G144" s="90"/>
      <c r="H144" s="1" t="s">
        <v>5</v>
      </c>
      <c r="I144" s="38"/>
      <c r="J144" s="38"/>
      <c r="K144" s="38"/>
      <c r="L144" s="50"/>
      <c r="M144" s="85"/>
      <c r="N144" s="50"/>
      <c r="O144" s="50"/>
      <c r="P144" s="50"/>
      <c r="Q144" s="50"/>
      <c r="R144" s="50"/>
      <c r="S144" s="50"/>
      <c r="T144" s="50"/>
      <c r="U144" s="50"/>
      <c r="V144" s="50">
        <f t="shared" si="17"/>
        <v>0</v>
      </c>
      <c r="W144" s="61">
        <f t="shared" si="30"/>
        <v>0</v>
      </c>
    </row>
    <row r="145" spans="1:23" s="3" customFormat="1" ht="16.5" customHeight="1" x14ac:dyDescent="0.2">
      <c r="A145" s="86" t="s">
        <v>199</v>
      </c>
      <c r="B145" s="87"/>
      <c r="C145" s="88" t="s">
        <v>81</v>
      </c>
      <c r="D145" s="89"/>
      <c r="E145" s="89"/>
      <c r="F145" s="89"/>
      <c r="G145" s="90"/>
      <c r="H145" s="1" t="s">
        <v>5</v>
      </c>
      <c r="I145" s="38"/>
      <c r="J145" s="38"/>
      <c r="K145" s="38"/>
      <c r="L145" s="50"/>
      <c r="M145" s="85"/>
      <c r="N145" s="50"/>
      <c r="O145" s="50"/>
      <c r="P145" s="50"/>
      <c r="Q145" s="50"/>
      <c r="R145" s="50"/>
      <c r="S145" s="50"/>
      <c r="T145" s="50"/>
      <c r="U145" s="50"/>
      <c r="V145" s="50">
        <f t="shared" si="17"/>
        <v>0</v>
      </c>
      <c r="W145" s="61">
        <f t="shared" si="30"/>
        <v>0</v>
      </c>
    </row>
    <row r="146" spans="1:23" s="3" customFormat="1" ht="8.1" customHeight="1" x14ac:dyDescent="0.2">
      <c r="A146" s="86" t="s">
        <v>200</v>
      </c>
      <c r="B146" s="87"/>
      <c r="C146" s="91" t="s">
        <v>82</v>
      </c>
      <c r="D146" s="92"/>
      <c r="E146" s="92"/>
      <c r="F146" s="92"/>
      <c r="G146" s="93"/>
      <c r="H146" s="1" t="s">
        <v>5</v>
      </c>
      <c r="I146" s="38"/>
      <c r="J146" s="38"/>
      <c r="K146" s="38"/>
      <c r="L146" s="50"/>
      <c r="M146" s="85"/>
      <c r="N146" s="50"/>
      <c r="O146" s="50"/>
      <c r="P146" s="50"/>
      <c r="Q146" s="50"/>
      <c r="R146" s="50"/>
      <c r="S146" s="50"/>
      <c r="T146" s="50"/>
      <c r="U146" s="50"/>
      <c r="V146" s="50">
        <f t="shared" si="17"/>
        <v>0</v>
      </c>
      <c r="W146" s="61">
        <f t="shared" si="30"/>
        <v>0</v>
      </c>
    </row>
    <row r="147" spans="1:23" s="3" customFormat="1" ht="8.1" customHeight="1" x14ac:dyDescent="0.2">
      <c r="A147" s="86" t="s">
        <v>201</v>
      </c>
      <c r="B147" s="87"/>
      <c r="C147" s="91" t="s">
        <v>83</v>
      </c>
      <c r="D147" s="92"/>
      <c r="E147" s="92"/>
      <c r="F147" s="92"/>
      <c r="G147" s="93"/>
      <c r="H147" s="1" t="s">
        <v>5</v>
      </c>
      <c r="I147" s="38"/>
      <c r="J147" s="38"/>
      <c r="K147" s="38"/>
      <c r="L147" s="50"/>
      <c r="M147" s="85"/>
      <c r="N147" s="50"/>
      <c r="O147" s="50"/>
      <c r="P147" s="50"/>
      <c r="Q147" s="50"/>
      <c r="R147" s="50"/>
      <c r="S147" s="50"/>
      <c r="T147" s="50"/>
      <c r="U147" s="50"/>
      <c r="V147" s="50">
        <f t="shared" ref="V147:V159" si="34">L147+N147+P147+R147+T147</f>
        <v>0</v>
      </c>
      <c r="W147" s="61">
        <f t="shared" si="30"/>
        <v>0</v>
      </c>
    </row>
    <row r="148" spans="1:23" s="3" customFormat="1" ht="8.1" customHeight="1" x14ac:dyDescent="0.2">
      <c r="A148" s="86" t="s">
        <v>202</v>
      </c>
      <c r="B148" s="87"/>
      <c r="C148" s="88" t="s">
        <v>84</v>
      </c>
      <c r="D148" s="89"/>
      <c r="E148" s="89"/>
      <c r="F148" s="89"/>
      <c r="G148" s="90"/>
      <c r="H148" s="1" t="s">
        <v>5</v>
      </c>
      <c r="I148" s="38">
        <v>7.11</v>
      </c>
      <c r="J148" s="38"/>
      <c r="K148" s="38"/>
      <c r="L148" s="50"/>
      <c r="M148" s="85">
        <f t="shared" si="32"/>
        <v>3.9304628633333332</v>
      </c>
      <c r="N148" s="50"/>
      <c r="O148" s="50"/>
      <c r="P148" s="50"/>
      <c r="Q148" s="50"/>
      <c r="R148" s="50"/>
      <c r="S148" s="50"/>
      <c r="T148" s="50"/>
      <c r="U148" s="50"/>
      <c r="V148" s="50">
        <f t="shared" si="34"/>
        <v>0</v>
      </c>
      <c r="W148" s="61">
        <f t="shared" si="30"/>
        <v>3.9304628633333332</v>
      </c>
    </row>
    <row r="149" spans="1:23" s="3" customFormat="1" ht="8.1" customHeight="1" x14ac:dyDescent="0.2">
      <c r="A149" s="86" t="s">
        <v>203</v>
      </c>
      <c r="B149" s="87"/>
      <c r="C149" s="150" t="s">
        <v>204</v>
      </c>
      <c r="D149" s="151"/>
      <c r="E149" s="151"/>
      <c r="F149" s="151"/>
      <c r="G149" s="152"/>
      <c r="H149" s="1" t="s">
        <v>5</v>
      </c>
      <c r="I149" s="38">
        <v>28.28</v>
      </c>
      <c r="J149" s="38">
        <v>100.06</v>
      </c>
      <c r="K149" s="38">
        <v>27.47</v>
      </c>
      <c r="L149" s="50">
        <f>L151+L150</f>
        <v>181.42000000000004</v>
      </c>
      <c r="M149" s="50">
        <f t="shared" ref="M149:T149" si="35">M151+M150</f>
        <v>11.123364269999968</v>
      </c>
      <c r="N149" s="50">
        <f t="shared" si="35"/>
        <v>197.20000000000002</v>
      </c>
      <c r="O149" s="50">
        <f t="shared" si="35"/>
        <v>167.29</v>
      </c>
      <c r="P149" s="50">
        <f t="shared" si="35"/>
        <v>26.970000000000109</v>
      </c>
      <c r="Q149" s="50">
        <f t="shared" si="35"/>
        <v>11.459999999999891</v>
      </c>
      <c r="R149" s="50">
        <f t="shared" si="35"/>
        <v>19.519999999999989</v>
      </c>
      <c r="S149" s="50">
        <f t="shared" si="35"/>
        <v>11.509999999999886</v>
      </c>
      <c r="T149" s="50">
        <f t="shared" si="35"/>
        <v>291.90999999999997</v>
      </c>
      <c r="U149" s="50">
        <f t="shared" ref="U149" si="36">U153+U150</f>
        <v>0</v>
      </c>
      <c r="V149" s="50">
        <f t="shared" si="34"/>
        <v>717.0200000000001</v>
      </c>
      <c r="W149" s="61">
        <f t="shared" si="30"/>
        <v>201.38336426999973</v>
      </c>
    </row>
    <row r="150" spans="1:23" s="3" customFormat="1" ht="8.1" customHeight="1" x14ac:dyDescent="0.2">
      <c r="A150" s="86" t="s">
        <v>205</v>
      </c>
      <c r="B150" s="87"/>
      <c r="C150" s="88" t="s">
        <v>209</v>
      </c>
      <c r="D150" s="89"/>
      <c r="E150" s="89"/>
      <c r="F150" s="89"/>
      <c r="G150" s="90"/>
      <c r="H150" s="1" t="s">
        <v>5</v>
      </c>
      <c r="I150" s="38">
        <v>28.28</v>
      </c>
      <c r="J150" s="38">
        <v>100.06</v>
      </c>
      <c r="K150" s="38"/>
      <c r="L150" s="50">
        <v>43.98</v>
      </c>
      <c r="M150" s="50"/>
      <c r="N150" s="50">
        <v>39.01</v>
      </c>
      <c r="O150" s="50"/>
      <c r="P150" s="50">
        <v>38.9</v>
      </c>
      <c r="Q150" s="50"/>
      <c r="R150" s="50">
        <v>59.87</v>
      </c>
      <c r="S150" s="50"/>
      <c r="T150" s="50">
        <v>55.54</v>
      </c>
      <c r="U150" s="50"/>
      <c r="V150" s="50">
        <f t="shared" si="34"/>
        <v>237.29999999999998</v>
      </c>
      <c r="W150" s="61">
        <f t="shared" si="30"/>
        <v>0</v>
      </c>
    </row>
    <row r="151" spans="1:23" s="3" customFormat="1" ht="8.1" customHeight="1" x14ac:dyDescent="0.2">
      <c r="A151" s="86" t="s">
        <v>206</v>
      </c>
      <c r="B151" s="87"/>
      <c r="C151" s="88" t="s">
        <v>210</v>
      </c>
      <c r="D151" s="89"/>
      <c r="E151" s="89"/>
      <c r="F151" s="89"/>
      <c r="G151" s="90"/>
      <c r="H151" s="1" t="s">
        <v>5</v>
      </c>
      <c r="I151" s="38"/>
      <c r="J151" s="38"/>
      <c r="K151" s="38">
        <v>27.47</v>
      </c>
      <c r="L151" s="50">
        <f>L134-L150</f>
        <v>137.44000000000005</v>
      </c>
      <c r="M151" s="50">
        <f t="shared" ref="M151:V151" si="37">M134-M150</f>
        <v>11.123364269999968</v>
      </c>
      <c r="N151" s="50">
        <f t="shared" si="37"/>
        <v>158.19000000000003</v>
      </c>
      <c r="O151" s="50">
        <f t="shared" si="37"/>
        <v>167.29</v>
      </c>
      <c r="P151" s="50">
        <f t="shared" si="37"/>
        <v>-11.92999999999989</v>
      </c>
      <c r="Q151" s="50">
        <f t="shared" si="37"/>
        <v>11.459999999999891</v>
      </c>
      <c r="R151" s="50">
        <f t="shared" si="37"/>
        <v>-40.350000000000009</v>
      </c>
      <c r="S151" s="50">
        <f t="shared" si="37"/>
        <v>11.509999999999886</v>
      </c>
      <c r="T151" s="50">
        <f t="shared" si="37"/>
        <v>236.36999999999998</v>
      </c>
      <c r="U151" s="50">
        <f t="shared" si="37"/>
        <v>151.15999999999985</v>
      </c>
      <c r="V151" s="50">
        <f t="shared" si="37"/>
        <v>479.72000000000037</v>
      </c>
      <c r="W151" s="61">
        <f t="shared" si="30"/>
        <v>352.54336426999959</v>
      </c>
    </row>
    <row r="152" spans="1:23" s="3" customFormat="1" ht="8.1" customHeight="1" x14ac:dyDescent="0.2">
      <c r="A152" s="86" t="s">
        <v>207</v>
      </c>
      <c r="B152" s="87"/>
      <c r="C152" s="88" t="s">
        <v>211</v>
      </c>
      <c r="D152" s="89"/>
      <c r="E152" s="89"/>
      <c r="F152" s="89"/>
      <c r="G152" s="90"/>
      <c r="H152" s="1" t="s">
        <v>5</v>
      </c>
      <c r="I152" s="38"/>
      <c r="J152" s="38"/>
      <c r="K152" s="38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>
        <f t="shared" si="34"/>
        <v>0</v>
      </c>
      <c r="W152" s="61">
        <f t="shared" si="30"/>
        <v>0</v>
      </c>
    </row>
    <row r="153" spans="1:23" s="3" customFormat="1" ht="9" thickBot="1" x14ac:dyDescent="0.25">
      <c r="A153" s="117" t="s">
        <v>208</v>
      </c>
      <c r="B153" s="118"/>
      <c r="C153" s="119" t="s">
        <v>212</v>
      </c>
      <c r="D153" s="120"/>
      <c r="E153" s="120"/>
      <c r="F153" s="120"/>
      <c r="G153" s="121"/>
      <c r="H153" s="24" t="s">
        <v>5</v>
      </c>
      <c r="I153" s="41"/>
      <c r="J153" s="41"/>
      <c r="K153" s="41"/>
      <c r="L153" s="52"/>
      <c r="M153" s="52"/>
      <c r="N153" s="52"/>
      <c r="O153" s="52"/>
      <c r="P153" s="52"/>
      <c r="Q153" s="52"/>
      <c r="R153" s="52"/>
      <c r="S153" s="52"/>
      <c r="T153" s="52"/>
      <c r="U153" s="52"/>
      <c r="V153" s="52">
        <f t="shared" si="34"/>
        <v>0</v>
      </c>
      <c r="W153" s="69">
        <f t="shared" si="30"/>
        <v>0</v>
      </c>
    </row>
    <row r="154" spans="1:23" s="3" customFormat="1" ht="9" customHeight="1" x14ac:dyDescent="0.2">
      <c r="A154" s="186" t="s">
        <v>213</v>
      </c>
      <c r="B154" s="187"/>
      <c r="C154" s="180" t="s">
        <v>110</v>
      </c>
      <c r="D154" s="181"/>
      <c r="E154" s="181"/>
      <c r="F154" s="181"/>
      <c r="G154" s="182"/>
      <c r="H154" s="25" t="s">
        <v>475</v>
      </c>
      <c r="I154" s="42"/>
      <c r="J154" s="42"/>
      <c r="K154" s="42"/>
      <c r="L154" s="60"/>
      <c r="M154" s="60"/>
      <c r="N154" s="60"/>
      <c r="O154" s="60"/>
      <c r="P154" s="60"/>
      <c r="Q154" s="60"/>
      <c r="R154" s="60"/>
      <c r="S154" s="60"/>
      <c r="T154" s="60"/>
      <c r="U154" s="60"/>
      <c r="V154" s="60">
        <f t="shared" si="34"/>
        <v>0</v>
      </c>
      <c r="W154" s="70">
        <f t="shared" si="30"/>
        <v>0</v>
      </c>
    </row>
    <row r="155" spans="1:23" s="3" customFormat="1" ht="16.5" customHeight="1" x14ac:dyDescent="0.2">
      <c r="A155" s="86" t="s">
        <v>214</v>
      </c>
      <c r="B155" s="87"/>
      <c r="C155" s="88" t="s">
        <v>220</v>
      </c>
      <c r="D155" s="89"/>
      <c r="E155" s="89"/>
      <c r="F155" s="89"/>
      <c r="G155" s="90"/>
      <c r="H155" s="1" t="s">
        <v>5</v>
      </c>
      <c r="I155" s="38">
        <f>I104+I100+I64</f>
        <v>160.83000000000004</v>
      </c>
      <c r="J155" s="38">
        <f t="shared" ref="J155:V155" si="38">J104+J100+J64</f>
        <v>223.10999999999996</v>
      </c>
      <c r="K155" s="38">
        <f t="shared" si="38"/>
        <v>158.87448200500012</v>
      </c>
      <c r="L155" s="50">
        <f t="shared" si="38"/>
        <v>348.22</v>
      </c>
      <c r="M155" s="50">
        <f t="shared" si="38"/>
        <v>196.63883612999993</v>
      </c>
      <c r="N155" s="50">
        <f t="shared" si="38"/>
        <v>378</v>
      </c>
      <c r="O155" s="50">
        <f t="shared" si="38"/>
        <v>350.79999999999995</v>
      </c>
      <c r="P155" s="50">
        <f t="shared" si="38"/>
        <v>184.91000000000008</v>
      </c>
      <c r="Q155" s="50">
        <f t="shared" si="38"/>
        <v>177.3899999999999</v>
      </c>
      <c r="R155" s="50">
        <f t="shared" si="38"/>
        <v>171.96999999999997</v>
      </c>
      <c r="S155" s="50">
        <f t="shared" si="38"/>
        <v>171.75999999999988</v>
      </c>
      <c r="T155" s="50">
        <f t="shared" si="38"/>
        <v>455.02</v>
      </c>
      <c r="U155" s="50">
        <f t="shared" si="38"/>
        <v>355.03999999999985</v>
      </c>
      <c r="V155" s="50">
        <f t="shared" si="38"/>
        <v>1538.1200000000003</v>
      </c>
      <c r="W155" s="61">
        <f t="shared" si="30"/>
        <v>1251.6288361299994</v>
      </c>
    </row>
    <row r="156" spans="1:23" s="3" customFormat="1" ht="8.1" customHeight="1" x14ac:dyDescent="0.2">
      <c r="A156" s="86" t="s">
        <v>215</v>
      </c>
      <c r="B156" s="87"/>
      <c r="C156" s="88" t="s">
        <v>221</v>
      </c>
      <c r="D156" s="89"/>
      <c r="E156" s="89"/>
      <c r="F156" s="89"/>
      <c r="G156" s="90"/>
      <c r="H156" s="1" t="s">
        <v>5</v>
      </c>
      <c r="I156" s="38">
        <v>283.27999999999997</v>
      </c>
      <c r="J156" s="38">
        <v>249.71</v>
      </c>
      <c r="K156" s="38">
        <v>249.71</v>
      </c>
      <c r="L156" s="50">
        <v>294.01</v>
      </c>
      <c r="M156" s="50">
        <f>K158</f>
        <v>446.68</v>
      </c>
      <c r="N156" s="50"/>
      <c r="O156" s="50">
        <v>347.16</v>
      </c>
      <c r="P156" s="50"/>
      <c r="Q156" s="50">
        <v>347.16</v>
      </c>
      <c r="R156" s="71"/>
      <c r="S156" s="50">
        <v>247.16</v>
      </c>
      <c r="T156" s="71"/>
      <c r="U156" s="50">
        <v>247.16</v>
      </c>
      <c r="V156" s="50">
        <f>L156+N156+P156+S156+U156</f>
        <v>788.32999999999993</v>
      </c>
      <c r="W156" s="61">
        <f t="shared" si="30"/>
        <v>1635.3200000000002</v>
      </c>
    </row>
    <row r="157" spans="1:23" s="3" customFormat="1" ht="8.1" customHeight="1" x14ac:dyDescent="0.2">
      <c r="A157" s="86" t="s">
        <v>216</v>
      </c>
      <c r="B157" s="87"/>
      <c r="C157" s="91" t="s">
        <v>222</v>
      </c>
      <c r="D157" s="92"/>
      <c r="E157" s="92"/>
      <c r="F157" s="92"/>
      <c r="G157" s="93"/>
      <c r="H157" s="1" t="s">
        <v>5</v>
      </c>
      <c r="I157" s="38"/>
      <c r="J157" s="38">
        <v>0.73</v>
      </c>
      <c r="K157" s="38">
        <v>0.73</v>
      </c>
      <c r="L157" s="50"/>
      <c r="M157" s="50">
        <f>K159</f>
        <v>0.73</v>
      </c>
      <c r="N157" s="50"/>
      <c r="O157" s="50"/>
      <c r="P157" s="50"/>
      <c r="Q157" s="50"/>
      <c r="R157" s="71"/>
      <c r="S157" s="50"/>
      <c r="T157" s="71"/>
      <c r="U157" s="50"/>
      <c r="V157" s="50">
        <f>L157+N157+P157+S157+U157</f>
        <v>0</v>
      </c>
      <c r="W157" s="61">
        <f t="shared" si="30"/>
        <v>0.73</v>
      </c>
    </row>
    <row r="158" spans="1:23" s="3" customFormat="1" ht="8.1" customHeight="1" x14ac:dyDescent="0.2">
      <c r="A158" s="86" t="s">
        <v>217</v>
      </c>
      <c r="B158" s="87"/>
      <c r="C158" s="88" t="s">
        <v>223</v>
      </c>
      <c r="D158" s="89"/>
      <c r="E158" s="89"/>
      <c r="F158" s="89"/>
      <c r="G158" s="90"/>
      <c r="H158" s="1" t="s">
        <v>5</v>
      </c>
      <c r="I158" s="38">
        <v>249.71</v>
      </c>
      <c r="J158" s="38">
        <v>294.01</v>
      </c>
      <c r="K158" s="38">
        <v>446.68</v>
      </c>
      <c r="L158" s="50"/>
      <c r="M158" s="50">
        <f>746.196</f>
        <v>746.19600000000003</v>
      </c>
      <c r="N158" s="50"/>
      <c r="O158" s="50">
        <v>347.16</v>
      </c>
      <c r="P158" s="50"/>
      <c r="Q158" s="50">
        <v>247.16</v>
      </c>
      <c r="R158" s="71"/>
      <c r="S158" s="50">
        <v>247.16</v>
      </c>
      <c r="T158" s="71"/>
      <c r="U158" s="50">
        <v>247.16</v>
      </c>
      <c r="V158" s="50">
        <f>L158+N158+P158+S158+U158</f>
        <v>494.32</v>
      </c>
      <c r="W158" s="61">
        <f t="shared" si="30"/>
        <v>1834.8360000000002</v>
      </c>
    </row>
    <row r="159" spans="1:23" s="3" customFormat="1" ht="8.1" customHeight="1" x14ac:dyDescent="0.2">
      <c r="A159" s="86" t="s">
        <v>218</v>
      </c>
      <c r="B159" s="87"/>
      <c r="C159" s="91" t="s">
        <v>224</v>
      </c>
      <c r="D159" s="92"/>
      <c r="E159" s="92"/>
      <c r="F159" s="92"/>
      <c r="G159" s="93"/>
      <c r="H159" s="1" t="s">
        <v>5</v>
      </c>
      <c r="I159" s="38">
        <v>0.73</v>
      </c>
      <c r="J159" s="38"/>
      <c r="K159" s="38">
        <v>0.73</v>
      </c>
      <c r="L159" s="50"/>
      <c r="M159" s="50">
        <v>0</v>
      </c>
      <c r="N159" s="50"/>
      <c r="O159" s="50"/>
      <c r="P159" s="50"/>
      <c r="Q159" s="50"/>
      <c r="R159" s="50"/>
      <c r="S159" s="50"/>
      <c r="T159" s="50"/>
      <c r="U159" s="50"/>
      <c r="V159" s="50">
        <f t="shared" si="34"/>
        <v>0</v>
      </c>
      <c r="W159" s="61"/>
    </row>
    <row r="160" spans="1:23" s="3" customFormat="1" ht="17.25" customHeight="1" thickBot="1" x14ac:dyDescent="0.25">
      <c r="A160" s="117" t="s">
        <v>219</v>
      </c>
      <c r="B160" s="118"/>
      <c r="C160" s="119" t="s">
        <v>225</v>
      </c>
      <c r="D160" s="120"/>
      <c r="E160" s="120"/>
      <c r="F160" s="120"/>
      <c r="G160" s="121"/>
      <c r="H160" s="24" t="s">
        <v>475</v>
      </c>
      <c r="I160" s="41">
        <f>I158/I155</f>
        <v>1.5526332151961695</v>
      </c>
      <c r="J160" s="41">
        <f t="shared" ref="J160:V160" si="39">J158/J155</f>
        <v>1.3177804670341986</v>
      </c>
      <c r="K160" s="41">
        <f t="shared" si="39"/>
        <v>2.8115276560646287</v>
      </c>
      <c r="L160" s="52">
        <f t="shared" si="39"/>
        <v>0</v>
      </c>
      <c r="M160" s="52">
        <f t="shared" si="39"/>
        <v>3.7947539493504849</v>
      </c>
      <c r="N160" s="52">
        <f t="shared" si="39"/>
        <v>0</v>
      </c>
      <c r="O160" s="52">
        <f t="shared" si="39"/>
        <v>0.98962371721778808</v>
      </c>
      <c r="P160" s="52">
        <f t="shared" si="39"/>
        <v>0</v>
      </c>
      <c r="Q160" s="52">
        <f t="shared" si="39"/>
        <v>1.3933141665257349</v>
      </c>
      <c r="R160" s="52">
        <f t="shared" si="39"/>
        <v>0</v>
      </c>
      <c r="S160" s="52">
        <f t="shared" si="39"/>
        <v>1.4389846297158837</v>
      </c>
      <c r="T160" s="52">
        <f t="shared" si="39"/>
        <v>0</v>
      </c>
      <c r="U160" s="52">
        <f t="shared" si="39"/>
        <v>0.69614691302388487</v>
      </c>
      <c r="V160" s="50">
        <f t="shared" si="39"/>
        <v>0.32137934621485964</v>
      </c>
      <c r="W160" s="61">
        <f>W158/W155</f>
        <v>1.4659585549924374</v>
      </c>
    </row>
    <row r="161" spans="1:23" s="26" customFormat="1" ht="10.5" customHeight="1" thickBot="1" x14ac:dyDescent="0.25">
      <c r="A161" s="94" t="s">
        <v>226</v>
      </c>
      <c r="B161" s="95"/>
      <c r="C161" s="95"/>
      <c r="D161" s="95"/>
      <c r="E161" s="95"/>
      <c r="F161" s="95"/>
      <c r="G161" s="95"/>
      <c r="H161" s="95"/>
      <c r="I161" s="95"/>
      <c r="J161" s="95"/>
      <c r="K161" s="95"/>
      <c r="L161" s="95"/>
      <c r="M161" s="95"/>
      <c r="N161" s="95"/>
      <c r="O161" s="95"/>
      <c r="P161" s="95"/>
      <c r="Q161" s="95"/>
      <c r="R161" s="95"/>
      <c r="S161" s="95"/>
      <c r="T161" s="95"/>
      <c r="U161" s="95"/>
      <c r="V161" s="95"/>
      <c r="W161" s="96"/>
    </row>
    <row r="162" spans="1:23" s="3" customFormat="1" ht="10.5" customHeight="1" x14ac:dyDescent="0.2">
      <c r="A162" s="186" t="s">
        <v>227</v>
      </c>
      <c r="B162" s="187"/>
      <c r="C162" s="180" t="s">
        <v>228</v>
      </c>
      <c r="D162" s="181"/>
      <c r="E162" s="181"/>
      <c r="F162" s="181"/>
      <c r="G162" s="182"/>
      <c r="H162" s="1" t="s">
        <v>5</v>
      </c>
      <c r="I162" s="38">
        <f>I170+I171</f>
        <v>378.31</v>
      </c>
      <c r="J162" s="38">
        <f t="shared" ref="J162:U162" si="40">J170+J171</f>
        <v>431.04999999999995</v>
      </c>
      <c r="K162" s="38">
        <v>569.72</v>
      </c>
      <c r="L162" s="50">
        <f t="shared" si="40"/>
        <v>615.83999999999992</v>
      </c>
      <c r="M162" s="50">
        <f>M170+M171+M179</f>
        <v>572.98357599000008</v>
      </c>
      <c r="N162" s="50">
        <f t="shared" si="40"/>
        <v>684.31999999999994</v>
      </c>
      <c r="O162" s="50">
        <f t="shared" si="40"/>
        <v>764.1</v>
      </c>
      <c r="P162" s="50">
        <f t="shared" si="40"/>
        <v>529.23</v>
      </c>
      <c r="Q162" s="50">
        <f t="shared" si="40"/>
        <v>613.28</v>
      </c>
      <c r="R162" s="50">
        <f t="shared" si="40"/>
        <v>539.95000000000005</v>
      </c>
      <c r="S162" s="50">
        <f t="shared" si="40"/>
        <v>564.06999999999994</v>
      </c>
      <c r="T162" s="50">
        <f t="shared" si="40"/>
        <v>485.62</v>
      </c>
      <c r="U162" s="50">
        <f t="shared" si="40"/>
        <v>579.07000000000005</v>
      </c>
      <c r="V162" s="50">
        <f>L162+N162+P162+R162+T162</f>
        <v>2854.96</v>
      </c>
      <c r="W162" s="61">
        <f>M162+O162+Q162+S162+U162</f>
        <v>3093.5035759900002</v>
      </c>
    </row>
    <row r="163" spans="1:23" s="3" customFormat="1" ht="8.1" customHeight="1" x14ac:dyDescent="0.2">
      <c r="A163" s="86" t="s">
        <v>229</v>
      </c>
      <c r="B163" s="87"/>
      <c r="C163" s="88" t="s">
        <v>46</v>
      </c>
      <c r="D163" s="89"/>
      <c r="E163" s="89"/>
      <c r="F163" s="89"/>
      <c r="G163" s="90"/>
      <c r="H163" s="1" t="s">
        <v>5</v>
      </c>
      <c r="I163" s="38"/>
      <c r="J163" s="72"/>
      <c r="K163" s="38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>
        <f t="shared" ref="V163:W226" si="41">L163+N163+P163+R163+T163</f>
        <v>0</v>
      </c>
      <c r="W163" s="61">
        <f t="shared" ref="W163:W183" si="42">M163+O163+Q163+S163+U163</f>
        <v>0</v>
      </c>
    </row>
    <row r="164" spans="1:23" s="3" customFormat="1" ht="16.5" customHeight="1" x14ac:dyDescent="0.2">
      <c r="A164" s="86" t="s">
        <v>230</v>
      </c>
      <c r="B164" s="87"/>
      <c r="C164" s="91" t="s">
        <v>47</v>
      </c>
      <c r="D164" s="92"/>
      <c r="E164" s="92"/>
      <c r="F164" s="92"/>
      <c r="G164" s="93"/>
      <c r="H164" s="1" t="s">
        <v>5</v>
      </c>
      <c r="I164" s="38"/>
      <c r="J164" s="38"/>
      <c r="K164" s="38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>
        <f t="shared" si="41"/>
        <v>0</v>
      </c>
      <c r="W164" s="61">
        <f t="shared" si="42"/>
        <v>0</v>
      </c>
    </row>
    <row r="165" spans="1:23" s="3" customFormat="1" ht="16.5" customHeight="1" x14ac:dyDescent="0.2">
      <c r="A165" s="86" t="s">
        <v>231</v>
      </c>
      <c r="B165" s="87"/>
      <c r="C165" s="91" t="s">
        <v>52</v>
      </c>
      <c r="D165" s="92"/>
      <c r="E165" s="92"/>
      <c r="F165" s="92"/>
      <c r="G165" s="93"/>
      <c r="H165" s="1" t="s">
        <v>5</v>
      </c>
      <c r="I165" s="38"/>
      <c r="J165" s="38"/>
      <c r="K165" s="38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>
        <f t="shared" si="41"/>
        <v>0</v>
      </c>
      <c r="W165" s="61">
        <f t="shared" si="42"/>
        <v>0</v>
      </c>
    </row>
    <row r="166" spans="1:23" s="3" customFormat="1" ht="16.5" customHeight="1" x14ac:dyDescent="0.2">
      <c r="A166" s="86" t="s">
        <v>232</v>
      </c>
      <c r="B166" s="87"/>
      <c r="C166" s="91" t="s">
        <v>53</v>
      </c>
      <c r="D166" s="92"/>
      <c r="E166" s="92"/>
      <c r="F166" s="92"/>
      <c r="G166" s="93"/>
      <c r="H166" s="1" t="s">
        <v>5</v>
      </c>
      <c r="I166" s="38"/>
      <c r="J166" s="38"/>
      <c r="K166" s="38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>
        <f t="shared" si="41"/>
        <v>0</v>
      </c>
      <c r="W166" s="61">
        <f t="shared" si="42"/>
        <v>0</v>
      </c>
    </row>
    <row r="167" spans="1:23" s="3" customFormat="1" ht="8.1" customHeight="1" x14ac:dyDescent="0.2">
      <c r="A167" s="86" t="s">
        <v>233</v>
      </c>
      <c r="B167" s="87"/>
      <c r="C167" s="88" t="s">
        <v>54</v>
      </c>
      <c r="D167" s="89"/>
      <c r="E167" s="89"/>
      <c r="F167" s="89"/>
      <c r="G167" s="90"/>
      <c r="H167" s="1" t="s">
        <v>5</v>
      </c>
      <c r="I167" s="38"/>
      <c r="J167" s="38"/>
      <c r="K167" s="38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>
        <f t="shared" si="41"/>
        <v>0</v>
      </c>
      <c r="W167" s="61">
        <f t="shared" si="42"/>
        <v>0</v>
      </c>
    </row>
    <row r="168" spans="1:23" s="3" customFormat="1" ht="8.1" customHeight="1" x14ac:dyDescent="0.2">
      <c r="A168" s="86" t="s">
        <v>234</v>
      </c>
      <c r="B168" s="87"/>
      <c r="C168" s="88" t="s">
        <v>76</v>
      </c>
      <c r="D168" s="89"/>
      <c r="E168" s="89"/>
      <c r="F168" s="89"/>
      <c r="G168" s="90"/>
      <c r="H168" s="1" t="s">
        <v>5</v>
      </c>
      <c r="I168" s="38"/>
      <c r="J168" s="38"/>
      <c r="K168" s="38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>
        <f t="shared" si="41"/>
        <v>0</v>
      </c>
      <c r="W168" s="61">
        <f t="shared" si="42"/>
        <v>0</v>
      </c>
    </row>
    <row r="169" spans="1:23" s="3" customFormat="1" ht="8.1" customHeight="1" x14ac:dyDescent="0.2">
      <c r="A169" s="86" t="s">
        <v>235</v>
      </c>
      <c r="B169" s="87"/>
      <c r="C169" s="88" t="s">
        <v>77</v>
      </c>
      <c r="D169" s="89"/>
      <c r="E169" s="89"/>
      <c r="F169" s="89"/>
      <c r="G169" s="90"/>
      <c r="H169" s="1" t="s">
        <v>5</v>
      </c>
      <c r="I169" s="38"/>
      <c r="J169" s="38"/>
      <c r="K169" s="38">
        <v>28.31</v>
      </c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>
        <f t="shared" si="41"/>
        <v>0</v>
      </c>
      <c r="W169" s="61">
        <f t="shared" si="42"/>
        <v>0</v>
      </c>
    </row>
    <row r="170" spans="1:23" s="3" customFormat="1" ht="8.1" customHeight="1" x14ac:dyDescent="0.2">
      <c r="A170" s="86" t="s">
        <v>236</v>
      </c>
      <c r="B170" s="87"/>
      <c r="C170" s="88" t="s">
        <v>78</v>
      </c>
      <c r="D170" s="89"/>
      <c r="E170" s="89"/>
      <c r="F170" s="89"/>
      <c r="G170" s="90"/>
      <c r="H170" s="1" t="s">
        <v>5</v>
      </c>
      <c r="I170" s="38">
        <v>5</v>
      </c>
      <c r="J170" s="38">
        <v>71.53</v>
      </c>
      <c r="K170" s="38">
        <v>66.56</v>
      </c>
      <c r="L170" s="50">
        <v>236.81</v>
      </c>
      <c r="M170" s="50">
        <f>[3]БДДС!$H$6</f>
        <v>69.803926290000007</v>
      </c>
      <c r="N170" s="50">
        <v>285.42</v>
      </c>
      <c r="O170" s="50">
        <v>285.42</v>
      </c>
      <c r="P170" s="50">
        <v>108.98</v>
      </c>
      <c r="Q170" s="50">
        <v>108.98</v>
      </c>
      <c r="R170" s="50">
        <v>96.81</v>
      </c>
      <c r="S170" s="50">
        <v>96.81</v>
      </c>
      <c r="T170" s="50">
        <v>18.36</v>
      </c>
      <c r="U170" s="50">
        <v>18.36</v>
      </c>
      <c r="V170" s="50">
        <f t="shared" si="41"/>
        <v>746.38</v>
      </c>
      <c r="W170" s="61">
        <f t="shared" si="42"/>
        <v>579.37392628999999</v>
      </c>
    </row>
    <row r="171" spans="1:23" s="3" customFormat="1" ht="8.1" customHeight="1" x14ac:dyDescent="0.2">
      <c r="A171" s="86" t="s">
        <v>237</v>
      </c>
      <c r="B171" s="87"/>
      <c r="C171" s="88" t="s">
        <v>79</v>
      </c>
      <c r="D171" s="89"/>
      <c r="E171" s="89"/>
      <c r="F171" s="89"/>
      <c r="G171" s="90"/>
      <c r="H171" s="1" t="s">
        <v>5</v>
      </c>
      <c r="I171" s="38">
        <v>373.31</v>
      </c>
      <c r="J171" s="38">
        <v>359.52</v>
      </c>
      <c r="K171" s="38">
        <v>474.85</v>
      </c>
      <c r="L171" s="50">
        <v>379.03</v>
      </c>
      <c r="M171" s="50">
        <f>[3]БДДС!$H$7</f>
        <v>498.96740490000002</v>
      </c>
      <c r="N171" s="50">
        <v>398.9</v>
      </c>
      <c r="O171" s="50">
        <v>478.68</v>
      </c>
      <c r="P171" s="50">
        <v>420.25</v>
      </c>
      <c r="Q171" s="50">
        <v>504.3</v>
      </c>
      <c r="R171" s="50">
        <v>443.14</v>
      </c>
      <c r="S171" s="50">
        <v>467.26</v>
      </c>
      <c r="T171" s="50">
        <v>467.26</v>
      </c>
      <c r="U171" s="50">
        <v>560.71</v>
      </c>
      <c r="V171" s="50">
        <f t="shared" si="41"/>
        <v>2108.58</v>
      </c>
      <c r="W171" s="61">
        <f t="shared" si="42"/>
        <v>2509.9174049000003</v>
      </c>
    </row>
    <row r="172" spans="1:23" s="3" customFormat="1" ht="8.1" customHeight="1" x14ac:dyDescent="0.2">
      <c r="A172" s="86" t="s">
        <v>238</v>
      </c>
      <c r="B172" s="87"/>
      <c r="C172" s="88" t="s">
        <v>80</v>
      </c>
      <c r="D172" s="89"/>
      <c r="E172" s="89"/>
      <c r="F172" s="89"/>
      <c r="G172" s="90"/>
      <c r="H172" s="1" t="s">
        <v>5</v>
      </c>
      <c r="I172" s="38"/>
      <c r="J172" s="38"/>
      <c r="K172" s="38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>
        <f t="shared" si="41"/>
        <v>0</v>
      </c>
      <c r="W172" s="61">
        <f t="shared" si="42"/>
        <v>0</v>
      </c>
    </row>
    <row r="173" spans="1:23" s="3" customFormat="1" ht="16.5" customHeight="1" x14ac:dyDescent="0.2">
      <c r="A173" s="86" t="s">
        <v>239</v>
      </c>
      <c r="B173" s="87"/>
      <c r="C173" s="88" t="s">
        <v>81</v>
      </c>
      <c r="D173" s="89"/>
      <c r="E173" s="89"/>
      <c r="F173" s="89"/>
      <c r="G173" s="90"/>
      <c r="H173" s="1" t="s">
        <v>5</v>
      </c>
      <c r="I173" s="38"/>
      <c r="J173" s="38"/>
      <c r="K173" s="38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>
        <f t="shared" si="41"/>
        <v>0</v>
      </c>
      <c r="W173" s="61">
        <f t="shared" si="42"/>
        <v>0</v>
      </c>
    </row>
    <row r="174" spans="1:23" s="3" customFormat="1" ht="8.1" customHeight="1" x14ac:dyDescent="0.2">
      <c r="A174" s="86" t="s">
        <v>240</v>
      </c>
      <c r="B174" s="87"/>
      <c r="C174" s="91" t="s">
        <v>82</v>
      </c>
      <c r="D174" s="92"/>
      <c r="E174" s="92"/>
      <c r="F174" s="92"/>
      <c r="G174" s="93"/>
      <c r="H174" s="1" t="s">
        <v>5</v>
      </c>
      <c r="I174" s="38"/>
      <c r="J174" s="38"/>
      <c r="K174" s="38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>
        <f t="shared" si="41"/>
        <v>0</v>
      </c>
      <c r="W174" s="61">
        <f t="shared" si="42"/>
        <v>0</v>
      </c>
    </row>
    <row r="175" spans="1:23" s="3" customFormat="1" ht="8.1" customHeight="1" x14ac:dyDescent="0.2">
      <c r="A175" s="86" t="s">
        <v>241</v>
      </c>
      <c r="B175" s="87"/>
      <c r="C175" s="91" t="s">
        <v>83</v>
      </c>
      <c r="D175" s="92"/>
      <c r="E175" s="92"/>
      <c r="F175" s="92"/>
      <c r="G175" s="93"/>
      <c r="H175" s="1" t="s">
        <v>5</v>
      </c>
      <c r="I175" s="38"/>
      <c r="J175" s="38"/>
      <c r="K175" s="38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>
        <f t="shared" si="41"/>
        <v>0</v>
      </c>
      <c r="W175" s="61">
        <f t="shared" si="42"/>
        <v>0</v>
      </c>
    </row>
    <row r="176" spans="1:23" s="3" customFormat="1" ht="16.5" customHeight="1" x14ac:dyDescent="0.2">
      <c r="A176" s="86" t="s">
        <v>242</v>
      </c>
      <c r="B176" s="87"/>
      <c r="C176" s="88" t="s">
        <v>246</v>
      </c>
      <c r="D176" s="89"/>
      <c r="E176" s="89"/>
      <c r="F176" s="89"/>
      <c r="G176" s="90"/>
      <c r="H176" s="1" t="s">
        <v>5</v>
      </c>
      <c r="I176" s="38"/>
      <c r="J176" s="38"/>
      <c r="K176" s="38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>
        <f t="shared" si="41"/>
        <v>0</v>
      </c>
      <c r="W176" s="61">
        <f t="shared" si="42"/>
        <v>0</v>
      </c>
    </row>
    <row r="177" spans="1:23" s="3" customFormat="1" ht="8.1" customHeight="1" x14ac:dyDescent="0.2">
      <c r="A177" s="86" t="s">
        <v>243</v>
      </c>
      <c r="B177" s="87"/>
      <c r="C177" s="91" t="s">
        <v>247</v>
      </c>
      <c r="D177" s="92"/>
      <c r="E177" s="92"/>
      <c r="F177" s="92"/>
      <c r="G177" s="93"/>
      <c r="H177" s="1" t="s">
        <v>5</v>
      </c>
      <c r="I177" s="38"/>
      <c r="J177" s="38"/>
      <c r="K177" s="38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>
        <f t="shared" si="41"/>
        <v>0</v>
      </c>
      <c r="W177" s="61">
        <f t="shared" si="42"/>
        <v>0</v>
      </c>
    </row>
    <row r="178" spans="1:23" s="3" customFormat="1" ht="8.1" customHeight="1" x14ac:dyDescent="0.2">
      <c r="A178" s="86" t="s">
        <v>244</v>
      </c>
      <c r="B178" s="87"/>
      <c r="C178" s="91" t="s">
        <v>248</v>
      </c>
      <c r="D178" s="92"/>
      <c r="E178" s="92"/>
      <c r="F178" s="92"/>
      <c r="G178" s="93"/>
      <c r="H178" s="1" t="s">
        <v>5</v>
      </c>
      <c r="I178" s="38"/>
      <c r="J178" s="38"/>
      <c r="K178" s="38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>
        <f t="shared" si="41"/>
        <v>0</v>
      </c>
      <c r="W178" s="61">
        <f t="shared" si="42"/>
        <v>0</v>
      </c>
    </row>
    <row r="179" spans="1:23" s="3" customFormat="1" ht="8.1" customHeight="1" x14ac:dyDescent="0.2">
      <c r="A179" s="86" t="s">
        <v>245</v>
      </c>
      <c r="B179" s="87"/>
      <c r="C179" s="88" t="s">
        <v>84</v>
      </c>
      <c r="D179" s="89"/>
      <c r="E179" s="89"/>
      <c r="F179" s="89"/>
      <c r="G179" s="90"/>
      <c r="H179" s="1" t="s">
        <v>5</v>
      </c>
      <c r="I179" s="38"/>
      <c r="J179" s="38"/>
      <c r="K179" s="38"/>
      <c r="L179" s="50"/>
      <c r="M179" s="50">
        <f>[3]БДДС!$H$10</f>
        <v>4.2122448000000006</v>
      </c>
      <c r="N179" s="50"/>
      <c r="O179" s="50"/>
      <c r="P179" s="50"/>
      <c r="Q179" s="50"/>
      <c r="R179" s="50"/>
      <c r="S179" s="50"/>
      <c r="T179" s="50"/>
      <c r="U179" s="50"/>
      <c r="V179" s="50">
        <f t="shared" si="41"/>
        <v>0</v>
      </c>
      <c r="W179" s="61">
        <f t="shared" si="42"/>
        <v>4.2122448000000006</v>
      </c>
    </row>
    <row r="180" spans="1:23" s="3" customFormat="1" ht="9" customHeight="1" x14ac:dyDescent="0.2">
      <c r="A180" s="86" t="s">
        <v>249</v>
      </c>
      <c r="B180" s="87"/>
      <c r="C180" s="150" t="s">
        <v>250</v>
      </c>
      <c r="D180" s="151"/>
      <c r="E180" s="151"/>
      <c r="F180" s="151"/>
      <c r="G180" s="152"/>
      <c r="H180" s="1" t="s">
        <v>5</v>
      </c>
      <c r="I180" s="38">
        <f>I181+I184+I187+I189+I190+I191+I192+I195+I196+I197</f>
        <v>288.12999999999994</v>
      </c>
      <c r="J180" s="38">
        <f>J181+J184+J187+J189+J190+J191+J192+J195+J196+J197+J185</f>
        <v>398.81</v>
      </c>
      <c r="K180" s="38">
        <f t="shared" ref="K180:W180" si="43">K181+K184+K187+K189+K190+K191+K192+K195+K196+K197+K185</f>
        <v>414.19000000000005</v>
      </c>
      <c r="L180" s="50">
        <f t="shared" si="43"/>
        <v>394.29999999999995</v>
      </c>
      <c r="M180" s="50">
        <f>M181+M184+M187+M189+M190+M191+M195+M196+M197+M185+M193</f>
        <v>405.63204194999997</v>
      </c>
      <c r="N180" s="50">
        <f t="shared" si="43"/>
        <v>444.04</v>
      </c>
      <c r="O180" s="50">
        <f t="shared" si="43"/>
        <v>416.91999999999996</v>
      </c>
      <c r="P180" s="50">
        <f t="shared" si="43"/>
        <v>355.12</v>
      </c>
      <c r="Q180" s="50">
        <f t="shared" si="43"/>
        <v>356.49</v>
      </c>
      <c r="R180" s="50">
        <f t="shared" si="43"/>
        <v>405.9799999999999</v>
      </c>
      <c r="S180" s="50">
        <f t="shared" si="43"/>
        <v>385.11</v>
      </c>
      <c r="T180" s="50">
        <f t="shared" si="43"/>
        <v>393.95999999999992</v>
      </c>
      <c r="U180" s="50">
        <f t="shared" si="43"/>
        <v>495.31000000000006</v>
      </c>
      <c r="V180" s="50">
        <f t="shared" si="43"/>
        <v>2368.1300000000006</v>
      </c>
      <c r="W180" s="61">
        <f t="shared" si="43"/>
        <v>1662.00453597</v>
      </c>
    </row>
    <row r="181" spans="1:23" s="3" customFormat="1" ht="8.1" customHeight="1" x14ac:dyDescent="0.2">
      <c r="A181" s="86" t="s">
        <v>251</v>
      </c>
      <c r="B181" s="87"/>
      <c r="C181" s="88" t="s">
        <v>269</v>
      </c>
      <c r="D181" s="89"/>
      <c r="E181" s="89"/>
      <c r="F181" s="89"/>
      <c r="G181" s="90"/>
      <c r="H181" s="1" t="s">
        <v>5</v>
      </c>
      <c r="I181" s="38">
        <v>0.93</v>
      </c>
      <c r="J181" s="38">
        <v>1</v>
      </c>
      <c r="K181" s="38"/>
      <c r="L181" s="50">
        <v>1.1000000000000001</v>
      </c>
      <c r="M181" s="50"/>
      <c r="N181" s="50">
        <v>1.2</v>
      </c>
      <c r="O181" s="50">
        <v>1.2</v>
      </c>
      <c r="P181" s="50">
        <v>1.3</v>
      </c>
      <c r="Q181" s="50">
        <v>1.3</v>
      </c>
      <c r="R181" s="50">
        <v>1.4</v>
      </c>
      <c r="S181" s="50">
        <v>1.4</v>
      </c>
      <c r="T181" s="50">
        <v>1.5</v>
      </c>
      <c r="U181" s="50">
        <v>1.5</v>
      </c>
      <c r="V181" s="50">
        <f t="shared" si="41"/>
        <v>6.5</v>
      </c>
      <c r="W181" s="61">
        <f t="shared" si="42"/>
        <v>5.4</v>
      </c>
    </row>
    <row r="182" spans="1:23" s="3" customFormat="1" ht="8.1" customHeight="1" x14ac:dyDescent="0.2">
      <c r="A182" s="86" t="s">
        <v>252</v>
      </c>
      <c r="B182" s="87"/>
      <c r="C182" s="88" t="s">
        <v>270</v>
      </c>
      <c r="D182" s="89"/>
      <c r="E182" s="89"/>
      <c r="F182" s="89"/>
      <c r="G182" s="90"/>
      <c r="H182" s="1" t="s">
        <v>5</v>
      </c>
      <c r="I182" s="38">
        <f>I184+I185</f>
        <v>59.54</v>
      </c>
      <c r="J182" s="38">
        <f t="shared" ref="J182:W182" si="44">J184+J185</f>
        <v>123.13</v>
      </c>
      <c r="K182" s="38">
        <f t="shared" si="44"/>
        <v>107.02000000000001</v>
      </c>
      <c r="L182" s="50">
        <f t="shared" si="44"/>
        <v>154.63</v>
      </c>
      <c r="M182" s="50">
        <f t="shared" si="44"/>
        <v>249.94795112</v>
      </c>
      <c r="N182" s="50">
        <f t="shared" si="44"/>
        <v>154.77000000000001</v>
      </c>
      <c r="O182" s="50">
        <f t="shared" si="44"/>
        <v>137.9</v>
      </c>
      <c r="P182" s="50">
        <f t="shared" si="44"/>
        <v>159.19999999999999</v>
      </c>
      <c r="Q182" s="50">
        <f t="shared" si="44"/>
        <v>158.65</v>
      </c>
      <c r="R182" s="50">
        <f t="shared" si="44"/>
        <v>198.82</v>
      </c>
      <c r="S182" s="50">
        <f t="shared" si="44"/>
        <v>181.09</v>
      </c>
      <c r="T182" s="50">
        <f t="shared" si="44"/>
        <v>174.79</v>
      </c>
      <c r="U182" s="50">
        <f t="shared" si="44"/>
        <v>204.88</v>
      </c>
      <c r="V182" s="50">
        <f t="shared" si="44"/>
        <v>1216.9400000000005</v>
      </c>
      <c r="W182" s="61">
        <f t="shared" si="44"/>
        <v>539.93908536999993</v>
      </c>
    </row>
    <row r="183" spans="1:23" s="3" customFormat="1" ht="8.1" customHeight="1" x14ac:dyDescent="0.2">
      <c r="A183" s="86" t="s">
        <v>253</v>
      </c>
      <c r="B183" s="87"/>
      <c r="C183" s="91" t="s">
        <v>271</v>
      </c>
      <c r="D183" s="92"/>
      <c r="E183" s="92"/>
      <c r="F183" s="92"/>
      <c r="G183" s="93"/>
      <c r="H183" s="1" t="s">
        <v>5</v>
      </c>
      <c r="I183" s="38"/>
      <c r="J183" s="38"/>
      <c r="K183" s="38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>
        <f t="shared" si="41"/>
        <v>0</v>
      </c>
      <c r="W183" s="61">
        <f t="shared" si="42"/>
        <v>0</v>
      </c>
    </row>
    <row r="184" spans="1:23" s="3" customFormat="1" ht="8.1" customHeight="1" x14ac:dyDescent="0.2">
      <c r="A184" s="86" t="s">
        <v>254</v>
      </c>
      <c r="B184" s="87"/>
      <c r="C184" s="91" t="s">
        <v>272</v>
      </c>
      <c r="D184" s="92"/>
      <c r="E184" s="92"/>
      <c r="F184" s="92"/>
      <c r="G184" s="93"/>
      <c r="H184" s="1" t="s">
        <v>5</v>
      </c>
      <c r="I184" s="38">
        <v>59.54</v>
      </c>
      <c r="J184" s="38">
        <v>106.27</v>
      </c>
      <c r="K184" s="38">
        <v>71.92</v>
      </c>
      <c r="L184" s="50">
        <v>103.48</v>
      </c>
      <c r="M184" s="50">
        <f>[3]БДДС!$J$17</f>
        <v>209.72054811000001</v>
      </c>
      <c r="N184" s="50">
        <v>100.4</v>
      </c>
      <c r="O184" s="50">
        <v>86.01</v>
      </c>
      <c r="P184" s="50">
        <v>101.36</v>
      </c>
      <c r="Q184" s="50">
        <v>104.7</v>
      </c>
      <c r="R184" s="50">
        <v>137.22999999999999</v>
      </c>
      <c r="S184" s="50">
        <v>124.98</v>
      </c>
      <c r="T184" s="50">
        <v>109.19</v>
      </c>
      <c r="U184" s="50">
        <v>146.54</v>
      </c>
      <c r="V184" s="50">
        <f>V50-V39+V185</f>
        <v>926.39000000000055</v>
      </c>
      <c r="W184" s="61">
        <f>W50-W39+W185</f>
        <v>539.93908536999993</v>
      </c>
    </row>
    <row r="185" spans="1:23" s="3" customFormat="1" ht="8.1" customHeight="1" x14ac:dyDescent="0.2">
      <c r="A185" s="86" t="s">
        <v>255</v>
      </c>
      <c r="B185" s="87"/>
      <c r="C185" s="91" t="s">
        <v>273</v>
      </c>
      <c r="D185" s="92"/>
      <c r="E185" s="92"/>
      <c r="F185" s="92"/>
      <c r="G185" s="93"/>
      <c r="H185" s="1" t="s">
        <v>5</v>
      </c>
      <c r="I185" s="38"/>
      <c r="J185" s="38">
        <v>16.86</v>
      </c>
      <c r="K185" s="38">
        <v>35.1</v>
      </c>
      <c r="L185" s="50">
        <v>51.15</v>
      </c>
      <c r="M185" s="50">
        <f>[3]БДДС!$J$19</f>
        <v>40.227403009999996</v>
      </c>
      <c r="N185" s="50">
        <v>54.37</v>
      </c>
      <c r="O185" s="50">
        <v>51.89</v>
      </c>
      <c r="P185" s="50">
        <v>57.84</v>
      </c>
      <c r="Q185" s="50">
        <v>53.95</v>
      </c>
      <c r="R185" s="50">
        <v>61.59</v>
      </c>
      <c r="S185" s="50">
        <v>56.11</v>
      </c>
      <c r="T185" s="50">
        <v>65.599999999999994</v>
      </c>
      <c r="U185" s="50">
        <v>58.34</v>
      </c>
      <c r="V185" s="50">
        <v>290.55</v>
      </c>
      <c r="W185" s="61"/>
    </row>
    <row r="186" spans="1:23" s="3" customFormat="1" ht="16.5" customHeight="1" x14ac:dyDescent="0.2">
      <c r="A186" s="86" t="s">
        <v>256</v>
      </c>
      <c r="B186" s="87"/>
      <c r="C186" s="88" t="s">
        <v>274</v>
      </c>
      <c r="D186" s="89"/>
      <c r="E186" s="89"/>
      <c r="F186" s="89"/>
      <c r="G186" s="90"/>
      <c r="H186" s="1" t="s">
        <v>5</v>
      </c>
      <c r="I186" s="38"/>
      <c r="J186" s="38"/>
      <c r="K186" s="38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>
        <f t="shared" si="41"/>
        <v>0</v>
      </c>
      <c r="W186" s="61"/>
    </row>
    <row r="187" spans="1:23" s="3" customFormat="1" ht="16.5" customHeight="1" x14ac:dyDescent="0.2">
      <c r="A187" s="86" t="s">
        <v>257</v>
      </c>
      <c r="B187" s="87"/>
      <c r="C187" s="88" t="s">
        <v>275</v>
      </c>
      <c r="D187" s="89"/>
      <c r="E187" s="89"/>
      <c r="F187" s="89"/>
      <c r="G187" s="90"/>
      <c r="H187" s="1" t="s">
        <v>5</v>
      </c>
      <c r="I187" s="38">
        <v>111.44</v>
      </c>
      <c r="J187" s="38">
        <v>100</v>
      </c>
      <c r="K187" s="38">
        <v>89</v>
      </c>
      <c r="L187" s="50">
        <v>55</v>
      </c>
      <c r="M187" s="50">
        <f>[3]БДДС!$J$21</f>
        <v>11.935064219999997</v>
      </c>
      <c r="N187" s="50">
        <v>60</v>
      </c>
      <c r="O187" s="50">
        <v>63.92</v>
      </c>
      <c r="P187" s="50">
        <v>68</v>
      </c>
      <c r="Q187" s="50">
        <v>65.81</v>
      </c>
      <c r="R187" s="50">
        <v>75</v>
      </c>
      <c r="S187" s="50">
        <v>67.760000000000005</v>
      </c>
      <c r="T187" s="50">
        <v>78</v>
      </c>
      <c r="U187" s="50">
        <v>69.760000000000005</v>
      </c>
      <c r="V187" s="50">
        <f t="shared" si="41"/>
        <v>336</v>
      </c>
      <c r="W187" s="61">
        <f t="shared" si="41"/>
        <v>279.18506422000002</v>
      </c>
    </row>
    <row r="188" spans="1:23" s="3" customFormat="1" ht="8.1" customHeight="1" x14ac:dyDescent="0.2">
      <c r="A188" s="86" t="s">
        <v>258</v>
      </c>
      <c r="B188" s="87"/>
      <c r="C188" s="88" t="s">
        <v>276</v>
      </c>
      <c r="D188" s="89"/>
      <c r="E188" s="89"/>
      <c r="F188" s="89"/>
      <c r="G188" s="90"/>
      <c r="H188" s="1" t="s">
        <v>5</v>
      </c>
      <c r="I188" s="38"/>
      <c r="J188" s="38"/>
      <c r="K188" s="38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>
        <f t="shared" si="41"/>
        <v>0</v>
      </c>
      <c r="W188" s="61">
        <f t="shared" si="41"/>
        <v>0</v>
      </c>
    </row>
    <row r="189" spans="1:23" s="3" customFormat="1" ht="8.1" customHeight="1" x14ac:dyDescent="0.2">
      <c r="A189" s="86" t="s">
        <v>259</v>
      </c>
      <c r="B189" s="87"/>
      <c r="C189" s="88" t="s">
        <v>277</v>
      </c>
      <c r="D189" s="89"/>
      <c r="E189" s="89"/>
      <c r="F189" s="89"/>
      <c r="G189" s="90"/>
      <c r="H189" s="1" t="s">
        <v>5</v>
      </c>
      <c r="I189" s="38">
        <v>17.37</v>
      </c>
      <c r="J189" s="38">
        <v>27.54</v>
      </c>
      <c r="K189" s="38">
        <v>28.28</v>
      </c>
      <c r="L189" s="50">
        <v>34.369999999999997</v>
      </c>
      <c r="M189" s="50">
        <f>[3]БДДС!$J$67</f>
        <v>29.490792899999999</v>
      </c>
      <c r="N189" s="50">
        <v>37.340000000000003</v>
      </c>
      <c r="O189" s="50">
        <v>37.340000000000003</v>
      </c>
      <c r="P189" s="50">
        <v>40.39</v>
      </c>
      <c r="Q189" s="50">
        <v>40.39</v>
      </c>
      <c r="R189" s="50">
        <v>43.27</v>
      </c>
      <c r="S189" s="50">
        <v>43.27</v>
      </c>
      <c r="T189" s="50">
        <v>45.73</v>
      </c>
      <c r="U189" s="50">
        <v>45.73</v>
      </c>
      <c r="V189" s="50">
        <f>L189+N189+P189+R189+T189</f>
        <v>201.1</v>
      </c>
      <c r="W189" s="61">
        <f t="shared" si="41"/>
        <v>196.22079289999999</v>
      </c>
    </row>
    <row r="190" spans="1:23" s="3" customFormat="1" ht="8.1" customHeight="1" x14ac:dyDescent="0.2">
      <c r="A190" s="86" t="s">
        <v>260</v>
      </c>
      <c r="B190" s="87"/>
      <c r="C190" s="88" t="s">
        <v>278</v>
      </c>
      <c r="D190" s="89"/>
      <c r="E190" s="89"/>
      <c r="F190" s="89"/>
      <c r="G190" s="90"/>
      <c r="H190" s="1" t="s">
        <v>5</v>
      </c>
      <c r="I190" s="38">
        <v>5.39</v>
      </c>
      <c r="J190" s="38">
        <v>8.32</v>
      </c>
      <c r="K190" s="38">
        <v>8.25</v>
      </c>
      <c r="L190" s="50">
        <v>10.46</v>
      </c>
      <c r="M190" s="50">
        <f>[3]БДДС!$J$68</f>
        <v>11.795963449999999</v>
      </c>
      <c r="N190" s="50">
        <v>11.42</v>
      </c>
      <c r="O190" s="50">
        <v>11.43</v>
      </c>
      <c r="P190" s="50">
        <v>12.4</v>
      </c>
      <c r="Q190" s="50">
        <v>12.41</v>
      </c>
      <c r="R190" s="50">
        <v>13.34</v>
      </c>
      <c r="S190" s="50">
        <v>13.34</v>
      </c>
      <c r="T190" s="50">
        <v>14.16</v>
      </c>
      <c r="U190" s="50">
        <v>14.16</v>
      </c>
      <c r="V190" s="50">
        <f t="shared" si="41"/>
        <v>61.78</v>
      </c>
      <c r="W190" s="61">
        <f t="shared" si="41"/>
        <v>63.135963449999991</v>
      </c>
    </row>
    <row r="191" spans="1:23" s="3" customFormat="1" ht="8.1" customHeight="1" x14ac:dyDescent="0.2">
      <c r="A191" s="86" t="s">
        <v>261</v>
      </c>
      <c r="B191" s="87"/>
      <c r="C191" s="88" t="s">
        <v>279</v>
      </c>
      <c r="D191" s="89"/>
      <c r="E191" s="89"/>
      <c r="F191" s="89"/>
      <c r="G191" s="90"/>
      <c r="H191" s="1" t="s">
        <v>5</v>
      </c>
      <c r="I191" s="38">
        <v>38.57</v>
      </c>
      <c r="J191" s="38">
        <v>65</v>
      </c>
      <c r="K191" s="38">
        <v>29.48</v>
      </c>
      <c r="L191" s="50">
        <v>80</v>
      </c>
      <c r="M191" s="50">
        <f>[3]БДДС!$J$71+[3]БДДС!$J$72</f>
        <v>7.0832486600000006</v>
      </c>
      <c r="N191" s="50">
        <v>105</v>
      </c>
      <c r="O191" s="50">
        <v>105</v>
      </c>
      <c r="P191" s="50">
        <v>56</v>
      </c>
      <c r="Q191" s="50">
        <v>56</v>
      </c>
      <c r="R191" s="50">
        <v>62</v>
      </c>
      <c r="S191" s="50">
        <v>62</v>
      </c>
      <c r="T191" s="50">
        <v>70</v>
      </c>
      <c r="U191" s="50">
        <v>112.4</v>
      </c>
      <c r="V191" s="50">
        <f t="shared" si="41"/>
        <v>373</v>
      </c>
      <c r="W191" s="61">
        <f t="shared" si="41"/>
        <v>342.48324865999996</v>
      </c>
    </row>
    <row r="192" spans="1:23" s="3" customFormat="1" ht="8.1" customHeight="1" x14ac:dyDescent="0.2">
      <c r="A192" s="86" t="s">
        <v>262</v>
      </c>
      <c r="B192" s="87"/>
      <c r="C192" s="91" t="s">
        <v>280</v>
      </c>
      <c r="D192" s="92"/>
      <c r="E192" s="92"/>
      <c r="F192" s="92"/>
      <c r="G192" s="93"/>
      <c r="H192" s="1" t="s">
        <v>5</v>
      </c>
      <c r="I192" s="38">
        <v>3.68</v>
      </c>
      <c r="J192" s="38">
        <v>24</v>
      </c>
      <c r="K192" s="38">
        <v>4.1500000000000004</v>
      </c>
      <c r="L192" s="50">
        <v>27</v>
      </c>
      <c r="M192" s="50">
        <f>[3]БДДС!$J$72</f>
        <v>0.14888112000000001</v>
      </c>
      <c r="N192" s="50">
        <v>46</v>
      </c>
      <c r="O192" s="50">
        <v>29</v>
      </c>
      <c r="P192" s="50"/>
      <c r="Q192" s="50">
        <v>1</v>
      </c>
      <c r="R192" s="50"/>
      <c r="S192" s="50">
        <v>1</v>
      </c>
      <c r="T192" s="50"/>
      <c r="U192" s="50">
        <v>34</v>
      </c>
      <c r="V192" s="50">
        <f t="shared" si="41"/>
        <v>73</v>
      </c>
      <c r="W192" s="61">
        <f t="shared" si="41"/>
        <v>65.148881119999999</v>
      </c>
    </row>
    <row r="193" spans="1:23" s="3" customFormat="1" ht="8.1" customHeight="1" x14ac:dyDescent="0.2">
      <c r="A193" s="86" t="s">
        <v>263</v>
      </c>
      <c r="B193" s="87"/>
      <c r="C193" s="88" t="s">
        <v>281</v>
      </c>
      <c r="D193" s="89"/>
      <c r="E193" s="89"/>
      <c r="F193" s="89"/>
      <c r="G193" s="90"/>
      <c r="H193" s="1" t="s">
        <v>5</v>
      </c>
      <c r="I193" s="38"/>
      <c r="J193" s="38">
        <v>5.03</v>
      </c>
      <c r="K193" s="38">
        <v>5</v>
      </c>
      <c r="L193" s="50">
        <v>5.53</v>
      </c>
      <c r="M193" s="50">
        <f>[3]БДДС!$J$73</f>
        <v>5.0775213499999996</v>
      </c>
      <c r="N193" s="50">
        <v>6.03</v>
      </c>
      <c r="O193" s="50">
        <v>7.98</v>
      </c>
      <c r="P193" s="50">
        <v>6.53</v>
      </c>
      <c r="Q193" s="50">
        <v>8.2200000000000006</v>
      </c>
      <c r="R193" s="50">
        <v>7.04</v>
      </c>
      <c r="S193" s="50">
        <v>8.4600000000000009</v>
      </c>
      <c r="T193" s="50">
        <v>7.54</v>
      </c>
      <c r="U193" s="50">
        <v>8.2100000000000009</v>
      </c>
      <c r="V193" s="50">
        <v>32.67</v>
      </c>
      <c r="W193" s="61">
        <f t="shared" si="41"/>
        <v>37.947521350000002</v>
      </c>
    </row>
    <row r="194" spans="1:23" s="3" customFormat="1" ht="8.1" customHeight="1" x14ac:dyDescent="0.2">
      <c r="A194" s="86" t="s">
        <v>264</v>
      </c>
      <c r="B194" s="87"/>
      <c r="C194" s="88" t="s">
        <v>282</v>
      </c>
      <c r="D194" s="89"/>
      <c r="E194" s="89"/>
      <c r="F194" s="89"/>
      <c r="G194" s="90"/>
      <c r="H194" s="1" t="s">
        <v>5</v>
      </c>
      <c r="I194" s="38"/>
      <c r="J194" s="38"/>
      <c r="K194" s="38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>
        <f t="shared" si="41"/>
        <v>0</v>
      </c>
      <c r="W194" s="61">
        <f t="shared" si="41"/>
        <v>0</v>
      </c>
    </row>
    <row r="195" spans="1:23" s="3" customFormat="1" ht="8.1" customHeight="1" x14ac:dyDescent="0.2">
      <c r="A195" s="86" t="s">
        <v>265</v>
      </c>
      <c r="B195" s="87"/>
      <c r="C195" s="88" t="s">
        <v>283</v>
      </c>
      <c r="D195" s="89"/>
      <c r="E195" s="89"/>
      <c r="F195" s="89"/>
      <c r="G195" s="90"/>
      <c r="H195" s="1" t="s">
        <v>5</v>
      </c>
      <c r="I195" s="38">
        <v>27.81</v>
      </c>
      <c r="J195" s="38">
        <v>30</v>
      </c>
      <c r="K195" s="38">
        <v>23.02</v>
      </c>
      <c r="L195" s="50">
        <v>8.17</v>
      </c>
      <c r="M195" s="50">
        <f>[3]БДДС!$J$135</f>
        <v>42.466472109999998</v>
      </c>
      <c r="N195" s="50">
        <v>7.18</v>
      </c>
      <c r="O195" s="50">
        <v>10</v>
      </c>
      <c r="P195" s="50">
        <v>6.9</v>
      </c>
      <c r="Q195" s="50">
        <v>10</v>
      </c>
      <c r="R195" s="50">
        <v>6.9</v>
      </c>
      <c r="S195" s="50">
        <v>10</v>
      </c>
      <c r="T195" s="50">
        <v>6.9</v>
      </c>
      <c r="U195" s="50">
        <v>10</v>
      </c>
      <c r="V195" s="50">
        <f t="shared" si="41"/>
        <v>36.049999999999997</v>
      </c>
      <c r="W195" s="61">
        <f t="shared" si="41"/>
        <v>82.466472109999998</v>
      </c>
    </row>
    <row r="196" spans="1:23" s="3" customFormat="1" ht="16.5" customHeight="1" x14ac:dyDescent="0.2">
      <c r="A196" s="86" t="s">
        <v>266</v>
      </c>
      <c r="B196" s="87"/>
      <c r="C196" s="88" t="s">
        <v>284</v>
      </c>
      <c r="D196" s="89"/>
      <c r="E196" s="89"/>
      <c r="F196" s="89"/>
      <c r="G196" s="90"/>
      <c r="H196" s="1" t="s">
        <v>5</v>
      </c>
      <c r="I196" s="38">
        <v>23.4</v>
      </c>
      <c r="J196" s="38">
        <v>19.82</v>
      </c>
      <c r="K196" s="38">
        <v>19.97</v>
      </c>
      <c r="L196" s="50">
        <v>23.57</v>
      </c>
      <c r="M196" s="50">
        <f>[3]БДДС!$J$136</f>
        <v>32.39892691</v>
      </c>
      <c r="N196" s="50">
        <v>21.13</v>
      </c>
      <c r="O196" s="50">
        <v>21.13</v>
      </c>
      <c r="P196" s="50">
        <v>10.93</v>
      </c>
      <c r="Q196" s="50">
        <v>10.93</v>
      </c>
      <c r="R196" s="50">
        <v>5.25</v>
      </c>
      <c r="S196" s="50">
        <v>5.25</v>
      </c>
      <c r="T196" s="50">
        <v>2.88</v>
      </c>
      <c r="U196" s="50">
        <v>2.88</v>
      </c>
      <c r="V196" s="50">
        <f t="shared" si="41"/>
        <v>63.760000000000005</v>
      </c>
      <c r="W196" s="61">
        <f t="shared" si="41"/>
        <v>72.588926909999998</v>
      </c>
    </row>
    <row r="197" spans="1:23" s="3" customFormat="1" ht="8.1" customHeight="1" x14ac:dyDescent="0.2">
      <c r="A197" s="86" t="s">
        <v>267</v>
      </c>
      <c r="B197" s="87"/>
      <c r="C197" s="88" t="s">
        <v>285</v>
      </c>
      <c r="D197" s="89"/>
      <c r="E197" s="89"/>
      <c r="F197" s="89"/>
      <c r="G197" s="90"/>
      <c r="H197" s="1" t="s">
        <v>5</v>
      </c>
      <c r="I197" s="38"/>
      <c r="J197" s="38"/>
      <c r="K197" s="38">
        <v>105.02</v>
      </c>
      <c r="L197" s="50"/>
      <c r="M197" s="50">
        <f>[3]БДДС!$J$154</f>
        <v>15.436101230000002</v>
      </c>
      <c r="N197" s="50"/>
      <c r="O197" s="50"/>
      <c r="P197" s="50"/>
      <c r="Q197" s="50"/>
      <c r="R197" s="50"/>
      <c r="S197" s="50"/>
      <c r="T197" s="50"/>
      <c r="U197" s="50"/>
      <c r="V197" s="50">
        <f t="shared" si="41"/>
        <v>0</v>
      </c>
      <c r="W197" s="61">
        <f t="shared" si="41"/>
        <v>15.436101230000002</v>
      </c>
    </row>
    <row r="198" spans="1:23" s="3" customFormat="1" ht="9" customHeight="1" x14ac:dyDescent="0.2">
      <c r="A198" s="86" t="s">
        <v>268</v>
      </c>
      <c r="B198" s="87"/>
      <c r="C198" s="150" t="s">
        <v>286</v>
      </c>
      <c r="D198" s="151"/>
      <c r="E198" s="151"/>
      <c r="F198" s="151"/>
      <c r="G198" s="152"/>
      <c r="H198" s="1" t="s">
        <v>5</v>
      </c>
      <c r="I198" s="38"/>
      <c r="J198" s="38"/>
      <c r="K198" s="38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>
        <f t="shared" si="41"/>
        <v>0</v>
      </c>
      <c r="W198" s="61">
        <f t="shared" si="41"/>
        <v>0</v>
      </c>
    </row>
    <row r="199" spans="1:23" s="3" customFormat="1" ht="8.1" customHeight="1" x14ac:dyDescent="0.2">
      <c r="A199" s="86" t="s">
        <v>287</v>
      </c>
      <c r="B199" s="87"/>
      <c r="C199" s="88" t="s">
        <v>294</v>
      </c>
      <c r="D199" s="89"/>
      <c r="E199" s="89"/>
      <c r="F199" s="89"/>
      <c r="G199" s="90"/>
      <c r="H199" s="1" t="s">
        <v>5</v>
      </c>
      <c r="I199" s="38"/>
      <c r="J199" s="38"/>
      <c r="K199" s="38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>
        <f t="shared" si="41"/>
        <v>0</v>
      </c>
      <c r="W199" s="61">
        <f t="shared" si="41"/>
        <v>0</v>
      </c>
    </row>
    <row r="200" spans="1:23" s="3" customFormat="1" ht="8.1" customHeight="1" x14ac:dyDescent="0.2">
      <c r="A200" s="86" t="s">
        <v>288</v>
      </c>
      <c r="B200" s="87"/>
      <c r="C200" s="88" t="s">
        <v>295</v>
      </c>
      <c r="D200" s="89"/>
      <c r="E200" s="89"/>
      <c r="F200" s="89"/>
      <c r="G200" s="90"/>
      <c r="H200" s="1" t="s">
        <v>5</v>
      </c>
      <c r="I200" s="38"/>
      <c r="J200" s="38"/>
      <c r="K200" s="38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>
        <f t="shared" si="41"/>
        <v>0</v>
      </c>
      <c r="W200" s="61">
        <f t="shared" si="41"/>
        <v>0</v>
      </c>
    </row>
    <row r="201" spans="1:23" s="3" customFormat="1" ht="16.5" customHeight="1" x14ac:dyDescent="0.2">
      <c r="A201" s="86" t="s">
        <v>289</v>
      </c>
      <c r="B201" s="87"/>
      <c r="C201" s="91" t="s">
        <v>296</v>
      </c>
      <c r="D201" s="92"/>
      <c r="E201" s="92"/>
      <c r="F201" s="92"/>
      <c r="G201" s="93"/>
      <c r="H201" s="1" t="s">
        <v>5</v>
      </c>
      <c r="I201" s="38"/>
      <c r="J201" s="38"/>
      <c r="K201" s="38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>
        <f t="shared" si="41"/>
        <v>0</v>
      </c>
      <c r="W201" s="61">
        <f t="shared" si="41"/>
        <v>0</v>
      </c>
    </row>
    <row r="202" spans="1:23" s="3" customFormat="1" ht="8.1" customHeight="1" x14ac:dyDescent="0.2">
      <c r="A202" s="86" t="s">
        <v>290</v>
      </c>
      <c r="B202" s="87"/>
      <c r="C202" s="127" t="s">
        <v>297</v>
      </c>
      <c r="D202" s="128"/>
      <c r="E202" s="128"/>
      <c r="F202" s="128"/>
      <c r="G202" s="129"/>
      <c r="H202" s="1" t="s">
        <v>5</v>
      </c>
      <c r="I202" s="38"/>
      <c r="J202" s="38"/>
      <c r="K202" s="38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>
        <f t="shared" si="41"/>
        <v>0</v>
      </c>
      <c r="W202" s="61">
        <f t="shared" si="41"/>
        <v>0</v>
      </c>
    </row>
    <row r="203" spans="1:23" s="3" customFormat="1" ht="8.1" customHeight="1" x14ac:dyDescent="0.2">
      <c r="A203" s="86" t="s">
        <v>291</v>
      </c>
      <c r="B203" s="87"/>
      <c r="C203" s="127" t="s">
        <v>298</v>
      </c>
      <c r="D203" s="128"/>
      <c r="E203" s="128"/>
      <c r="F203" s="128"/>
      <c r="G203" s="129"/>
      <c r="H203" s="1" t="s">
        <v>5</v>
      </c>
      <c r="I203" s="38"/>
      <c r="J203" s="38"/>
      <c r="K203" s="38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>
        <f t="shared" si="41"/>
        <v>0</v>
      </c>
      <c r="W203" s="61">
        <f t="shared" si="41"/>
        <v>0</v>
      </c>
    </row>
    <row r="204" spans="1:23" s="3" customFormat="1" ht="8.1" customHeight="1" x14ac:dyDescent="0.2">
      <c r="A204" s="86" t="s">
        <v>292</v>
      </c>
      <c r="B204" s="87"/>
      <c r="C204" s="88" t="s">
        <v>299</v>
      </c>
      <c r="D204" s="89"/>
      <c r="E204" s="89"/>
      <c r="F204" s="89"/>
      <c r="G204" s="90"/>
      <c r="H204" s="1" t="s">
        <v>5</v>
      </c>
      <c r="I204" s="38"/>
      <c r="J204" s="38"/>
      <c r="K204" s="38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>
        <f t="shared" si="41"/>
        <v>0</v>
      </c>
      <c r="W204" s="61">
        <f t="shared" si="41"/>
        <v>0</v>
      </c>
    </row>
    <row r="205" spans="1:23" s="3" customFormat="1" x14ac:dyDescent="0.2">
      <c r="A205" s="86" t="s">
        <v>293</v>
      </c>
      <c r="B205" s="87"/>
      <c r="C205" s="150" t="s">
        <v>300</v>
      </c>
      <c r="D205" s="151"/>
      <c r="E205" s="151"/>
      <c r="F205" s="151"/>
      <c r="G205" s="152"/>
      <c r="H205" s="1" t="s">
        <v>5</v>
      </c>
      <c r="I205" s="38">
        <f>I206</f>
        <v>96.34</v>
      </c>
      <c r="J205" s="38">
        <f t="shared" ref="J205:U205" si="45">J206</f>
        <v>210</v>
      </c>
      <c r="K205" s="38">
        <v>306.61</v>
      </c>
      <c r="L205" s="50">
        <f t="shared" si="45"/>
        <v>271.27746917092099</v>
      </c>
      <c r="M205" s="50">
        <f t="shared" si="45"/>
        <v>398.3683996499999</v>
      </c>
      <c r="N205" s="50">
        <f t="shared" si="45"/>
        <v>306.45400401643974</v>
      </c>
      <c r="O205" s="50">
        <f t="shared" si="45"/>
        <v>421.42008977558027</v>
      </c>
      <c r="P205" s="50">
        <f t="shared" si="45"/>
        <v>163.35882088921136</v>
      </c>
      <c r="Q205" s="50">
        <f t="shared" si="45"/>
        <v>173.23901340650235</v>
      </c>
      <c r="R205" s="50">
        <f t="shared" si="45"/>
        <v>159.18982023333174</v>
      </c>
      <c r="S205" s="50">
        <f t="shared" si="45"/>
        <v>173.93982023333174</v>
      </c>
      <c r="T205" s="50">
        <f t="shared" si="45"/>
        <v>90.169594921056955</v>
      </c>
      <c r="U205" s="50">
        <f t="shared" si="45"/>
        <v>100.78</v>
      </c>
      <c r="V205" s="50">
        <f t="shared" si="41"/>
        <v>990.44970923096071</v>
      </c>
      <c r="W205" s="61">
        <f t="shared" si="41"/>
        <v>1267.7473230654143</v>
      </c>
    </row>
    <row r="206" spans="1:23" s="3" customFormat="1" ht="8.1" customHeight="1" x14ac:dyDescent="0.2">
      <c r="A206" s="86" t="s">
        <v>301</v>
      </c>
      <c r="B206" s="87"/>
      <c r="C206" s="88" t="s">
        <v>313</v>
      </c>
      <c r="D206" s="89"/>
      <c r="E206" s="89"/>
      <c r="F206" s="89"/>
      <c r="G206" s="90"/>
      <c r="H206" s="1" t="s">
        <v>5</v>
      </c>
      <c r="I206" s="38">
        <f>I208+I216</f>
        <v>96.34</v>
      </c>
      <c r="J206" s="38">
        <f t="shared" ref="J206" si="46">J208+J216</f>
        <v>210</v>
      </c>
      <c r="K206" s="38">
        <v>299.45</v>
      </c>
      <c r="L206" s="50">
        <f>L208+L216+L207</f>
        <v>271.27746917092099</v>
      </c>
      <c r="M206" s="50">
        <f>M208+M216+M207+M210</f>
        <v>398.3683996499999</v>
      </c>
      <c r="N206" s="50">
        <f t="shared" ref="N206:U206" si="47">N208+N216+N207</f>
        <v>306.45400401643974</v>
      </c>
      <c r="O206" s="50">
        <f t="shared" si="47"/>
        <v>421.42008977558027</v>
      </c>
      <c r="P206" s="50">
        <f t="shared" si="47"/>
        <v>163.35882088921136</v>
      </c>
      <c r="Q206" s="50">
        <f t="shared" si="47"/>
        <v>173.23901340650235</v>
      </c>
      <c r="R206" s="50">
        <f t="shared" si="47"/>
        <v>159.18982023333174</v>
      </c>
      <c r="S206" s="50">
        <f t="shared" si="47"/>
        <v>173.93982023333174</v>
      </c>
      <c r="T206" s="50">
        <f t="shared" si="47"/>
        <v>90.169594921056955</v>
      </c>
      <c r="U206" s="50">
        <f t="shared" si="47"/>
        <v>100.78</v>
      </c>
      <c r="V206" s="50">
        <f>V208+V216+V207</f>
        <v>990.44970923096071</v>
      </c>
      <c r="W206" s="61">
        <f t="shared" si="41"/>
        <v>1267.7473230654143</v>
      </c>
    </row>
    <row r="207" spans="1:23" s="3" customFormat="1" ht="8.1" customHeight="1" x14ac:dyDescent="0.2">
      <c r="A207" s="86" t="s">
        <v>302</v>
      </c>
      <c r="B207" s="87"/>
      <c r="C207" s="91" t="s">
        <v>314</v>
      </c>
      <c r="D207" s="92"/>
      <c r="E207" s="92"/>
      <c r="F207" s="92"/>
      <c r="G207" s="93"/>
      <c r="H207" s="1" t="s">
        <v>5</v>
      </c>
      <c r="I207" s="38"/>
      <c r="J207" s="38"/>
      <c r="K207" s="38"/>
      <c r="L207" s="50">
        <f>L393</f>
        <v>24.467469170921003</v>
      </c>
      <c r="M207" s="50">
        <f>[3]БДДС!$J$170</f>
        <v>1.532209E-2</v>
      </c>
      <c r="N207" s="50">
        <f t="shared" ref="N207:T207" si="48">N393</f>
        <v>11.034004016439702</v>
      </c>
      <c r="O207" s="50">
        <f t="shared" si="48"/>
        <v>116.00008977558025</v>
      </c>
      <c r="P207" s="50">
        <f t="shared" si="48"/>
        <v>44.378820889211354</v>
      </c>
      <c r="Q207" s="50">
        <f t="shared" si="48"/>
        <v>44.259013406502326</v>
      </c>
      <c r="R207" s="50">
        <f t="shared" si="48"/>
        <v>57.129820233331742</v>
      </c>
      <c r="S207" s="50">
        <f t="shared" si="48"/>
        <v>57.129820233331742</v>
      </c>
      <c r="T207" s="50">
        <f t="shared" si="48"/>
        <v>62.419594921056955</v>
      </c>
      <c r="U207" s="50">
        <v>62.42</v>
      </c>
      <c r="V207" s="50">
        <f t="shared" si="41"/>
        <v>199.42970923096075</v>
      </c>
      <c r="W207" s="61">
        <f t="shared" si="41"/>
        <v>279.8242455054143</v>
      </c>
    </row>
    <row r="208" spans="1:23" s="3" customFormat="1" ht="8.1" customHeight="1" x14ac:dyDescent="0.2">
      <c r="A208" s="86" t="s">
        <v>303</v>
      </c>
      <c r="B208" s="87"/>
      <c r="C208" s="91" t="s">
        <v>315</v>
      </c>
      <c r="D208" s="92"/>
      <c r="E208" s="92"/>
      <c r="F208" s="92"/>
      <c r="G208" s="93"/>
      <c r="H208" s="1" t="s">
        <v>5</v>
      </c>
      <c r="I208" s="38">
        <v>96.34</v>
      </c>
      <c r="J208" s="38">
        <v>200</v>
      </c>
      <c r="K208" s="38">
        <v>299.45</v>
      </c>
      <c r="L208" s="50">
        <v>236.81</v>
      </c>
      <c r="M208" s="50">
        <f>[3]БДДС!$J$169</f>
        <v>330.34616395999996</v>
      </c>
      <c r="N208" s="50">
        <v>285.42</v>
      </c>
      <c r="O208" s="50">
        <v>285.42</v>
      </c>
      <c r="P208" s="50">
        <v>108.98</v>
      </c>
      <c r="Q208" s="50">
        <v>108.98</v>
      </c>
      <c r="R208" s="50">
        <v>96.81</v>
      </c>
      <c r="S208" s="50">
        <v>96.81</v>
      </c>
      <c r="T208" s="50">
        <v>18.36</v>
      </c>
      <c r="U208" s="50">
        <v>18.36</v>
      </c>
      <c r="V208" s="50">
        <f>L208+N208+P208+R208+T208</f>
        <v>746.38</v>
      </c>
      <c r="W208" s="61">
        <f t="shared" si="41"/>
        <v>839.91616396000006</v>
      </c>
    </row>
    <row r="209" spans="1:23" s="3" customFormat="1" ht="8.1" customHeight="1" x14ac:dyDescent="0.2">
      <c r="A209" s="86" t="s">
        <v>304</v>
      </c>
      <c r="B209" s="87"/>
      <c r="C209" s="91" t="s">
        <v>316</v>
      </c>
      <c r="D209" s="92"/>
      <c r="E209" s="92"/>
      <c r="F209" s="92"/>
      <c r="G209" s="93"/>
      <c r="H209" s="1" t="s">
        <v>5</v>
      </c>
      <c r="I209" s="38"/>
      <c r="J209" s="38"/>
      <c r="K209" s="38"/>
      <c r="L209" s="50"/>
      <c r="M209" s="50"/>
      <c r="N209" s="50"/>
      <c r="O209" s="50"/>
      <c r="P209" s="50"/>
      <c r="Q209" s="50"/>
      <c r="R209" s="50"/>
      <c r="S209" s="50"/>
      <c r="T209" s="50"/>
      <c r="U209" s="50"/>
      <c r="V209" s="50">
        <f t="shared" si="41"/>
        <v>0</v>
      </c>
      <c r="W209" s="61">
        <f t="shared" si="41"/>
        <v>0</v>
      </c>
    </row>
    <row r="210" spans="1:23" s="3" customFormat="1" ht="8.1" customHeight="1" x14ac:dyDescent="0.2">
      <c r="A210" s="86" t="s">
        <v>305</v>
      </c>
      <c r="B210" s="87"/>
      <c r="C210" s="91" t="s">
        <v>317</v>
      </c>
      <c r="D210" s="92"/>
      <c r="E210" s="92"/>
      <c r="F210" s="92"/>
      <c r="G210" s="93"/>
      <c r="H210" s="1" t="s">
        <v>5</v>
      </c>
      <c r="I210" s="38"/>
      <c r="J210" s="38"/>
      <c r="K210" s="38"/>
      <c r="L210" s="50"/>
      <c r="M210" s="50">
        <f>[3]БДДС!$J$173</f>
        <v>68.00691359999999</v>
      </c>
      <c r="N210" s="50"/>
      <c r="O210" s="50"/>
      <c r="P210" s="50"/>
      <c r="Q210" s="50"/>
      <c r="R210" s="50"/>
      <c r="S210" s="50"/>
      <c r="T210" s="50"/>
      <c r="U210" s="50"/>
      <c r="V210" s="50">
        <f t="shared" si="41"/>
        <v>0</v>
      </c>
      <c r="W210" s="61">
        <f t="shared" si="41"/>
        <v>68.00691359999999</v>
      </c>
    </row>
    <row r="211" spans="1:23" s="3" customFormat="1" ht="8.1" customHeight="1" x14ac:dyDescent="0.2">
      <c r="A211" s="86" t="s">
        <v>306</v>
      </c>
      <c r="B211" s="87"/>
      <c r="C211" s="91" t="s">
        <v>318</v>
      </c>
      <c r="D211" s="92"/>
      <c r="E211" s="92"/>
      <c r="F211" s="92"/>
      <c r="G211" s="93"/>
      <c r="H211" s="1" t="s">
        <v>5</v>
      </c>
      <c r="I211" s="38"/>
      <c r="J211" s="38"/>
      <c r="K211" s="38"/>
      <c r="L211" s="50"/>
      <c r="M211" s="50"/>
      <c r="N211" s="50"/>
      <c r="O211" s="50"/>
      <c r="P211" s="50"/>
      <c r="Q211" s="50"/>
      <c r="R211" s="50"/>
      <c r="S211" s="50"/>
      <c r="T211" s="50"/>
      <c r="U211" s="50"/>
      <c r="V211" s="50">
        <f t="shared" si="41"/>
        <v>0</v>
      </c>
      <c r="W211" s="61">
        <f t="shared" si="41"/>
        <v>0</v>
      </c>
    </row>
    <row r="212" spans="1:23" s="3" customFormat="1" ht="8.1" customHeight="1" x14ac:dyDescent="0.2">
      <c r="A212" s="86" t="s">
        <v>307</v>
      </c>
      <c r="B212" s="87"/>
      <c r="C212" s="91" t="s">
        <v>319</v>
      </c>
      <c r="D212" s="92"/>
      <c r="E212" s="92"/>
      <c r="F212" s="92"/>
      <c r="G212" s="93"/>
      <c r="H212" s="1" t="s">
        <v>5</v>
      </c>
      <c r="I212" s="38"/>
      <c r="J212" s="38"/>
      <c r="K212" s="38"/>
      <c r="L212" s="50"/>
      <c r="M212" s="50"/>
      <c r="N212" s="50"/>
      <c r="O212" s="50"/>
      <c r="P212" s="50"/>
      <c r="Q212" s="50"/>
      <c r="R212" s="50"/>
      <c r="S212" s="50"/>
      <c r="T212" s="50"/>
      <c r="U212" s="50"/>
      <c r="V212" s="50">
        <f t="shared" si="41"/>
        <v>0</v>
      </c>
      <c r="W212" s="61">
        <f t="shared" si="41"/>
        <v>0</v>
      </c>
    </row>
    <row r="213" spans="1:23" s="3" customFormat="1" ht="8.1" customHeight="1" x14ac:dyDescent="0.2">
      <c r="A213" s="86" t="s">
        <v>308</v>
      </c>
      <c r="B213" s="87"/>
      <c r="C213" s="88" t="s">
        <v>320</v>
      </c>
      <c r="D213" s="89"/>
      <c r="E213" s="89"/>
      <c r="F213" s="89"/>
      <c r="G213" s="90"/>
      <c r="H213" s="1" t="s">
        <v>5</v>
      </c>
      <c r="I213" s="38"/>
      <c r="J213" s="38"/>
      <c r="K213" s="38"/>
      <c r="L213" s="50"/>
      <c r="M213" s="50"/>
      <c r="N213" s="50"/>
      <c r="O213" s="50"/>
      <c r="P213" s="50"/>
      <c r="Q213" s="50"/>
      <c r="R213" s="50"/>
      <c r="S213" s="50"/>
      <c r="T213" s="50"/>
      <c r="U213" s="50"/>
      <c r="V213" s="50">
        <f t="shared" si="41"/>
        <v>0</v>
      </c>
      <c r="W213" s="61">
        <f t="shared" si="41"/>
        <v>0</v>
      </c>
    </row>
    <row r="214" spans="1:23" s="3" customFormat="1" ht="8.1" customHeight="1" x14ac:dyDescent="0.2">
      <c r="A214" s="86" t="s">
        <v>309</v>
      </c>
      <c r="B214" s="87"/>
      <c r="C214" s="88" t="s">
        <v>321</v>
      </c>
      <c r="D214" s="89"/>
      <c r="E214" s="89"/>
      <c r="F214" s="89"/>
      <c r="G214" s="90"/>
      <c r="H214" s="1" t="s">
        <v>5</v>
      </c>
      <c r="I214" s="38"/>
      <c r="J214" s="38">
        <v>10</v>
      </c>
      <c r="K214" s="38">
        <v>7.16</v>
      </c>
      <c r="L214" s="50">
        <v>10</v>
      </c>
      <c r="M214" s="50"/>
      <c r="N214" s="50">
        <v>10</v>
      </c>
      <c r="O214" s="50">
        <v>20</v>
      </c>
      <c r="P214" s="50">
        <v>10</v>
      </c>
      <c r="Q214" s="50">
        <v>20</v>
      </c>
      <c r="R214" s="50">
        <v>5.25</v>
      </c>
      <c r="S214" s="50">
        <v>20</v>
      </c>
      <c r="T214" s="50">
        <v>9.39</v>
      </c>
      <c r="U214" s="50">
        <v>20</v>
      </c>
      <c r="V214" s="50">
        <f t="shared" si="41"/>
        <v>44.64</v>
      </c>
      <c r="W214" s="61">
        <f t="shared" si="41"/>
        <v>80</v>
      </c>
    </row>
    <row r="215" spans="1:23" s="3" customFormat="1" ht="8.1" customHeight="1" x14ac:dyDescent="0.2">
      <c r="A215" s="86" t="s">
        <v>310</v>
      </c>
      <c r="B215" s="87"/>
      <c r="C215" s="88" t="s">
        <v>110</v>
      </c>
      <c r="D215" s="89"/>
      <c r="E215" s="89"/>
      <c r="F215" s="89"/>
      <c r="G215" s="90"/>
      <c r="H215" s="1" t="s">
        <v>475</v>
      </c>
      <c r="I215" s="38"/>
      <c r="J215" s="38"/>
      <c r="K215" s="38"/>
      <c r="L215" s="50"/>
      <c r="M215" s="50"/>
      <c r="N215" s="50"/>
      <c r="O215" s="50"/>
      <c r="P215" s="50"/>
      <c r="Q215" s="50"/>
      <c r="R215" s="50"/>
      <c r="S215" s="50"/>
      <c r="T215" s="50"/>
      <c r="U215" s="50"/>
      <c r="V215" s="50">
        <f t="shared" si="41"/>
        <v>0</v>
      </c>
      <c r="W215" s="61">
        <f t="shared" si="41"/>
        <v>0</v>
      </c>
    </row>
    <row r="216" spans="1:23" s="3" customFormat="1" ht="16.5" customHeight="1" x14ac:dyDescent="0.2">
      <c r="A216" s="86" t="s">
        <v>311</v>
      </c>
      <c r="B216" s="87"/>
      <c r="C216" s="91" t="s">
        <v>322</v>
      </c>
      <c r="D216" s="92"/>
      <c r="E216" s="92"/>
      <c r="F216" s="92"/>
      <c r="G216" s="93"/>
      <c r="H216" s="1" t="s">
        <v>5</v>
      </c>
      <c r="I216" s="38"/>
      <c r="J216" s="38">
        <v>10</v>
      </c>
      <c r="K216" s="38">
        <v>7.16</v>
      </c>
      <c r="L216" s="50">
        <v>10</v>
      </c>
      <c r="M216" s="50">
        <f>[3]БДДС!$J$178</f>
        <v>0</v>
      </c>
      <c r="N216" s="50">
        <v>10</v>
      </c>
      <c r="O216" s="50">
        <v>20</v>
      </c>
      <c r="P216" s="50">
        <v>10</v>
      </c>
      <c r="Q216" s="50">
        <v>20</v>
      </c>
      <c r="R216" s="50">
        <v>5.25</v>
      </c>
      <c r="S216" s="50">
        <v>20</v>
      </c>
      <c r="T216" s="50">
        <v>9.39</v>
      </c>
      <c r="U216" s="50">
        <v>20</v>
      </c>
      <c r="V216" s="50">
        <f t="shared" si="41"/>
        <v>44.64</v>
      </c>
      <c r="W216" s="61">
        <f t="shared" si="41"/>
        <v>80</v>
      </c>
    </row>
    <row r="217" spans="1:23" s="3" customFormat="1" x14ac:dyDescent="0.2">
      <c r="A217" s="86" t="s">
        <v>312</v>
      </c>
      <c r="B217" s="87"/>
      <c r="C217" s="150" t="s">
        <v>323</v>
      </c>
      <c r="D217" s="151"/>
      <c r="E217" s="151"/>
      <c r="F217" s="151"/>
      <c r="G217" s="152"/>
      <c r="H217" s="1" t="s">
        <v>5</v>
      </c>
      <c r="I217" s="38">
        <f>I219+I227+I229</f>
        <v>103.16999999999999</v>
      </c>
      <c r="J217" s="38">
        <f t="shared" ref="J217:W217" si="49">J219+J227+J229</f>
        <v>235</v>
      </c>
      <c r="K217" s="38">
        <v>385.8</v>
      </c>
      <c r="L217" s="50">
        <f t="shared" si="49"/>
        <v>120</v>
      </c>
      <c r="M217" s="50">
        <f>M219+M227+M229+M228</f>
        <v>829.10624430999997</v>
      </c>
      <c r="N217" s="50">
        <f t="shared" si="49"/>
        <v>107</v>
      </c>
      <c r="O217" s="50">
        <f t="shared" si="49"/>
        <v>25</v>
      </c>
      <c r="P217" s="50">
        <f t="shared" si="49"/>
        <v>105</v>
      </c>
      <c r="Q217" s="50">
        <f t="shared" si="49"/>
        <v>18</v>
      </c>
      <c r="R217" s="50">
        <f t="shared" si="49"/>
        <v>20</v>
      </c>
      <c r="S217" s="50">
        <f t="shared" si="49"/>
        <v>0</v>
      </c>
      <c r="T217" s="50">
        <f t="shared" si="49"/>
        <v>81</v>
      </c>
      <c r="U217" s="50">
        <f t="shared" si="49"/>
        <v>20</v>
      </c>
      <c r="V217" s="50">
        <f t="shared" si="49"/>
        <v>433</v>
      </c>
      <c r="W217" s="61">
        <f t="shared" si="49"/>
        <v>775.30624431000001</v>
      </c>
    </row>
    <row r="218" spans="1:23" s="3" customFormat="1" ht="8.1" customHeight="1" x14ac:dyDescent="0.2">
      <c r="A218" s="86" t="s">
        <v>324</v>
      </c>
      <c r="B218" s="87"/>
      <c r="C218" s="88" t="s">
        <v>337</v>
      </c>
      <c r="D218" s="89"/>
      <c r="E218" s="89"/>
      <c r="F218" s="89"/>
      <c r="G218" s="90"/>
      <c r="H218" s="1" t="s">
        <v>5</v>
      </c>
      <c r="I218" s="38"/>
      <c r="J218" s="38"/>
      <c r="K218" s="38"/>
      <c r="L218" s="50"/>
      <c r="M218" s="50"/>
      <c r="N218" s="50"/>
      <c r="O218" s="50"/>
      <c r="P218" s="50"/>
      <c r="Q218" s="50"/>
      <c r="R218" s="50"/>
      <c r="S218" s="50"/>
      <c r="T218" s="50"/>
      <c r="U218" s="50"/>
      <c r="V218" s="50">
        <f t="shared" si="41"/>
        <v>0</v>
      </c>
      <c r="W218" s="61">
        <f t="shared" si="41"/>
        <v>0</v>
      </c>
    </row>
    <row r="219" spans="1:23" s="3" customFormat="1" ht="8.1" customHeight="1" x14ac:dyDescent="0.2">
      <c r="A219" s="86" t="s">
        <v>325</v>
      </c>
      <c r="B219" s="87"/>
      <c r="C219" s="88" t="s">
        <v>338</v>
      </c>
      <c r="D219" s="89"/>
      <c r="E219" s="89"/>
      <c r="F219" s="89"/>
      <c r="G219" s="90"/>
      <c r="H219" s="1" t="s">
        <v>5</v>
      </c>
      <c r="I219" s="38">
        <f>I221</f>
        <v>46.48</v>
      </c>
      <c r="J219" s="38">
        <f t="shared" ref="J219:U219" si="50">J221</f>
        <v>100</v>
      </c>
      <c r="K219" s="38">
        <v>53.52</v>
      </c>
      <c r="L219" s="50">
        <f t="shared" si="50"/>
        <v>0</v>
      </c>
      <c r="M219" s="50">
        <f t="shared" si="50"/>
        <v>32.264091610000001</v>
      </c>
      <c r="N219" s="50">
        <f t="shared" si="50"/>
        <v>0</v>
      </c>
      <c r="O219" s="50">
        <f t="shared" si="50"/>
        <v>0</v>
      </c>
      <c r="P219" s="50">
        <f t="shared" si="50"/>
        <v>0</v>
      </c>
      <c r="Q219" s="50">
        <f t="shared" si="50"/>
        <v>0</v>
      </c>
      <c r="R219" s="50">
        <f t="shared" si="50"/>
        <v>0</v>
      </c>
      <c r="S219" s="50">
        <f t="shared" si="50"/>
        <v>0</v>
      </c>
      <c r="T219" s="50">
        <f t="shared" si="50"/>
        <v>0</v>
      </c>
      <c r="U219" s="50">
        <f t="shared" si="50"/>
        <v>0</v>
      </c>
      <c r="V219" s="50">
        <f t="shared" si="41"/>
        <v>0</v>
      </c>
      <c r="W219" s="61">
        <f t="shared" si="41"/>
        <v>32.264091610000001</v>
      </c>
    </row>
    <row r="220" spans="1:23" s="3" customFormat="1" ht="8.1" customHeight="1" x14ac:dyDescent="0.2">
      <c r="A220" s="86" t="s">
        <v>326</v>
      </c>
      <c r="B220" s="87"/>
      <c r="C220" s="91" t="s">
        <v>339</v>
      </c>
      <c r="D220" s="92"/>
      <c r="E220" s="92"/>
      <c r="F220" s="92"/>
      <c r="G220" s="93"/>
      <c r="H220" s="1" t="s">
        <v>5</v>
      </c>
      <c r="I220" s="38"/>
      <c r="J220" s="38"/>
      <c r="K220" s="38"/>
      <c r="L220" s="50"/>
      <c r="M220" s="50"/>
      <c r="N220" s="50"/>
      <c r="O220" s="50"/>
      <c r="P220" s="50"/>
      <c r="Q220" s="50"/>
      <c r="R220" s="50"/>
      <c r="S220" s="50"/>
      <c r="T220" s="50"/>
      <c r="U220" s="50"/>
      <c r="V220" s="50">
        <f t="shared" si="41"/>
        <v>0</v>
      </c>
      <c r="W220" s="61">
        <f t="shared" si="41"/>
        <v>0</v>
      </c>
    </row>
    <row r="221" spans="1:23" s="3" customFormat="1" ht="8.1" customHeight="1" x14ac:dyDescent="0.2">
      <c r="A221" s="86" t="s">
        <v>327</v>
      </c>
      <c r="B221" s="87"/>
      <c r="C221" s="91" t="s">
        <v>340</v>
      </c>
      <c r="D221" s="92"/>
      <c r="E221" s="92"/>
      <c r="F221" s="92"/>
      <c r="G221" s="93"/>
      <c r="H221" s="1" t="s">
        <v>5</v>
      </c>
      <c r="I221" s="38">
        <v>46.48</v>
      </c>
      <c r="J221" s="38">
        <v>100</v>
      </c>
      <c r="K221" s="38">
        <v>53.52</v>
      </c>
      <c r="L221" s="50"/>
      <c r="M221" s="50">
        <f>[3]БДДС!$H$184</f>
        <v>32.264091610000001</v>
      </c>
      <c r="N221" s="50"/>
      <c r="O221" s="50"/>
      <c r="P221" s="50"/>
      <c r="Q221" s="50"/>
      <c r="R221" s="50"/>
      <c r="S221" s="50"/>
      <c r="T221" s="50"/>
      <c r="U221" s="50"/>
      <c r="V221" s="50">
        <f t="shared" si="41"/>
        <v>0</v>
      </c>
      <c r="W221" s="61">
        <f t="shared" si="41"/>
        <v>32.264091610000001</v>
      </c>
    </row>
    <row r="222" spans="1:23" s="3" customFormat="1" ht="8.1" customHeight="1" x14ac:dyDescent="0.2">
      <c r="A222" s="86" t="s">
        <v>328</v>
      </c>
      <c r="B222" s="87"/>
      <c r="C222" s="91" t="s">
        <v>341</v>
      </c>
      <c r="D222" s="92"/>
      <c r="E222" s="92"/>
      <c r="F222" s="92"/>
      <c r="G222" s="93"/>
      <c r="H222" s="1" t="s">
        <v>5</v>
      </c>
      <c r="I222" s="38"/>
      <c r="J222" s="38"/>
      <c r="K222" s="38"/>
      <c r="L222" s="50"/>
      <c r="M222" s="50"/>
      <c r="N222" s="50"/>
      <c r="O222" s="50"/>
      <c r="P222" s="50"/>
      <c r="Q222" s="50"/>
      <c r="R222" s="50"/>
      <c r="S222" s="50"/>
      <c r="T222" s="50"/>
      <c r="U222" s="50"/>
      <c r="V222" s="50">
        <f t="shared" si="41"/>
        <v>0</v>
      </c>
      <c r="W222" s="61">
        <f t="shared" si="41"/>
        <v>0</v>
      </c>
    </row>
    <row r="223" spans="1:23" s="3" customFormat="1" ht="8.1" customHeight="1" x14ac:dyDescent="0.2">
      <c r="A223" s="86" t="s">
        <v>329</v>
      </c>
      <c r="B223" s="87"/>
      <c r="C223" s="88" t="s">
        <v>342</v>
      </c>
      <c r="D223" s="89"/>
      <c r="E223" s="89"/>
      <c r="F223" s="89"/>
      <c r="G223" s="90"/>
      <c r="H223" s="1" t="s">
        <v>5</v>
      </c>
      <c r="I223" s="38"/>
      <c r="J223" s="38"/>
      <c r="K223" s="38"/>
      <c r="L223" s="50"/>
      <c r="M223" s="50"/>
      <c r="N223" s="50"/>
      <c r="O223" s="50"/>
      <c r="P223" s="50"/>
      <c r="Q223" s="50"/>
      <c r="R223" s="50"/>
      <c r="S223" s="50"/>
      <c r="T223" s="50"/>
      <c r="U223" s="50"/>
      <c r="V223" s="50">
        <f t="shared" si="41"/>
        <v>0</v>
      </c>
      <c r="W223" s="61">
        <f t="shared" si="41"/>
        <v>0</v>
      </c>
    </row>
    <row r="224" spans="1:23" s="3" customFormat="1" ht="8.1" customHeight="1" x14ac:dyDescent="0.2">
      <c r="A224" s="86" t="s">
        <v>330</v>
      </c>
      <c r="B224" s="87"/>
      <c r="C224" s="88" t="s">
        <v>343</v>
      </c>
      <c r="D224" s="89"/>
      <c r="E224" s="89"/>
      <c r="F224" s="89"/>
      <c r="G224" s="90"/>
      <c r="H224" s="1" t="s">
        <v>5</v>
      </c>
      <c r="I224" s="38"/>
      <c r="J224" s="38"/>
      <c r="K224" s="38"/>
      <c r="L224" s="50"/>
      <c r="M224" s="50"/>
      <c r="N224" s="50"/>
      <c r="O224" s="50"/>
      <c r="P224" s="50"/>
      <c r="Q224" s="50"/>
      <c r="R224" s="50"/>
      <c r="S224" s="50"/>
      <c r="T224" s="50"/>
      <c r="U224" s="50"/>
      <c r="V224" s="50">
        <f t="shared" si="41"/>
        <v>0</v>
      </c>
      <c r="W224" s="61">
        <f t="shared" si="41"/>
        <v>0</v>
      </c>
    </row>
    <row r="225" spans="1:23" s="3" customFormat="1" ht="8.1" customHeight="1" x14ac:dyDescent="0.2">
      <c r="A225" s="86" t="s">
        <v>331</v>
      </c>
      <c r="B225" s="87"/>
      <c r="C225" s="91" t="s">
        <v>344</v>
      </c>
      <c r="D225" s="92"/>
      <c r="E225" s="92"/>
      <c r="F225" s="92"/>
      <c r="G225" s="93"/>
      <c r="H225" s="1" t="s">
        <v>5</v>
      </c>
      <c r="I225" s="38"/>
      <c r="J225" s="38"/>
      <c r="K225" s="38"/>
      <c r="L225" s="50"/>
      <c r="M225" s="50"/>
      <c r="N225" s="50"/>
      <c r="O225" s="50"/>
      <c r="P225" s="50"/>
      <c r="Q225" s="50"/>
      <c r="R225" s="50"/>
      <c r="S225" s="50"/>
      <c r="T225" s="50"/>
      <c r="U225" s="50"/>
      <c r="V225" s="50">
        <f t="shared" si="41"/>
        <v>0</v>
      </c>
      <c r="W225" s="61">
        <f t="shared" si="41"/>
        <v>0</v>
      </c>
    </row>
    <row r="226" spans="1:23" s="3" customFormat="1" ht="8.1" customHeight="1" x14ac:dyDescent="0.2">
      <c r="A226" s="86" t="s">
        <v>332</v>
      </c>
      <c r="B226" s="87"/>
      <c r="C226" s="91" t="s">
        <v>668</v>
      </c>
      <c r="D226" s="92"/>
      <c r="E226" s="92"/>
      <c r="F226" s="92"/>
      <c r="G226" s="93"/>
      <c r="H226" s="1" t="s">
        <v>5</v>
      </c>
      <c r="I226" s="38"/>
      <c r="J226" s="38"/>
      <c r="K226" s="38"/>
      <c r="L226" s="50"/>
      <c r="M226" s="50"/>
      <c r="N226" s="50"/>
      <c r="O226" s="50"/>
      <c r="P226" s="50"/>
      <c r="Q226" s="50"/>
      <c r="R226" s="50"/>
      <c r="S226" s="50"/>
      <c r="T226" s="50"/>
      <c r="U226" s="50"/>
      <c r="V226" s="50">
        <f t="shared" si="41"/>
        <v>0</v>
      </c>
      <c r="W226" s="61">
        <f t="shared" si="41"/>
        <v>0</v>
      </c>
    </row>
    <row r="227" spans="1:23" s="3" customFormat="1" ht="8.1" customHeight="1" x14ac:dyDescent="0.2">
      <c r="A227" s="86" t="s">
        <v>333</v>
      </c>
      <c r="B227" s="87"/>
      <c r="C227" s="88" t="s">
        <v>345</v>
      </c>
      <c r="D227" s="89"/>
      <c r="E227" s="89"/>
      <c r="F227" s="89"/>
      <c r="G227" s="90"/>
      <c r="H227" s="1" t="s">
        <v>5</v>
      </c>
      <c r="I227" s="38">
        <v>22.2</v>
      </c>
      <c r="J227" s="38"/>
      <c r="K227" s="38">
        <v>280.89999999999998</v>
      </c>
      <c r="L227" s="50"/>
      <c r="M227" s="50">
        <f>[3]БДДС!$H$187</f>
        <v>652.22500000000002</v>
      </c>
      <c r="N227" s="50"/>
      <c r="O227" s="50"/>
      <c r="P227" s="50"/>
      <c r="Q227" s="50"/>
      <c r="R227" s="50"/>
      <c r="S227" s="50"/>
      <c r="T227" s="50"/>
      <c r="U227" s="50"/>
      <c r="V227" s="50">
        <f t="shared" ref="V227:W290" si="51">L227+N227+P227+R227+T227</f>
        <v>0</v>
      </c>
      <c r="W227" s="61">
        <f t="shared" si="51"/>
        <v>652.22500000000002</v>
      </c>
    </row>
    <row r="228" spans="1:23" s="3" customFormat="1" ht="8.1" customHeight="1" x14ac:dyDescent="0.2">
      <c r="A228" s="86" t="s">
        <v>334</v>
      </c>
      <c r="B228" s="87"/>
      <c r="C228" s="88" t="s">
        <v>693</v>
      </c>
      <c r="D228" s="89"/>
      <c r="E228" s="89"/>
      <c r="F228" s="89"/>
      <c r="G228" s="90"/>
      <c r="H228" s="1" t="s">
        <v>5</v>
      </c>
      <c r="I228" s="38"/>
      <c r="J228" s="38"/>
      <c r="K228" s="38">
        <v>28.8</v>
      </c>
      <c r="L228" s="50"/>
      <c r="M228" s="50">
        <f>[3]БДДС!$H$210</f>
        <v>116.8</v>
      </c>
      <c r="N228" s="50"/>
      <c r="O228" s="50"/>
      <c r="P228" s="50"/>
      <c r="Q228" s="50"/>
      <c r="R228" s="50"/>
      <c r="S228" s="50"/>
      <c r="T228" s="50"/>
      <c r="U228" s="50"/>
      <c r="V228" s="50">
        <f t="shared" si="51"/>
        <v>0</v>
      </c>
      <c r="W228" s="61">
        <f t="shared" si="51"/>
        <v>116.8</v>
      </c>
    </row>
    <row r="229" spans="1:23" s="3" customFormat="1" ht="8.1" customHeight="1" x14ac:dyDescent="0.2">
      <c r="A229" s="86" t="s">
        <v>335</v>
      </c>
      <c r="B229" s="87"/>
      <c r="C229" s="88" t="s">
        <v>346</v>
      </c>
      <c r="D229" s="89"/>
      <c r="E229" s="89"/>
      <c r="F229" s="89"/>
      <c r="G229" s="90"/>
      <c r="H229" s="1" t="s">
        <v>5</v>
      </c>
      <c r="I229" s="38">
        <v>34.49</v>
      </c>
      <c r="J229" s="38">
        <v>135</v>
      </c>
      <c r="K229" s="38">
        <v>22.58</v>
      </c>
      <c r="L229" s="50">
        <v>120</v>
      </c>
      <c r="M229" s="50">
        <f>[3]БДДС!$H$212</f>
        <v>27.817152700000001</v>
      </c>
      <c r="N229" s="50">
        <v>107</v>
      </c>
      <c r="O229" s="50">
        <v>25</v>
      </c>
      <c r="P229" s="50">
        <v>105</v>
      </c>
      <c r="Q229" s="50">
        <v>18</v>
      </c>
      <c r="R229" s="50">
        <v>20</v>
      </c>
      <c r="S229" s="50"/>
      <c r="T229" s="50">
        <v>81</v>
      </c>
      <c r="U229" s="50">
        <v>20</v>
      </c>
      <c r="V229" s="50">
        <f t="shared" si="51"/>
        <v>433</v>
      </c>
      <c r="W229" s="61">
        <f t="shared" si="51"/>
        <v>90.817152700000008</v>
      </c>
    </row>
    <row r="230" spans="1:23" s="3" customFormat="1" ht="8.1" customHeight="1" x14ac:dyDescent="0.2">
      <c r="A230" s="86" t="s">
        <v>336</v>
      </c>
      <c r="B230" s="87"/>
      <c r="C230" s="150" t="s">
        <v>347</v>
      </c>
      <c r="D230" s="151"/>
      <c r="E230" s="151"/>
      <c r="F230" s="151"/>
      <c r="G230" s="152"/>
      <c r="H230" s="1" t="s">
        <v>5</v>
      </c>
      <c r="I230" s="38">
        <f>I236+I231</f>
        <v>89.81</v>
      </c>
      <c r="J230" s="38">
        <f t="shared" ref="J230:U230" si="52">J236+J231</f>
        <v>55.7</v>
      </c>
      <c r="K230" s="38">
        <v>235.09</v>
      </c>
      <c r="L230" s="50">
        <f t="shared" si="52"/>
        <v>50</v>
      </c>
      <c r="M230" s="50">
        <f t="shared" si="52"/>
        <v>579.02571913999998</v>
      </c>
      <c r="N230" s="50">
        <f t="shared" si="52"/>
        <v>12</v>
      </c>
      <c r="O230" s="50"/>
      <c r="P230" s="50">
        <f t="shared" si="52"/>
        <v>119.6</v>
      </c>
      <c r="Q230" s="50">
        <f t="shared" si="52"/>
        <v>100</v>
      </c>
      <c r="R230" s="50">
        <f t="shared" si="52"/>
        <v>23</v>
      </c>
      <c r="S230" s="50">
        <f t="shared" si="52"/>
        <v>0</v>
      </c>
      <c r="T230" s="50">
        <f t="shared" si="52"/>
        <v>89</v>
      </c>
      <c r="U230" s="50">
        <f t="shared" si="52"/>
        <v>0</v>
      </c>
      <c r="V230" s="50">
        <f t="shared" si="51"/>
        <v>293.60000000000002</v>
      </c>
      <c r="W230" s="61">
        <f t="shared" si="51"/>
        <v>679.02571913999998</v>
      </c>
    </row>
    <row r="231" spans="1:23" s="3" customFormat="1" ht="8.1" customHeight="1" x14ac:dyDescent="0.2">
      <c r="A231" s="86" t="s">
        <v>349</v>
      </c>
      <c r="B231" s="87"/>
      <c r="C231" s="88" t="s">
        <v>678</v>
      </c>
      <c r="D231" s="89"/>
      <c r="E231" s="89"/>
      <c r="F231" s="89"/>
      <c r="G231" s="90"/>
      <c r="H231" s="1" t="s">
        <v>5</v>
      </c>
      <c r="I231" s="38">
        <f>I233+I232</f>
        <v>49.519999999999996</v>
      </c>
      <c r="J231" s="38">
        <f t="shared" ref="J231:U231" si="53">J233+J232</f>
        <v>55.7</v>
      </c>
      <c r="K231" s="38">
        <v>166.24</v>
      </c>
      <c r="L231" s="50">
        <f t="shared" si="53"/>
        <v>50</v>
      </c>
      <c r="M231" s="50">
        <f t="shared" si="53"/>
        <v>578.35529250000002</v>
      </c>
      <c r="N231" s="50">
        <f t="shared" si="53"/>
        <v>12</v>
      </c>
      <c r="O231" s="50"/>
      <c r="P231" s="50">
        <f t="shared" si="53"/>
        <v>119.6</v>
      </c>
      <c r="Q231" s="50">
        <f t="shared" si="53"/>
        <v>100</v>
      </c>
      <c r="R231" s="50">
        <f t="shared" si="53"/>
        <v>23</v>
      </c>
      <c r="S231" s="50">
        <f t="shared" si="53"/>
        <v>0</v>
      </c>
      <c r="T231" s="50">
        <f t="shared" si="53"/>
        <v>89</v>
      </c>
      <c r="U231" s="50">
        <f t="shared" si="53"/>
        <v>0</v>
      </c>
      <c r="V231" s="50">
        <f t="shared" si="51"/>
        <v>293.60000000000002</v>
      </c>
      <c r="W231" s="61">
        <f t="shared" si="51"/>
        <v>678.35529250000002</v>
      </c>
    </row>
    <row r="232" spans="1:23" s="3" customFormat="1" ht="8.1" customHeight="1" x14ac:dyDescent="0.2">
      <c r="A232" s="86" t="s">
        <v>350</v>
      </c>
      <c r="B232" s="87"/>
      <c r="C232" s="91" t="s">
        <v>339</v>
      </c>
      <c r="D232" s="92"/>
      <c r="E232" s="92"/>
      <c r="F232" s="92"/>
      <c r="G232" s="93"/>
      <c r="H232" s="1" t="s">
        <v>5</v>
      </c>
      <c r="I232" s="38">
        <v>28.52</v>
      </c>
      <c r="J232" s="38"/>
      <c r="K232" s="38">
        <v>127.04</v>
      </c>
      <c r="L232" s="50"/>
      <c r="M232" s="50">
        <f>[3]БДДС!$J$220</f>
        <v>337.32529250000005</v>
      </c>
      <c r="N232" s="50"/>
      <c r="O232" s="50"/>
      <c r="P232" s="50"/>
      <c r="Q232" s="50">
        <v>100</v>
      </c>
      <c r="R232" s="50"/>
      <c r="S232" s="50"/>
      <c r="T232" s="50"/>
      <c r="U232" s="50"/>
      <c r="V232" s="50">
        <f t="shared" si="51"/>
        <v>0</v>
      </c>
      <c r="W232" s="61">
        <f t="shared" si="51"/>
        <v>437.32529250000005</v>
      </c>
    </row>
    <row r="233" spans="1:23" s="3" customFormat="1" ht="8.1" customHeight="1" x14ac:dyDescent="0.2">
      <c r="A233" s="86" t="s">
        <v>351</v>
      </c>
      <c r="B233" s="87"/>
      <c r="C233" s="91" t="s">
        <v>340</v>
      </c>
      <c r="D233" s="92"/>
      <c r="E233" s="92"/>
      <c r="F233" s="92"/>
      <c r="G233" s="93"/>
      <c r="H233" s="1" t="s">
        <v>5</v>
      </c>
      <c r="I233" s="38">
        <v>21</v>
      </c>
      <c r="J233" s="38">
        <v>55.7</v>
      </c>
      <c r="K233" s="38">
        <v>39.200000000000003</v>
      </c>
      <c r="L233" s="50">
        <v>50</v>
      </c>
      <c r="M233" s="50">
        <f>[3]БДДС!$J$244</f>
        <v>241.02999999999997</v>
      </c>
      <c r="N233" s="50">
        <v>12</v>
      </c>
      <c r="O233" s="50"/>
      <c r="P233" s="50">
        <v>119.6</v>
      </c>
      <c r="Q233" s="50">
        <v>0</v>
      </c>
      <c r="R233" s="50">
        <v>23</v>
      </c>
      <c r="S233" s="50"/>
      <c r="T233" s="50">
        <v>89</v>
      </c>
      <c r="U233" s="50"/>
      <c r="V233" s="50">
        <f t="shared" si="51"/>
        <v>293.60000000000002</v>
      </c>
      <c r="W233" s="61">
        <f t="shared" si="51"/>
        <v>241.02999999999997</v>
      </c>
    </row>
    <row r="234" spans="1:23" s="3" customFormat="1" ht="8.1" customHeight="1" x14ac:dyDescent="0.2">
      <c r="A234" s="86" t="s">
        <v>352</v>
      </c>
      <c r="B234" s="87"/>
      <c r="C234" s="91" t="s">
        <v>341</v>
      </c>
      <c r="D234" s="92"/>
      <c r="E234" s="92"/>
      <c r="F234" s="92"/>
      <c r="G234" s="93"/>
      <c r="H234" s="1" t="s">
        <v>5</v>
      </c>
      <c r="I234" s="38"/>
      <c r="J234" s="38"/>
      <c r="K234" s="38"/>
      <c r="L234" s="50"/>
      <c r="M234" s="50"/>
      <c r="N234" s="50"/>
      <c r="O234" s="50"/>
      <c r="P234" s="50"/>
      <c r="Q234" s="50"/>
      <c r="R234" s="50"/>
      <c r="S234" s="50"/>
      <c r="T234" s="50"/>
      <c r="U234" s="50"/>
      <c r="V234" s="50">
        <f t="shared" si="51"/>
        <v>0</v>
      </c>
      <c r="W234" s="61">
        <f t="shared" si="51"/>
        <v>0</v>
      </c>
    </row>
    <row r="235" spans="1:23" s="3" customFormat="1" ht="8.1" customHeight="1" x14ac:dyDescent="0.2">
      <c r="A235" s="86" t="s">
        <v>353</v>
      </c>
      <c r="B235" s="87"/>
      <c r="C235" s="88" t="s">
        <v>211</v>
      </c>
      <c r="D235" s="89"/>
      <c r="E235" s="89"/>
      <c r="F235" s="89"/>
      <c r="G235" s="90"/>
      <c r="H235" s="1" t="s">
        <v>5</v>
      </c>
      <c r="I235" s="38"/>
      <c r="J235" s="38"/>
      <c r="K235" s="38"/>
      <c r="L235" s="50"/>
      <c r="M235" s="50"/>
      <c r="N235" s="50"/>
      <c r="O235" s="50"/>
      <c r="P235" s="50"/>
      <c r="Q235" s="50"/>
      <c r="R235" s="50"/>
      <c r="S235" s="50"/>
      <c r="T235" s="50"/>
      <c r="U235" s="50"/>
      <c r="V235" s="50">
        <f t="shared" si="51"/>
        <v>0</v>
      </c>
      <c r="W235" s="61">
        <f t="shared" si="51"/>
        <v>0</v>
      </c>
    </row>
    <row r="236" spans="1:23" s="3" customFormat="1" ht="8.1" customHeight="1" x14ac:dyDescent="0.2">
      <c r="A236" s="86" t="s">
        <v>354</v>
      </c>
      <c r="B236" s="87"/>
      <c r="C236" s="88" t="s">
        <v>356</v>
      </c>
      <c r="D236" s="89"/>
      <c r="E236" s="89"/>
      <c r="F236" s="89"/>
      <c r="G236" s="90"/>
      <c r="H236" s="1" t="s">
        <v>5</v>
      </c>
      <c r="I236" s="38">
        <v>40.29</v>
      </c>
      <c r="J236" s="38"/>
      <c r="K236" s="38">
        <v>68.849999999999994</v>
      </c>
      <c r="L236" s="50"/>
      <c r="M236" s="50">
        <f>[3]БДДС!$J$248</f>
        <v>0.67042663999999996</v>
      </c>
      <c r="N236" s="50"/>
      <c r="O236" s="50"/>
      <c r="P236" s="50"/>
      <c r="Q236" s="50"/>
      <c r="R236" s="50"/>
      <c r="S236" s="50"/>
      <c r="T236" s="50"/>
      <c r="U236" s="50"/>
      <c r="V236" s="50">
        <f t="shared" si="51"/>
        <v>0</v>
      </c>
      <c r="W236" s="61">
        <f t="shared" si="51"/>
        <v>0.67042663999999996</v>
      </c>
    </row>
    <row r="237" spans="1:23" s="3" customFormat="1" ht="16.5" customHeight="1" x14ac:dyDescent="0.2">
      <c r="A237" s="86" t="s">
        <v>355</v>
      </c>
      <c r="B237" s="87"/>
      <c r="C237" s="150" t="s">
        <v>357</v>
      </c>
      <c r="D237" s="151"/>
      <c r="E237" s="151"/>
      <c r="F237" s="151"/>
      <c r="G237" s="152"/>
      <c r="H237" s="1" t="s">
        <v>5</v>
      </c>
      <c r="I237" s="38">
        <f>I162-I180</f>
        <v>90.180000000000064</v>
      </c>
      <c r="J237" s="38">
        <f t="shared" ref="J237:V237" si="54">J162-J180</f>
        <v>32.239999999999952</v>
      </c>
      <c r="K237" s="38">
        <f t="shared" si="54"/>
        <v>155.52999999999997</v>
      </c>
      <c r="L237" s="50">
        <f t="shared" si="54"/>
        <v>221.53999999999996</v>
      </c>
      <c r="M237" s="50">
        <f t="shared" si="54"/>
        <v>167.3515340400001</v>
      </c>
      <c r="N237" s="50">
        <f t="shared" si="54"/>
        <v>240.27999999999992</v>
      </c>
      <c r="O237" s="50">
        <f t="shared" si="54"/>
        <v>347.18000000000006</v>
      </c>
      <c r="P237" s="50">
        <f t="shared" si="54"/>
        <v>174.11</v>
      </c>
      <c r="Q237" s="50">
        <f t="shared" si="54"/>
        <v>256.78999999999996</v>
      </c>
      <c r="R237" s="50">
        <f t="shared" si="54"/>
        <v>133.97000000000014</v>
      </c>
      <c r="S237" s="50">
        <f t="shared" si="54"/>
        <v>178.95999999999992</v>
      </c>
      <c r="T237" s="50">
        <f t="shared" si="54"/>
        <v>91.660000000000082</v>
      </c>
      <c r="U237" s="50">
        <f t="shared" si="54"/>
        <v>83.759999999999991</v>
      </c>
      <c r="V237" s="50">
        <f t="shared" si="54"/>
        <v>486.82999999999947</v>
      </c>
      <c r="W237" s="61">
        <f t="shared" si="51"/>
        <v>1034.04153404</v>
      </c>
    </row>
    <row r="238" spans="1:23" s="3" customFormat="1" ht="17.25" customHeight="1" x14ac:dyDescent="0.2">
      <c r="A238" s="86" t="s">
        <v>358</v>
      </c>
      <c r="B238" s="87"/>
      <c r="C238" s="150" t="s">
        <v>679</v>
      </c>
      <c r="D238" s="151"/>
      <c r="E238" s="151"/>
      <c r="F238" s="151"/>
      <c r="G238" s="152"/>
      <c r="H238" s="1" t="s">
        <v>5</v>
      </c>
      <c r="I238" s="38">
        <f>I198-I205</f>
        <v>-96.34</v>
      </c>
      <c r="J238" s="38">
        <f t="shared" ref="J238:U238" si="55">J198-J205</f>
        <v>-210</v>
      </c>
      <c r="K238" s="38">
        <f t="shared" si="55"/>
        <v>-306.61</v>
      </c>
      <c r="L238" s="50">
        <f>L198-L205</f>
        <v>-271.27746917092099</v>
      </c>
      <c r="M238" s="50">
        <f t="shared" si="55"/>
        <v>-398.3683996499999</v>
      </c>
      <c r="N238" s="50">
        <f t="shared" si="55"/>
        <v>-306.45400401643974</v>
      </c>
      <c r="O238" s="50">
        <f t="shared" si="55"/>
        <v>-421.42008977558027</v>
      </c>
      <c r="P238" s="50">
        <f t="shared" si="55"/>
        <v>-163.35882088921136</v>
      </c>
      <c r="Q238" s="50">
        <f t="shared" si="55"/>
        <v>-173.23901340650235</v>
      </c>
      <c r="R238" s="50">
        <f t="shared" si="55"/>
        <v>-159.18982023333174</v>
      </c>
      <c r="S238" s="50">
        <f t="shared" si="55"/>
        <v>-173.93982023333174</v>
      </c>
      <c r="T238" s="50">
        <f t="shared" si="55"/>
        <v>-90.169594921056955</v>
      </c>
      <c r="U238" s="50">
        <f t="shared" si="55"/>
        <v>-100.78</v>
      </c>
      <c r="V238" s="50">
        <f>L238+N238+P238+R238+T238</f>
        <v>-990.44970923096071</v>
      </c>
      <c r="W238" s="61">
        <f t="shared" si="51"/>
        <v>-1267.7473230654143</v>
      </c>
    </row>
    <row r="239" spans="1:23" s="3" customFormat="1" ht="10.5" customHeight="1" x14ac:dyDescent="0.2">
      <c r="A239" s="86" t="s">
        <v>359</v>
      </c>
      <c r="B239" s="87"/>
      <c r="C239" s="88" t="s">
        <v>406</v>
      </c>
      <c r="D239" s="89"/>
      <c r="E239" s="89"/>
      <c r="F239" s="89"/>
      <c r="G239" s="90"/>
      <c r="H239" s="1" t="s">
        <v>5</v>
      </c>
      <c r="I239" s="38">
        <f>I200-I206</f>
        <v>-96.34</v>
      </c>
      <c r="J239" s="38">
        <f t="shared" ref="J239:U239" si="56">J200-J206</f>
        <v>-210</v>
      </c>
      <c r="K239" s="38">
        <f t="shared" si="56"/>
        <v>-299.45</v>
      </c>
      <c r="L239" s="50">
        <f t="shared" si="56"/>
        <v>-271.27746917092099</v>
      </c>
      <c r="M239" s="50">
        <f>M200-M206</f>
        <v>-398.3683996499999</v>
      </c>
      <c r="N239" s="50">
        <f t="shared" si="56"/>
        <v>-306.45400401643974</v>
      </c>
      <c r="O239" s="50">
        <f t="shared" si="56"/>
        <v>-421.42008977558027</v>
      </c>
      <c r="P239" s="50">
        <f t="shared" si="56"/>
        <v>-163.35882088921136</v>
      </c>
      <c r="Q239" s="50">
        <f t="shared" si="56"/>
        <v>-173.23901340650235</v>
      </c>
      <c r="R239" s="50">
        <f t="shared" si="56"/>
        <v>-159.18982023333174</v>
      </c>
      <c r="S239" s="50">
        <f t="shared" si="56"/>
        <v>-173.93982023333174</v>
      </c>
      <c r="T239" s="50">
        <f t="shared" si="56"/>
        <v>-90.169594921056955</v>
      </c>
      <c r="U239" s="50">
        <f t="shared" si="56"/>
        <v>-100.78</v>
      </c>
      <c r="V239" s="50">
        <f t="shared" si="51"/>
        <v>-990.44970923096071</v>
      </c>
      <c r="W239" s="61">
        <f>M239+O239+Q239+S239+U239</f>
        <v>-1267.7473230654143</v>
      </c>
    </row>
    <row r="240" spans="1:23" s="3" customFormat="1" ht="8.4499999999999993" customHeight="1" x14ac:dyDescent="0.2">
      <c r="A240" s="86" t="s">
        <v>360</v>
      </c>
      <c r="B240" s="87"/>
      <c r="C240" s="88" t="s">
        <v>407</v>
      </c>
      <c r="D240" s="89"/>
      <c r="E240" s="89"/>
      <c r="F240" s="89"/>
      <c r="G240" s="90"/>
      <c r="H240" s="1" t="s">
        <v>5</v>
      </c>
      <c r="I240" s="38"/>
      <c r="J240" s="38"/>
      <c r="K240" s="38"/>
      <c r="L240" s="50"/>
      <c r="M240" s="50"/>
      <c r="N240" s="50"/>
      <c r="O240" s="50"/>
      <c r="P240" s="50"/>
      <c r="Q240" s="50"/>
      <c r="R240" s="50"/>
      <c r="S240" s="50"/>
      <c r="T240" s="50"/>
      <c r="U240" s="50"/>
      <c r="V240" s="50">
        <f t="shared" si="51"/>
        <v>0</v>
      </c>
      <c r="W240" s="61">
        <f t="shared" ref="W240:W303" si="57">M240+O240+Q240+S240+U240</f>
        <v>0</v>
      </c>
    </row>
    <row r="241" spans="1:23" s="3" customFormat="1" ht="24.75" customHeight="1" x14ac:dyDescent="0.2">
      <c r="A241" s="86" t="s">
        <v>361</v>
      </c>
      <c r="B241" s="87"/>
      <c r="C241" s="150" t="s">
        <v>408</v>
      </c>
      <c r="D241" s="151"/>
      <c r="E241" s="151"/>
      <c r="F241" s="151"/>
      <c r="G241" s="152"/>
      <c r="H241" s="1" t="s">
        <v>5</v>
      </c>
      <c r="I241" s="38">
        <f>I217-I230</f>
        <v>13.359999999999985</v>
      </c>
      <c r="J241" s="38">
        <f t="shared" ref="J241:U241" si="58">J217-J230</f>
        <v>179.3</v>
      </c>
      <c r="K241" s="38">
        <f t="shared" si="58"/>
        <v>150.71</v>
      </c>
      <c r="L241" s="50">
        <f t="shared" si="58"/>
        <v>70</v>
      </c>
      <c r="M241" s="50">
        <f t="shared" si="58"/>
        <v>250.08052516999999</v>
      </c>
      <c r="N241" s="50">
        <f t="shared" si="58"/>
        <v>95</v>
      </c>
      <c r="O241" s="50">
        <f t="shared" si="58"/>
        <v>25</v>
      </c>
      <c r="P241" s="50">
        <f t="shared" si="58"/>
        <v>-14.599999999999994</v>
      </c>
      <c r="Q241" s="50">
        <f t="shared" si="58"/>
        <v>-82</v>
      </c>
      <c r="R241" s="50">
        <f t="shared" si="58"/>
        <v>-3</v>
      </c>
      <c r="S241" s="50">
        <f t="shared" si="58"/>
        <v>0</v>
      </c>
      <c r="T241" s="50">
        <f t="shared" si="58"/>
        <v>-8</v>
      </c>
      <c r="U241" s="50">
        <f t="shared" si="58"/>
        <v>20</v>
      </c>
      <c r="V241" s="50">
        <f t="shared" si="51"/>
        <v>139.4</v>
      </c>
      <c r="W241" s="61">
        <f t="shared" si="57"/>
        <v>213.08052516999999</v>
      </c>
    </row>
    <row r="242" spans="1:23" s="3" customFormat="1" ht="9.75" customHeight="1" x14ac:dyDescent="0.2">
      <c r="A242" s="86" t="s">
        <v>362</v>
      </c>
      <c r="B242" s="87"/>
      <c r="C242" s="88" t="s">
        <v>409</v>
      </c>
      <c r="D242" s="89"/>
      <c r="E242" s="89"/>
      <c r="F242" s="89"/>
      <c r="G242" s="90"/>
      <c r="H242" s="1" t="s">
        <v>5</v>
      </c>
      <c r="I242" s="38">
        <f>I219+I227-I231</f>
        <v>19.159999999999997</v>
      </c>
      <c r="J242" s="38">
        <f t="shared" ref="J242:U242" si="59">J219+J227-J231</f>
        <v>44.3</v>
      </c>
      <c r="K242" s="38">
        <f t="shared" si="59"/>
        <v>168.17999999999995</v>
      </c>
      <c r="L242" s="50">
        <f t="shared" si="59"/>
        <v>-50</v>
      </c>
      <c r="M242" s="50">
        <f t="shared" si="59"/>
        <v>106.13379911000004</v>
      </c>
      <c r="N242" s="50">
        <f t="shared" si="59"/>
        <v>-12</v>
      </c>
      <c r="O242" s="50">
        <f t="shared" si="59"/>
        <v>0</v>
      </c>
      <c r="P242" s="50">
        <f t="shared" si="59"/>
        <v>-119.6</v>
      </c>
      <c r="Q242" s="50">
        <f t="shared" si="59"/>
        <v>-100</v>
      </c>
      <c r="R242" s="50">
        <f t="shared" si="59"/>
        <v>-23</v>
      </c>
      <c r="S242" s="50">
        <f t="shared" si="59"/>
        <v>0</v>
      </c>
      <c r="T242" s="50">
        <f t="shared" si="59"/>
        <v>-89</v>
      </c>
      <c r="U242" s="50">
        <f t="shared" si="59"/>
        <v>0</v>
      </c>
      <c r="V242" s="50">
        <f t="shared" si="51"/>
        <v>-293.60000000000002</v>
      </c>
      <c r="W242" s="61">
        <f t="shared" si="57"/>
        <v>6.1337991100000409</v>
      </c>
    </row>
    <row r="243" spans="1:23" s="3" customFormat="1" ht="8.4499999999999993" customHeight="1" x14ac:dyDescent="0.2">
      <c r="A243" s="86" t="s">
        <v>363</v>
      </c>
      <c r="B243" s="87"/>
      <c r="C243" s="88" t="s">
        <v>410</v>
      </c>
      <c r="D243" s="89"/>
      <c r="E243" s="89"/>
      <c r="F243" s="89"/>
      <c r="G243" s="90"/>
      <c r="H243" s="1" t="s">
        <v>5</v>
      </c>
      <c r="I243" s="38">
        <f>I229-I236</f>
        <v>-5.7999999999999972</v>
      </c>
      <c r="J243" s="38">
        <f>J229-J236</f>
        <v>135</v>
      </c>
      <c r="K243" s="38">
        <f>K229-K236</f>
        <v>-46.269999999999996</v>
      </c>
      <c r="L243" s="50">
        <f t="shared" ref="L243:U243" si="60">L229-L236</f>
        <v>120</v>
      </c>
      <c r="M243" s="50">
        <f t="shared" si="60"/>
        <v>27.146726060000002</v>
      </c>
      <c r="N243" s="50">
        <f t="shared" si="60"/>
        <v>107</v>
      </c>
      <c r="O243" s="50">
        <f t="shared" si="60"/>
        <v>25</v>
      </c>
      <c r="P243" s="50">
        <f t="shared" si="60"/>
        <v>105</v>
      </c>
      <c r="Q243" s="50">
        <f t="shared" si="60"/>
        <v>18</v>
      </c>
      <c r="R243" s="50">
        <f t="shared" si="60"/>
        <v>20</v>
      </c>
      <c r="S243" s="50">
        <f t="shared" si="60"/>
        <v>0</v>
      </c>
      <c r="T243" s="50">
        <f t="shared" si="60"/>
        <v>81</v>
      </c>
      <c r="U243" s="50">
        <f t="shared" si="60"/>
        <v>20</v>
      </c>
      <c r="V243" s="50">
        <f t="shared" si="51"/>
        <v>433</v>
      </c>
      <c r="W243" s="61">
        <f t="shared" si="57"/>
        <v>90.146726060000006</v>
      </c>
    </row>
    <row r="244" spans="1:23" s="3" customFormat="1" ht="9" customHeight="1" x14ac:dyDescent="0.2">
      <c r="A244" s="86" t="s">
        <v>364</v>
      </c>
      <c r="B244" s="87"/>
      <c r="C244" s="150" t="s">
        <v>411</v>
      </c>
      <c r="D244" s="151"/>
      <c r="E244" s="151"/>
      <c r="F244" s="151"/>
      <c r="G244" s="152"/>
      <c r="H244" s="1" t="s">
        <v>5</v>
      </c>
      <c r="I244" s="38"/>
      <c r="J244" s="38"/>
      <c r="K244" s="38"/>
      <c r="L244" s="50"/>
      <c r="M244" s="50"/>
      <c r="N244" s="50"/>
      <c r="O244" s="50"/>
      <c r="P244" s="50"/>
      <c r="Q244" s="50"/>
      <c r="R244" s="50"/>
      <c r="S244" s="50"/>
      <c r="T244" s="50"/>
      <c r="U244" s="50"/>
      <c r="V244" s="50">
        <f t="shared" si="51"/>
        <v>0</v>
      </c>
      <c r="W244" s="61">
        <f t="shared" si="57"/>
        <v>0</v>
      </c>
    </row>
    <row r="245" spans="1:23" s="3" customFormat="1" ht="9" customHeight="1" x14ac:dyDescent="0.2">
      <c r="A245" s="86" t="s">
        <v>365</v>
      </c>
      <c r="B245" s="87"/>
      <c r="C245" s="150" t="s">
        <v>412</v>
      </c>
      <c r="D245" s="151"/>
      <c r="E245" s="151"/>
      <c r="F245" s="151"/>
      <c r="G245" s="152"/>
      <c r="H245" s="1" t="s">
        <v>5</v>
      </c>
      <c r="I245" s="38">
        <f>I237+I238+I241+I244</f>
        <v>7.2000000000000455</v>
      </c>
      <c r="J245" s="38">
        <f>J237+J238+J241+J244</f>
        <v>1.5399999999999636</v>
      </c>
      <c r="K245" s="38">
        <f>K237+K238+K241+K244</f>
        <v>-0.37000000000003297</v>
      </c>
      <c r="L245" s="50">
        <f t="shared" ref="L245:U245" si="61">L237+L238+L241+L244</f>
        <v>20.262530829078969</v>
      </c>
      <c r="M245" s="50">
        <f t="shared" si="61"/>
        <v>19.06365956000019</v>
      </c>
      <c r="N245" s="50">
        <f t="shared" si="61"/>
        <v>28.825995983560176</v>
      </c>
      <c r="O245" s="50">
        <f t="shared" si="61"/>
        <v>-49.240089775580202</v>
      </c>
      <c r="P245" s="50">
        <f t="shared" si="61"/>
        <v>-3.8488208892113391</v>
      </c>
      <c r="Q245" s="50">
        <f t="shared" si="61"/>
        <v>1.5509865934976119</v>
      </c>
      <c r="R245" s="50">
        <f t="shared" si="61"/>
        <v>-28.219820233331603</v>
      </c>
      <c r="S245" s="50">
        <f t="shared" si="61"/>
        <v>5.0201797666681784</v>
      </c>
      <c r="T245" s="50">
        <f t="shared" si="61"/>
        <v>-6.5095949210568733</v>
      </c>
      <c r="U245" s="50">
        <f t="shared" si="61"/>
        <v>2.9799999999999898</v>
      </c>
      <c r="V245" s="50">
        <f t="shared" si="51"/>
        <v>10.510290769039329</v>
      </c>
      <c r="W245" s="61">
        <f t="shared" si="57"/>
        <v>-20.625263855414232</v>
      </c>
    </row>
    <row r="246" spans="1:23" s="3" customFormat="1" ht="9" customHeight="1" x14ac:dyDescent="0.2">
      <c r="A246" s="86" t="s">
        <v>366</v>
      </c>
      <c r="B246" s="87"/>
      <c r="C246" s="150" t="s">
        <v>413</v>
      </c>
      <c r="D246" s="151"/>
      <c r="E246" s="151"/>
      <c r="F246" s="151"/>
      <c r="G246" s="152"/>
      <c r="H246" s="1" t="s">
        <v>5</v>
      </c>
      <c r="I246" s="38">
        <v>0.39</v>
      </c>
      <c r="J246" s="38">
        <v>0.61</v>
      </c>
      <c r="K246" s="38">
        <v>0.61</v>
      </c>
      <c r="L246" s="50">
        <v>2.15</v>
      </c>
      <c r="M246" s="50">
        <v>0.24</v>
      </c>
      <c r="N246" s="50">
        <v>2.9</v>
      </c>
      <c r="O246" s="50">
        <v>0.5</v>
      </c>
      <c r="P246" s="50">
        <v>3.75</v>
      </c>
      <c r="Q246" s="50">
        <v>2.0499999999999998</v>
      </c>
      <c r="R246" s="50">
        <v>5.38</v>
      </c>
      <c r="S246" s="50">
        <v>3.48</v>
      </c>
      <c r="T246" s="50">
        <v>6.09</v>
      </c>
      <c r="U246" s="50">
        <v>8.5</v>
      </c>
      <c r="V246" s="50">
        <f t="shared" si="51"/>
        <v>20.27</v>
      </c>
      <c r="W246" s="61">
        <f t="shared" si="57"/>
        <v>14.77</v>
      </c>
    </row>
    <row r="247" spans="1:23" s="3" customFormat="1" ht="9" customHeight="1" thickBot="1" x14ac:dyDescent="0.25">
      <c r="A247" s="117" t="s">
        <v>367</v>
      </c>
      <c r="B247" s="118"/>
      <c r="C247" s="161" t="s">
        <v>414</v>
      </c>
      <c r="D247" s="162"/>
      <c r="E247" s="162"/>
      <c r="F247" s="162"/>
      <c r="G247" s="163"/>
      <c r="H247" s="24" t="s">
        <v>5</v>
      </c>
      <c r="I247" s="41">
        <v>0.61</v>
      </c>
      <c r="J247" s="41">
        <v>2.15</v>
      </c>
      <c r="K247" s="41">
        <v>0.24</v>
      </c>
      <c r="L247" s="52">
        <v>2.9</v>
      </c>
      <c r="M247" s="52">
        <v>0.5</v>
      </c>
      <c r="N247" s="52">
        <v>3.75</v>
      </c>
      <c r="O247" s="52">
        <v>2.0499999999999998</v>
      </c>
      <c r="P247" s="52">
        <v>5.38</v>
      </c>
      <c r="Q247" s="52">
        <v>3.48</v>
      </c>
      <c r="R247" s="52">
        <v>6.09</v>
      </c>
      <c r="S247" s="52">
        <v>8.5</v>
      </c>
      <c r="T247" s="52">
        <v>6.46</v>
      </c>
      <c r="U247" s="52">
        <v>11.48</v>
      </c>
      <c r="V247" s="50">
        <f t="shared" si="51"/>
        <v>24.580000000000002</v>
      </c>
      <c r="W247" s="61">
        <f t="shared" si="57"/>
        <v>26.009999999999998</v>
      </c>
    </row>
    <row r="248" spans="1:23" s="3" customFormat="1" ht="9" customHeight="1" x14ac:dyDescent="0.2">
      <c r="A248" s="122" t="s">
        <v>368</v>
      </c>
      <c r="B248" s="123"/>
      <c r="C248" s="124" t="s">
        <v>110</v>
      </c>
      <c r="D248" s="125"/>
      <c r="E248" s="125"/>
      <c r="F248" s="125"/>
      <c r="G248" s="126"/>
      <c r="H248" s="25" t="s">
        <v>475</v>
      </c>
      <c r="I248" s="42"/>
      <c r="J248" s="42"/>
      <c r="K248" s="42"/>
      <c r="L248" s="60"/>
      <c r="M248" s="60"/>
      <c r="N248" s="60"/>
      <c r="O248" s="60"/>
      <c r="P248" s="60"/>
      <c r="Q248" s="60"/>
      <c r="R248" s="60"/>
      <c r="S248" s="60"/>
      <c r="T248" s="60"/>
      <c r="U248" s="60"/>
      <c r="V248" s="50">
        <f t="shared" si="51"/>
        <v>0</v>
      </c>
      <c r="W248" s="61">
        <f t="shared" si="57"/>
        <v>0</v>
      </c>
    </row>
    <row r="249" spans="1:23" s="3" customFormat="1" ht="8.4499999999999993" customHeight="1" x14ac:dyDescent="0.2">
      <c r="A249" s="86" t="s">
        <v>369</v>
      </c>
      <c r="B249" s="87"/>
      <c r="C249" s="88" t="s">
        <v>415</v>
      </c>
      <c r="D249" s="89"/>
      <c r="E249" s="89"/>
      <c r="F249" s="89"/>
      <c r="G249" s="90"/>
      <c r="H249" s="1" t="s">
        <v>5</v>
      </c>
      <c r="I249" s="38">
        <v>77.47</v>
      </c>
      <c r="J249" s="38">
        <f>J266</f>
        <v>91.62</v>
      </c>
      <c r="K249" s="38">
        <v>197.27</v>
      </c>
      <c r="L249" s="50">
        <f t="shared" ref="L249:V249" si="62">L266</f>
        <v>71.489999999999995</v>
      </c>
      <c r="M249" s="50">
        <f>M250+M258+M260+M262+M264+M266+M276</f>
        <v>164.99792693000001</v>
      </c>
      <c r="N249" s="50">
        <f t="shared" si="62"/>
        <v>51.27</v>
      </c>
      <c r="O249" s="50">
        <f>O260+O264+O266</f>
        <v>56.379999999999995</v>
      </c>
      <c r="P249" s="50">
        <f t="shared" ref="P249:U249" si="63">P260+P264+P266</f>
        <v>35.32</v>
      </c>
      <c r="Q249" s="50">
        <f t="shared" si="63"/>
        <v>50</v>
      </c>
      <c r="R249" s="50">
        <f t="shared" si="63"/>
        <v>23.64</v>
      </c>
      <c r="S249" s="50">
        <f t="shared" si="63"/>
        <v>50</v>
      </c>
      <c r="T249" s="50">
        <f t="shared" si="63"/>
        <v>17.079999999999998</v>
      </c>
      <c r="U249" s="50">
        <f t="shared" si="63"/>
        <v>261.52999999999997</v>
      </c>
      <c r="V249" s="50">
        <f t="shared" si="62"/>
        <v>0</v>
      </c>
      <c r="W249" s="61">
        <f t="shared" si="57"/>
        <v>582.90792693000003</v>
      </c>
    </row>
    <row r="250" spans="1:23" s="3" customFormat="1" ht="8.1" customHeight="1" x14ac:dyDescent="0.2">
      <c r="A250" s="86" t="s">
        <v>370</v>
      </c>
      <c r="B250" s="87"/>
      <c r="C250" s="91" t="s">
        <v>416</v>
      </c>
      <c r="D250" s="92"/>
      <c r="E250" s="92"/>
      <c r="F250" s="92"/>
      <c r="G250" s="93"/>
      <c r="H250" s="1" t="s">
        <v>5</v>
      </c>
      <c r="I250" s="38"/>
      <c r="J250" s="38"/>
      <c r="K250" s="38"/>
      <c r="L250" s="50"/>
      <c r="M250" s="50"/>
      <c r="N250" s="50"/>
      <c r="O250" s="50"/>
      <c r="P250" s="50"/>
      <c r="Q250" s="50"/>
      <c r="R250" s="50"/>
      <c r="S250" s="50"/>
      <c r="T250" s="50"/>
      <c r="U250" s="50"/>
      <c r="V250" s="50">
        <f t="shared" si="51"/>
        <v>0</v>
      </c>
      <c r="W250" s="61">
        <f t="shared" si="57"/>
        <v>0</v>
      </c>
    </row>
    <row r="251" spans="1:23" s="3" customFormat="1" ht="8.1" customHeight="1" x14ac:dyDescent="0.2">
      <c r="A251" s="86" t="s">
        <v>371</v>
      </c>
      <c r="B251" s="87"/>
      <c r="C251" s="127" t="s">
        <v>417</v>
      </c>
      <c r="D251" s="128"/>
      <c r="E251" s="128"/>
      <c r="F251" s="128"/>
      <c r="G251" s="129"/>
      <c r="H251" s="1" t="s">
        <v>5</v>
      </c>
      <c r="I251" s="38"/>
      <c r="J251" s="38"/>
      <c r="K251" s="38"/>
      <c r="L251" s="50"/>
      <c r="M251" s="50"/>
      <c r="N251" s="50"/>
      <c r="O251" s="50"/>
      <c r="P251" s="50"/>
      <c r="Q251" s="50"/>
      <c r="R251" s="50"/>
      <c r="S251" s="50"/>
      <c r="T251" s="50"/>
      <c r="U251" s="50"/>
      <c r="V251" s="50">
        <f t="shared" si="51"/>
        <v>0</v>
      </c>
      <c r="W251" s="61">
        <f t="shared" si="57"/>
        <v>0</v>
      </c>
    </row>
    <row r="252" spans="1:23" s="3" customFormat="1" ht="16.5" customHeight="1" x14ac:dyDescent="0.2">
      <c r="A252" s="86" t="s">
        <v>372</v>
      </c>
      <c r="B252" s="87"/>
      <c r="C252" s="127" t="s">
        <v>47</v>
      </c>
      <c r="D252" s="128"/>
      <c r="E252" s="128"/>
      <c r="F252" s="128"/>
      <c r="G252" s="129"/>
      <c r="H252" s="1" t="s">
        <v>5</v>
      </c>
      <c r="I252" s="38"/>
      <c r="J252" s="38"/>
      <c r="K252" s="38"/>
      <c r="L252" s="50"/>
      <c r="M252" s="50"/>
      <c r="N252" s="50"/>
      <c r="O252" s="50"/>
      <c r="P252" s="50"/>
      <c r="Q252" s="50"/>
      <c r="R252" s="50"/>
      <c r="S252" s="50"/>
      <c r="T252" s="50"/>
      <c r="U252" s="50"/>
      <c r="V252" s="50">
        <f t="shared" si="51"/>
        <v>0</v>
      </c>
      <c r="W252" s="61">
        <f t="shared" si="57"/>
        <v>0</v>
      </c>
    </row>
    <row r="253" spans="1:23" s="3" customFormat="1" ht="8.1" customHeight="1" x14ac:dyDescent="0.2">
      <c r="A253" s="86" t="s">
        <v>373</v>
      </c>
      <c r="B253" s="87"/>
      <c r="C253" s="153" t="s">
        <v>417</v>
      </c>
      <c r="D253" s="154"/>
      <c r="E253" s="154"/>
      <c r="F253" s="154"/>
      <c r="G253" s="155"/>
      <c r="H253" s="1" t="s">
        <v>5</v>
      </c>
      <c r="I253" s="38"/>
      <c r="J253" s="38"/>
      <c r="K253" s="38"/>
      <c r="L253" s="50"/>
      <c r="M253" s="50"/>
      <c r="N253" s="50"/>
      <c r="O253" s="50"/>
      <c r="P253" s="50"/>
      <c r="Q253" s="50"/>
      <c r="R253" s="50"/>
      <c r="S253" s="50"/>
      <c r="T253" s="50"/>
      <c r="U253" s="50"/>
      <c r="V253" s="50">
        <f t="shared" si="51"/>
        <v>0</v>
      </c>
      <c r="W253" s="61">
        <f t="shared" si="57"/>
        <v>0</v>
      </c>
    </row>
    <row r="254" spans="1:23" s="3" customFormat="1" ht="16.5" customHeight="1" x14ac:dyDescent="0.2">
      <c r="A254" s="86" t="s">
        <v>374</v>
      </c>
      <c r="B254" s="87"/>
      <c r="C254" s="127" t="s">
        <v>52</v>
      </c>
      <c r="D254" s="128"/>
      <c r="E254" s="128"/>
      <c r="F254" s="128"/>
      <c r="G254" s="129"/>
      <c r="H254" s="1" t="s">
        <v>5</v>
      </c>
      <c r="I254" s="38"/>
      <c r="J254" s="38"/>
      <c r="K254" s="38"/>
      <c r="L254" s="50"/>
      <c r="M254" s="50"/>
      <c r="N254" s="50"/>
      <c r="O254" s="50"/>
      <c r="P254" s="50"/>
      <c r="Q254" s="50"/>
      <c r="R254" s="50"/>
      <c r="S254" s="50"/>
      <c r="T254" s="50"/>
      <c r="U254" s="50"/>
      <c r="V254" s="50">
        <f t="shared" si="51"/>
        <v>0</v>
      </c>
      <c r="W254" s="61">
        <f t="shared" si="57"/>
        <v>0</v>
      </c>
    </row>
    <row r="255" spans="1:23" s="3" customFormat="1" ht="8.1" customHeight="1" x14ac:dyDescent="0.2">
      <c r="A255" s="86" t="s">
        <v>375</v>
      </c>
      <c r="B255" s="87"/>
      <c r="C255" s="153" t="s">
        <v>417</v>
      </c>
      <c r="D255" s="154"/>
      <c r="E255" s="154"/>
      <c r="F255" s="154"/>
      <c r="G255" s="155"/>
      <c r="H255" s="1" t="s">
        <v>5</v>
      </c>
      <c r="I255" s="38"/>
      <c r="J255" s="38"/>
      <c r="K255" s="38"/>
      <c r="L255" s="50"/>
      <c r="M255" s="50"/>
      <c r="N255" s="50"/>
      <c r="O255" s="50"/>
      <c r="P255" s="50"/>
      <c r="Q255" s="50"/>
      <c r="R255" s="50"/>
      <c r="S255" s="50"/>
      <c r="T255" s="50"/>
      <c r="U255" s="50"/>
      <c r="V255" s="50">
        <f t="shared" si="51"/>
        <v>0</v>
      </c>
      <c r="W255" s="61">
        <f t="shared" si="57"/>
        <v>0</v>
      </c>
    </row>
    <row r="256" spans="1:23" s="3" customFormat="1" ht="16.5" customHeight="1" x14ac:dyDescent="0.2">
      <c r="A256" s="86" t="s">
        <v>376</v>
      </c>
      <c r="B256" s="87"/>
      <c r="C256" s="127" t="s">
        <v>53</v>
      </c>
      <c r="D256" s="128"/>
      <c r="E256" s="128"/>
      <c r="F256" s="128"/>
      <c r="G256" s="129"/>
      <c r="H256" s="1" t="s">
        <v>5</v>
      </c>
      <c r="I256" s="38"/>
      <c r="J256" s="38"/>
      <c r="K256" s="38"/>
      <c r="L256" s="50"/>
      <c r="M256" s="50"/>
      <c r="N256" s="50"/>
      <c r="O256" s="50"/>
      <c r="P256" s="50"/>
      <c r="Q256" s="50"/>
      <c r="R256" s="50"/>
      <c r="S256" s="50"/>
      <c r="T256" s="50"/>
      <c r="U256" s="50"/>
      <c r="V256" s="50">
        <f t="shared" si="51"/>
        <v>0</v>
      </c>
      <c r="W256" s="61">
        <f t="shared" si="57"/>
        <v>0</v>
      </c>
    </row>
    <row r="257" spans="1:23" s="3" customFormat="1" ht="8.1" customHeight="1" x14ac:dyDescent="0.2">
      <c r="A257" s="86" t="s">
        <v>377</v>
      </c>
      <c r="B257" s="87"/>
      <c r="C257" s="153" t="s">
        <v>417</v>
      </c>
      <c r="D257" s="154"/>
      <c r="E257" s="154"/>
      <c r="F257" s="154"/>
      <c r="G257" s="155"/>
      <c r="H257" s="1" t="s">
        <v>5</v>
      </c>
      <c r="I257" s="38"/>
      <c r="J257" s="38"/>
      <c r="K257" s="38"/>
      <c r="L257" s="50"/>
      <c r="M257" s="50"/>
      <c r="N257" s="50"/>
      <c r="O257" s="50"/>
      <c r="P257" s="50"/>
      <c r="Q257" s="50"/>
      <c r="R257" s="50"/>
      <c r="S257" s="50"/>
      <c r="T257" s="50"/>
      <c r="U257" s="50"/>
      <c r="V257" s="50">
        <f t="shared" si="51"/>
        <v>0</v>
      </c>
      <c r="W257" s="61">
        <f t="shared" si="57"/>
        <v>0</v>
      </c>
    </row>
    <row r="258" spans="1:23" s="3" customFormat="1" ht="8.1" customHeight="1" x14ac:dyDescent="0.2">
      <c r="A258" s="86" t="s">
        <v>378</v>
      </c>
      <c r="B258" s="87"/>
      <c r="C258" s="91" t="s">
        <v>418</v>
      </c>
      <c r="D258" s="92"/>
      <c r="E258" s="92"/>
      <c r="F258" s="92"/>
      <c r="G258" s="93"/>
      <c r="H258" s="1" t="s">
        <v>5</v>
      </c>
      <c r="I258" s="38"/>
      <c r="J258" s="38"/>
      <c r="K258" s="38"/>
      <c r="L258" s="50"/>
      <c r="M258" s="50"/>
      <c r="N258" s="50"/>
      <c r="O258" s="50"/>
      <c r="P258" s="50"/>
      <c r="Q258" s="50"/>
      <c r="R258" s="50"/>
      <c r="S258" s="50"/>
      <c r="T258" s="50"/>
      <c r="U258" s="50"/>
      <c r="V258" s="50">
        <f t="shared" si="51"/>
        <v>0</v>
      </c>
      <c r="W258" s="61">
        <f t="shared" si="57"/>
        <v>0</v>
      </c>
    </row>
    <row r="259" spans="1:23" s="3" customFormat="1" ht="8.1" customHeight="1" x14ac:dyDescent="0.2">
      <c r="A259" s="86" t="s">
        <v>379</v>
      </c>
      <c r="B259" s="87"/>
      <c r="C259" s="127" t="s">
        <v>417</v>
      </c>
      <c r="D259" s="128"/>
      <c r="E259" s="128"/>
      <c r="F259" s="128"/>
      <c r="G259" s="129"/>
      <c r="H259" s="1" t="s">
        <v>5</v>
      </c>
      <c r="I259" s="38"/>
      <c r="J259" s="38"/>
      <c r="K259" s="38"/>
      <c r="L259" s="50"/>
      <c r="M259" s="50"/>
      <c r="N259" s="50"/>
      <c r="O259" s="50"/>
      <c r="P259" s="50"/>
      <c r="Q259" s="50"/>
      <c r="R259" s="50"/>
      <c r="S259" s="50"/>
      <c r="T259" s="50"/>
      <c r="U259" s="50"/>
      <c r="V259" s="50">
        <f t="shared" si="51"/>
        <v>0</v>
      </c>
      <c r="W259" s="61">
        <f t="shared" si="57"/>
        <v>0</v>
      </c>
    </row>
    <row r="260" spans="1:23" s="3" customFormat="1" ht="8.1" customHeight="1" x14ac:dyDescent="0.2">
      <c r="A260" s="86" t="s">
        <v>380</v>
      </c>
      <c r="B260" s="87"/>
      <c r="C260" s="91" t="s">
        <v>419</v>
      </c>
      <c r="D260" s="92"/>
      <c r="E260" s="92"/>
      <c r="F260" s="92"/>
      <c r="G260" s="93"/>
      <c r="H260" s="1" t="s">
        <v>5</v>
      </c>
      <c r="I260" s="38"/>
      <c r="J260" s="38"/>
      <c r="K260" s="38">
        <v>17.59</v>
      </c>
      <c r="L260" s="50"/>
      <c r="M260" s="50">
        <f>[3]ДЗ_КЗ!$H$10+[3]ДЗ_КЗ!$H$11</f>
        <v>2.11400962</v>
      </c>
      <c r="N260" s="50"/>
      <c r="O260" s="50">
        <v>20</v>
      </c>
      <c r="P260" s="50"/>
      <c r="Q260" s="50">
        <v>20</v>
      </c>
      <c r="R260" s="50"/>
      <c r="S260" s="50">
        <v>20</v>
      </c>
      <c r="T260" s="50"/>
      <c r="U260" s="50">
        <v>20</v>
      </c>
      <c r="V260" s="50">
        <f t="shared" si="51"/>
        <v>0</v>
      </c>
      <c r="W260" s="61">
        <f t="shared" si="57"/>
        <v>82.114009620000004</v>
      </c>
    </row>
    <row r="261" spans="1:23" s="3" customFormat="1" ht="8.1" customHeight="1" x14ac:dyDescent="0.2">
      <c r="A261" s="86" t="s">
        <v>381</v>
      </c>
      <c r="B261" s="87"/>
      <c r="C261" s="127" t="s">
        <v>417</v>
      </c>
      <c r="D261" s="128"/>
      <c r="E261" s="128"/>
      <c r="F261" s="128"/>
      <c r="G261" s="129"/>
      <c r="H261" s="1" t="s">
        <v>5</v>
      </c>
      <c r="I261" s="38"/>
      <c r="J261" s="38"/>
      <c r="K261" s="38"/>
      <c r="L261" s="50"/>
      <c r="M261" s="50"/>
      <c r="N261" s="50"/>
      <c r="O261" s="50"/>
      <c r="P261" s="50"/>
      <c r="Q261" s="50"/>
      <c r="R261" s="50"/>
      <c r="S261" s="50"/>
      <c r="T261" s="50"/>
      <c r="U261" s="50"/>
      <c r="V261" s="50">
        <f t="shared" si="51"/>
        <v>0</v>
      </c>
      <c r="W261" s="61">
        <f t="shared" si="57"/>
        <v>0</v>
      </c>
    </row>
    <row r="262" spans="1:23" s="3" customFormat="1" ht="8.1" customHeight="1" x14ac:dyDescent="0.2">
      <c r="A262" s="86" t="s">
        <v>382</v>
      </c>
      <c r="B262" s="87"/>
      <c r="C262" s="91" t="s">
        <v>420</v>
      </c>
      <c r="D262" s="92"/>
      <c r="E262" s="92"/>
      <c r="F262" s="92"/>
      <c r="G262" s="93"/>
      <c r="H262" s="1" t="s">
        <v>5</v>
      </c>
      <c r="I262" s="38"/>
      <c r="J262" s="38"/>
      <c r="K262" s="38"/>
      <c r="L262" s="50"/>
      <c r="M262" s="50"/>
      <c r="N262" s="50"/>
      <c r="O262" s="50"/>
      <c r="P262" s="50"/>
      <c r="Q262" s="50"/>
      <c r="R262" s="50"/>
      <c r="S262" s="50"/>
      <c r="T262" s="50"/>
      <c r="U262" s="50"/>
      <c r="V262" s="50">
        <f t="shared" si="51"/>
        <v>0</v>
      </c>
      <c r="W262" s="61">
        <f t="shared" si="57"/>
        <v>0</v>
      </c>
    </row>
    <row r="263" spans="1:23" s="3" customFormat="1" ht="8.1" customHeight="1" x14ac:dyDescent="0.2">
      <c r="A263" s="86" t="s">
        <v>383</v>
      </c>
      <c r="B263" s="87"/>
      <c r="C263" s="127" t="s">
        <v>417</v>
      </c>
      <c r="D263" s="128"/>
      <c r="E263" s="128"/>
      <c r="F263" s="128"/>
      <c r="G263" s="129"/>
      <c r="H263" s="1" t="s">
        <v>5</v>
      </c>
      <c r="I263" s="38"/>
      <c r="J263" s="38"/>
      <c r="K263" s="38"/>
      <c r="L263" s="50"/>
      <c r="M263" s="50"/>
      <c r="N263" s="50"/>
      <c r="O263" s="50"/>
      <c r="P263" s="50"/>
      <c r="Q263" s="50"/>
      <c r="R263" s="50"/>
      <c r="S263" s="50"/>
      <c r="T263" s="50"/>
      <c r="U263" s="50"/>
      <c r="V263" s="50">
        <f t="shared" si="51"/>
        <v>0</v>
      </c>
      <c r="W263" s="61">
        <f t="shared" si="57"/>
        <v>0</v>
      </c>
    </row>
    <row r="264" spans="1:23" s="3" customFormat="1" ht="8.1" customHeight="1" x14ac:dyDescent="0.2">
      <c r="A264" s="86" t="s">
        <v>384</v>
      </c>
      <c r="B264" s="87"/>
      <c r="C264" s="91" t="s">
        <v>421</v>
      </c>
      <c r="D264" s="92"/>
      <c r="E264" s="92"/>
      <c r="F264" s="92"/>
      <c r="G264" s="93"/>
      <c r="H264" s="1" t="s">
        <v>5</v>
      </c>
      <c r="I264" s="38">
        <v>30</v>
      </c>
      <c r="J264" s="38"/>
      <c r="K264" s="38">
        <v>18.2</v>
      </c>
      <c r="L264" s="50"/>
      <c r="M264" s="50">
        <f>[3]ДЗ_КЗ!$H$14</f>
        <v>92.691355560000005</v>
      </c>
      <c r="N264" s="50"/>
      <c r="O264" s="50">
        <v>6.38</v>
      </c>
      <c r="P264" s="50"/>
      <c r="Q264" s="50"/>
      <c r="R264" s="50"/>
      <c r="S264" s="50"/>
      <c r="T264" s="50"/>
      <c r="U264" s="50">
        <v>211.53</v>
      </c>
      <c r="V264" s="50">
        <f t="shared" si="51"/>
        <v>0</v>
      </c>
      <c r="W264" s="61">
        <f t="shared" si="57"/>
        <v>310.60135556</v>
      </c>
    </row>
    <row r="265" spans="1:23" s="3" customFormat="1" ht="8.1" customHeight="1" x14ac:dyDescent="0.2">
      <c r="A265" s="86" t="s">
        <v>385</v>
      </c>
      <c r="B265" s="87"/>
      <c r="C265" s="127" t="s">
        <v>417</v>
      </c>
      <c r="D265" s="128"/>
      <c r="E265" s="128"/>
      <c r="F265" s="128"/>
      <c r="G265" s="129"/>
      <c r="H265" s="1" t="s">
        <v>5</v>
      </c>
      <c r="I265" s="38"/>
      <c r="J265" s="38"/>
      <c r="K265" s="38"/>
      <c r="L265" s="50"/>
      <c r="M265" s="50"/>
      <c r="N265" s="50"/>
      <c r="O265" s="50"/>
      <c r="P265" s="50"/>
      <c r="Q265" s="50"/>
      <c r="R265" s="50"/>
      <c r="S265" s="50"/>
      <c r="T265" s="50"/>
      <c r="U265" s="50"/>
      <c r="V265" s="50">
        <f t="shared" si="51"/>
        <v>0</v>
      </c>
      <c r="W265" s="61">
        <f t="shared" si="57"/>
        <v>0</v>
      </c>
    </row>
    <row r="266" spans="1:23" s="3" customFormat="1" ht="8.1" customHeight="1" x14ac:dyDescent="0.2">
      <c r="A266" s="86" t="s">
        <v>386</v>
      </c>
      <c r="B266" s="87"/>
      <c r="C266" s="91" t="s">
        <v>422</v>
      </c>
      <c r="D266" s="92"/>
      <c r="E266" s="92"/>
      <c r="F266" s="92"/>
      <c r="G266" s="93"/>
      <c r="H266" s="1" t="s">
        <v>5</v>
      </c>
      <c r="I266" s="38">
        <v>21.82</v>
      </c>
      <c r="J266" s="38">
        <v>91.62</v>
      </c>
      <c r="K266" s="38">
        <v>27.62</v>
      </c>
      <c r="L266" s="50">
        <v>71.489999999999995</v>
      </c>
      <c r="M266" s="50">
        <f>[3]ДЗ_КЗ!$H$17+[3]ДЗ_КЗ!$H$18</f>
        <v>38.011773499999997</v>
      </c>
      <c r="N266" s="50">
        <v>51.27</v>
      </c>
      <c r="O266" s="50">
        <v>30</v>
      </c>
      <c r="P266" s="50">
        <v>35.32</v>
      </c>
      <c r="Q266" s="50">
        <v>30</v>
      </c>
      <c r="R266" s="50">
        <v>23.64</v>
      </c>
      <c r="S266" s="50">
        <v>30</v>
      </c>
      <c r="T266" s="50">
        <v>17.079999999999998</v>
      </c>
      <c r="U266" s="50">
        <v>30</v>
      </c>
      <c r="V266" s="50"/>
      <c r="W266" s="61">
        <f t="shared" si="57"/>
        <v>158.0117735</v>
      </c>
    </row>
    <row r="267" spans="1:23" s="3" customFormat="1" ht="8.1" customHeight="1" x14ac:dyDescent="0.2">
      <c r="A267" s="86" t="s">
        <v>387</v>
      </c>
      <c r="B267" s="87"/>
      <c r="C267" s="127" t="s">
        <v>417</v>
      </c>
      <c r="D267" s="128"/>
      <c r="E267" s="128"/>
      <c r="F267" s="128"/>
      <c r="G267" s="129"/>
      <c r="H267" s="1" t="s">
        <v>5</v>
      </c>
      <c r="I267" s="38">
        <v>18.79</v>
      </c>
      <c r="J267" s="38"/>
      <c r="K267" s="38"/>
      <c r="L267" s="50"/>
      <c r="M267" s="50"/>
      <c r="N267" s="50"/>
      <c r="O267" s="50"/>
      <c r="P267" s="50"/>
      <c r="Q267" s="50"/>
      <c r="R267" s="50"/>
      <c r="S267" s="50"/>
      <c r="T267" s="50"/>
      <c r="U267" s="50"/>
      <c r="V267" s="50">
        <f t="shared" si="51"/>
        <v>0</v>
      </c>
      <c r="W267" s="61">
        <f t="shared" si="57"/>
        <v>0</v>
      </c>
    </row>
    <row r="268" spans="1:23" s="3" customFormat="1" ht="8.1" customHeight="1" x14ac:dyDescent="0.2">
      <c r="A268" s="86" t="s">
        <v>386</v>
      </c>
      <c r="B268" s="87"/>
      <c r="C268" s="91" t="s">
        <v>423</v>
      </c>
      <c r="D268" s="92"/>
      <c r="E268" s="92"/>
      <c r="F268" s="92"/>
      <c r="G268" s="93"/>
      <c r="H268" s="1" t="s">
        <v>5</v>
      </c>
      <c r="I268" s="38"/>
      <c r="J268" s="38"/>
      <c r="K268" s="38"/>
      <c r="L268" s="50"/>
      <c r="M268" s="50"/>
      <c r="N268" s="50"/>
      <c r="O268" s="50"/>
      <c r="P268" s="50"/>
      <c r="Q268" s="50"/>
      <c r="R268" s="50"/>
      <c r="S268" s="50"/>
      <c r="T268" s="50"/>
      <c r="U268" s="50"/>
      <c r="V268" s="50">
        <f t="shared" si="51"/>
        <v>0</v>
      </c>
      <c r="W268" s="61">
        <f t="shared" si="57"/>
        <v>0</v>
      </c>
    </row>
    <row r="269" spans="1:23" s="3" customFormat="1" ht="8.1" customHeight="1" x14ac:dyDescent="0.2">
      <c r="A269" s="86" t="s">
        <v>388</v>
      </c>
      <c r="B269" s="87"/>
      <c r="C269" s="127" t="s">
        <v>417</v>
      </c>
      <c r="D269" s="128"/>
      <c r="E269" s="128"/>
      <c r="F269" s="128"/>
      <c r="G269" s="129"/>
      <c r="H269" s="1" t="s">
        <v>5</v>
      </c>
      <c r="I269" s="38"/>
      <c r="J269" s="38"/>
      <c r="K269" s="38"/>
      <c r="L269" s="50"/>
      <c r="M269" s="50"/>
      <c r="N269" s="50"/>
      <c r="O269" s="50"/>
      <c r="P269" s="50"/>
      <c r="Q269" s="50"/>
      <c r="R269" s="50"/>
      <c r="S269" s="50"/>
      <c r="T269" s="50"/>
      <c r="U269" s="50"/>
      <c r="V269" s="50">
        <f t="shared" si="51"/>
        <v>0</v>
      </c>
      <c r="W269" s="61">
        <f t="shared" si="57"/>
        <v>0</v>
      </c>
    </row>
    <row r="270" spans="1:23" s="3" customFormat="1" ht="16.5" customHeight="1" x14ac:dyDescent="0.2">
      <c r="A270" s="86" t="s">
        <v>389</v>
      </c>
      <c r="B270" s="87"/>
      <c r="C270" s="91" t="s">
        <v>669</v>
      </c>
      <c r="D270" s="92"/>
      <c r="E270" s="92"/>
      <c r="F270" s="92"/>
      <c r="G270" s="93"/>
      <c r="H270" s="1" t="s">
        <v>5</v>
      </c>
      <c r="I270" s="38"/>
      <c r="J270" s="38"/>
      <c r="K270" s="38"/>
      <c r="L270" s="50"/>
      <c r="M270" s="50"/>
      <c r="N270" s="50"/>
      <c r="O270" s="50"/>
      <c r="P270" s="50"/>
      <c r="Q270" s="50"/>
      <c r="R270" s="50"/>
      <c r="S270" s="50"/>
      <c r="T270" s="50"/>
      <c r="U270" s="50"/>
      <c r="V270" s="50">
        <f t="shared" si="51"/>
        <v>0</v>
      </c>
      <c r="W270" s="61">
        <f t="shared" si="57"/>
        <v>0</v>
      </c>
    </row>
    <row r="271" spans="1:23" s="3" customFormat="1" ht="8.1" customHeight="1" x14ac:dyDescent="0.2">
      <c r="A271" s="86" t="s">
        <v>390</v>
      </c>
      <c r="B271" s="87"/>
      <c r="C271" s="127" t="s">
        <v>417</v>
      </c>
      <c r="D271" s="128"/>
      <c r="E271" s="128"/>
      <c r="F271" s="128"/>
      <c r="G271" s="129"/>
      <c r="H271" s="1" t="s">
        <v>5</v>
      </c>
      <c r="I271" s="38"/>
      <c r="J271" s="38"/>
      <c r="K271" s="38"/>
      <c r="L271" s="50"/>
      <c r="M271" s="50"/>
      <c r="N271" s="50"/>
      <c r="O271" s="50"/>
      <c r="P271" s="50"/>
      <c r="Q271" s="50"/>
      <c r="R271" s="50"/>
      <c r="S271" s="50"/>
      <c r="T271" s="50"/>
      <c r="U271" s="50"/>
      <c r="V271" s="50">
        <f t="shared" si="51"/>
        <v>0</v>
      </c>
      <c r="W271" s="61">
        <f t="shared" si="57"/>
        <v>0</v>
      </c>
    </row>
    <row r="272" spans="1:23" s="3" customFormat="1" ht="8.1" customHeight="1" x14ac:dyDescent="0.2">
      <c r="A272" s="86" t="s">
        <v>391</v>
      </c>
      <c r="B272" s="87"/>
      <c r="C272" s="127" t="s">
        <v>82</v>
      </c>
      <c r="D272" s="128"/>
      <c r="E272" s="128"/>
      <c r="F272" s="128"/>
      <c r="G272" s="129"/>
      <c r="H272" s="1" t="s">
        <v>5</v>
      </c>
      <c r="I272" s="38"/>
      <c r="J272" s="38"/>
      <c r="K272" s="38"/>
      <c r="L272" s="50"/>
      <c r="M272" s="50"/>
      <c r="N272" s="50"/>
      <c r="O272" s="50"/>
      <c r="P272" s="50"/>
      <c r="Q272" s="50"/>
      <c r="R272" s="50"/>
      <c r="S272" s="50"/>
      <c r="T272" s="50"/>
      <c r="U272" s="50"/>
      <c r="V272" s="50">
        <f t="shared" si="51"/>
        <v>0</v>
      </c>
      <c r="W272" s="61">
        <f t="shared" si="57"/>
        <v>0</v>
      </c>
    </row>
    <row r="273" spans="1:23" s="3" customFormat="1" ht="8.1" customHeight="1" x14ac:dyDescent="0.2">
      <c r="A273" s="86" t="s">
        <v>392</v>
      </c>
      <c r="B273" s="87"/>
      <c r="C273" s="153" t="s">
        <v>417</v>
      </c>
      <c r="D273" s="154"/>
      <c r="E273" s="154"/>
      <c r="F273" s="154"/>
      <c r="G273" s="155"/>
      <c r="H273" s="1" t="s">
        <v>5</v>
      </c>
      <c r="I273" s="38"/>
      <c r="J273" s="38"/>
      <c r="K273" s="38"/>
      <c r="L273" s="50"/>
      <c r="M273" s="50"/>
      <c r="N273" s="50"/>
      <c r="O273" s="50"/>
      <c r="P273" s="50"/>
      <c r="Q273" s="50"/>
      <c r="R273" s="50"/>
      <c r="S273" s="50"/>
      <c r="T273" s="50"/>
      <c r="U273" s="50"/>
      <c r="V273" s="50">
        <f t="shared" si="51"/>
        <v>0</v>
      </c>
      <c r="W273" s="61">
        <f t="shared" si="57"/>
        <v>0</v>
      </c>
    </row>
    <row r="274" spans="1:23" s="3" customFormat="1" ht="8.1" customHeight="1" x14ac:dyDescent="0.2">
      <c r="A274" s="86" t="s">
        <v>393</v>
      </c>
      <c r="B274" s="87"/>
      <c r="C274" s="127" t="s">
        <v>83</v>
      </c>
      <c r="D274" s="128"/>
      <c r="E274" s="128"/>
      <c r="F274" s="128"/>
      <c r="G274" s="129"/>
      <c r="H274" s="1" t="s">
        <v>5</v>
      </c>
      <c r="I274" s="38"/>
      <c r="J274" s="38"/>
      <c r="K274" s="38"/>
      <c r="L274" s="50"/>
      <c r="M274" s="50"/>
      <c r="N274" s="50"/>
      <c r="O274" s="50"/>
      <c r="P274" s="50"/>
      <c r="Q274" s="50"/>
      <c r="R274" s="50"/>
      <c r="S274" s="50"/>
      <c r="T274" s="50"/>
      <c r="U274" s="50"/>
      <c r="V274" s="50">
        <f t="shared" si="51"/>
        <v>0</v>
      </c>
      <c r="W274" s="61">
        <f t="shared" si="57"/>
        <v>0</v>
      </c>
    </row>
    <row r="275" spans="1:23" s="3" customFormat="1" ht="8.1" customHeight="1" x14ac:dyDescent="0.2">
      <c r="A275" s="86" t="s">
        <v>394</v>
      </c>
      <c r="B275" s="87"/>
      <c r="C275" s="153" t="s">
        <v>417</v>
      </c>
      <c r="D275" s="154"/>
      <c r="E275" s="154"/>
      <c r="F275" s="154"/>
      <c r="G275" s="155"/>
      <c r="H275" s="1" t="s">
        <v>5</v>
      </c>
      <c r="I275" s="38"/>
      <c r="J275" s="38"/>
      <c r="K275" s="38"/>
      <c r="L275" s="50"/>
      <c r="M275" s="50"/>
      <c r="N275" s="50"/>
      <c r="O275" s="50"/>
      <c r="P275" s="50"/>
      <c r="Q275" s="50"/>
      <c r="R275" s="50"/>
      <c r="S275" s="50"/>
      <c r="T275" s="50"/>
      <c r="U275" s="50"/>
      <c r="V275" s="50">
        <f t="shared" si="51"/>
        <v>0</v>
      </c>
      <c r="W275" s="61">
        <f t="shared" si="57"/>
        <v>0</v>
      </c>
    </row>
    <row r="276" spans="1:23" s="3" customFormat="1" ht="8.1" customHeight="1" x14ac:dyDescent="0.2">
      <c r="A276" s="86" t="s">
        <v>395</v>
      </c>
      <c r="B276" s="87"/>
      <c r="C276" s="91" t="s">
        <v>425</v>
      </c>
      <c r="D276" s="92"/>
      <c r="E276" s="92"/>
      <c r="F276" s="92"/>
      <c r="G276" s="93"/>
      <c r="H276" s="1" t="s">
        <v>5</v>
      </c>
      <c r="I276" s="38">
        <v>25.65</v>
      </c>
      <c r="J276" s="38"/>
      <c r="K276" s="38">
        <v>133.86000000000001</v>
      </c>
      <c r="L276" s="50"/>
      <c r="M276" s="50">
        <f>[3]ДЗ_КЗ!$H$21+[3]ДЗ_КЗ!$H$22+[3]ДЗ_КЗ!$H$23-10.925</f>
        <v>32.180788249999992</v>
      </c>
      <c r="N276" s="50"/>
      <c r="O276" s="50"/>
      <c r="P276" s="50"/>
      <c r="Q276" s="50"/>
      <c r="R276" s="50"/>
      <c r="S276" s="50"/>
      <c r="T276" s="50"/>
      <c r="U276" s="50"/>
      <c r="V276" s="50">
        <f t="shared" si="51"/>
        <v>0</v>
      </c>
      <c r="W276" s="61">
        <f t="shared" si="57"/>
        <v>32.180788249999992</v>
      </c>
    </row>
    <row r="277" spans="1:23" s="3" customFormat="1" ht="8.1" customHeight="1" x14ac:dyDescent="0.2">
      <c r="A277" s="86" t="s">
        <v>396</v>
      </c>
      <c r="B277" s="87"/>
      <c r="C277" s="127" t="s">
        <v>417</v>
      </c>
      <c r="D277" s="128"/>
      <c r="E277" s="128"/>
      <c r="F277" s="128"/>
      <c r="G277" s="129"/>
      <c r="H277" s="1" t="s">
        <v>5</v>
      </c>
      <c r="I277" s="38"/>
      <c r="J277" s="38"/>
      <c r="K277" s="38"/>
      <c r="L277" s="50"/>
      <c r="M277" s="50"/>
      <c r="N277" s="50"/>
      <c r="O277" s="50"/>
      <c r="P277" s="50"/>
      <c r="Q277" s="50"/>
      <c r="R277" s="50"/>
      <c r="S277" s="50"/>
      <c r="T277" s="50"/>
      <c r="U277" s="50"/>
      <c r="V277" s="50">
        <f t="shared" si="51"/>
        <v>0</v>
      </c>
      <c r="W277" s="61">
        <f t="shared" si="57"/>
        <v>0</v>
      </c>
    </row>
    <row r="278" spans="1:23" s="3" customFormat="1" ht="8.1" customHeight="1" x14ac:dyDescent="0.2">
      <c r="A278" s="86" t="s">
        <v>397</v>
      </c>
      <c r="B278" s="87"/>
      <c r="C278" s="88" t="s">
        <v>426</v>
      </c>
      <c r="D278" s="89"/>
      <c r="E278" s="89"/>
      <c r="F278" s="89"/>
      <c r="G278" s="90"/>
      <c r="H278" s="1" t="s">
        <v>5</v>
      </c>
      <c r="I278" s="38">
        <v>460.14</v>
      </c>
      <c r="J278" s="38">
        <f>J279+J281+J288+J294+J296+J298</f>
        <v>372.03999999999996</v>
      </c>
      <c r="K278" s="38">
        <v>523.79999999999995</v>
      </c>
      <c r="L278" s="50">
        <f t="shared" ref="L278:W278" si="64">L279+L281+L288+L294+L296+L298</f>
        <v>632.27</v>
      </c>
      <c r="M278" s="50">
        <f>M281+M288+M292+M294+M296+M298</f>
        <v>440.67368974000004</v>
      </c>
      <c r="N278" s="50">
        <f t="shared" si="64"/>
        <v>492.93</v>
      </c>
      <c r="O278" s="50"/>
      <c r="P278" s="50">
        <f t="shared" si="64"/>
        <v>570.02</v>
      </c>
      <c r="Q278" s="50">
        <v>570.02</v>
      </c>
      <c r="R278" s="50">
        <f t="shared" si="64"/>
        <v>625.33999999999992</v>
      </c>
      <c r="S278" s="50">
        <v>625.34</v>
      </c>
      <c r="T278" s="50">
        <f t="shared" si="64"/>
        <v>124.43</v>
      </c>
      <c r="U278" s="50">
        <v>124.43</v>
      </c>
      <c r="V278" s="50">
        <f t="shared" si="64"/>
        <v>0</v>
      </c>
      <c r="W278" s="61">
        <f t="shared" si="64"/>
        <v>1793.03856236</v>
      </c>
    </row>
    <row r="279" spans="1:23" s="3" customFormat="1" ht="8.1" customHeight="1" x14ac:dyDescent="0.2">
      <c r="A279" s="86" t="s">
        <v>398</v>
      </c>
      <c r="B279" s="87"/>
      <c r="C279" s="91" t="s">
        <v>427</v>
      </c>
      <c r="D279" s="92"/>
      <c r="E279" s="92"/>
      <c r="F279" s="92"/>
      <c r="G279" s="93"/>
      <c r="H279" s="1" t="s">
        <v>5</v>
      </c>
      <c r="I279" s="38">
        <v>8.7899999999999991</v>
      </c>
      <c r="J279" s="38">
        <v>10</v>
      </c>
      <c r="K279" s="38"/>
      <c r="L279" s="50">
        <v>11</v>
      </c>
      <c r="M279" s="50"/>
      <c r="N279" s="50">
        <v>11</v>
      </c>
      <c r="O279" s="50"/>
      <c r="P279" s="50">
        <v>11</v>
      </c>
      <c r="Q279" s="50">
        <v>1</v>
      </c>
      <c r="R279" s="50">
        <v>11</v>
      </c>
      <c r="S279" s="50">
        <v>1</v>
      </c>
      <c r="T279" s="50">
        <v>11</v>
      </c>
      <c r="U279" s="50">
        <v>1</v>
      </c>
      <c r="V279" s="50">
        <f>V280+V282+V289+V295+V297+V299</f>
        <v>0</v>
      </c>
      <c r="W279" s="61">
        <f t="shared" si="57"/>
        <v>3</v>
      </c>
    </row>
    <row r="280" spans="1:23" s="3" customFormat="1" ht="8.1" customHeight="1" x14ac:dyDescent="0.2">
      <c r="A280" s="86" t="s">
        <v>399</v>
      </c>
      <c r="B280" s="87"/>
      <c r="C280" s="127" t="s">
        <v>417</v>
      </c>
      <c r="D280" s="128"/>
      <c r="E280" s="128"/>
      <c r="F280" s="128"/>
      <c r="G280" s="129"/>
      <c r="H280" s="1" t="s">
        <v>5</v>
      </c>
      <c r="I280" s="38"/>
      <c r="J280" s="38"/>
      <c r="K280" s="38"/>
      <c r="L280" s="50"/>
      <c r="M280" s="50"/>
      <c r="N280" s="50"/>
      <c r="O280" s="50"/>
      <c r="P280" s="50"/>
      <c r="Q280" s="50"/>
      <c r="R280" s="50"/>
      <c r="S280" s="50"/>
      <c r="T280" s="50"/>
      <c r="U280" s="50"/>
      <c r="V280" s="50">
        <f t="shared" si="51"/>
        <v>0</v>
      </c>
      <c r="W280" s="61">
        <f t="shared" si="57"/>
        <v>0</v>
      </c>
    </row>
    <row r="281" spans="1:23" s="3" customFormat="1" ht="8.1" customHeight="1" x14ac:dyDescent="0.2">
      <c r="A281" s="86" t="s">
        <v>400</v>
      </c>
      <c r="B281" s="87"/>
      <c r="C281" s="91" t="s">
        <v>428</v>
      </c>
      <c r="D281" s="92"/>
      <c r="E281" s="92"/>
      <c r="F281" s="92"/>
      <c r="G281" s="93"/>
      <c r="H281" s="1" t="s">
        <v>5</v>
      </c>
      <c r="I281" s="38">
        <v>95.93</v>
      </c>
      <c r="J281" s="38">
        <v>46.54</v>
      </c>
      <c r="K281" s="38">
        <v>159.43</v>
      </c>
      <c r="L281" s="50"/>
      <c r="M281" s="50">
        <f>M284</f>
        <v>0</v>
      </c>
      <c r="N281" s="50"/>
      <c r="O281" s="50">
        <v>60</v>
      </c>
      <c r="P281" s="50"/>
      <c r="Q281" s="50">
        <v>60</v>
      </c>
      <c r="R281" s="50"/>
      <c r="S281" s="50">
        <v>60</v>
      </c>
      <c r="T281" s="50"/>
      <c r="U281" s="50">
        <v>60</v>
      </c>
      <c r="V281" s="50">
        <f t="shared" si="51"/>
        <v>0</v>
      </c>
      <c r="W281" s="61">
        <f t="shared" si="57"/>
        <v>240</v>
      </c>
    </row>
    <row r="282" spans="1:23" s="3" customFormat="1" ht="8.1" customHeight="1" x14ac:dyDescent="0.2">
      <c r="A282" s="86" t="s">
        <v>401</v>
      </c>
      <c r="B282" s="87"/>
      <c r="C282" s="127" t="s">
        <v>271</v>
      </c>
      <c r="D282" s="128"/>
      <c r="E282" s="128"/>
      <c r="F282" s="128"/>
      <c r="G282" s="129"/>
      <c r="H282" s="1" t="s">
        <v>5</v>
      </c>
      <c r="I282" s="38"/>
      <c r="J282" s="38"/>
      <c r="K282" s="38"/>
      <c r="L282" s="50"/>
      <c r="M282" s="50"/>
      <c r="N282" s="50"/>
      <c r="O282" s="50"/>
      <c r="P282" s="50"/>
      <c r="Q282" s="50"/>
      <c r="R282" s="50"/>
      <c r="S282" s="50"/>
      <c r="T282" s="50"/>
      <c r="U282" s="50"/>
      <c r="V282" s="50">
        <f t="shared" si="51"/>
        <v>0</v>
      </c>
      <c r="W282" s="61">
        <f t="shared" si="57"/>
        <v>0</v>
      </c>
    </row>
    <row r="283" spans="1:23" s="3" customFormat="1" ht="8.1" customHeight="1" x14ac:dyDescent="0.2">
      <c r="A283" s="86" t="s">
        <v>402</v>
      </c>
      <c r="B283" s="87"/>
      <c r="C283" s="153" t="s">
        <v>417</v>
      </c>
      <c r="D283" s="154"/>
      <c r="E283" s="154"/>
      <c r="F283" s="154"/>
      <c r="G283" s="155"/>
      <c r="H283" s="1" t="s">
        <v>5</v>
      </c>
      <c r="I283" s="38"/>
      <c r="J283" s="38"/>
      <c r="K283" s="38"/>
      <c r="L283" s="50"/>
      <c r="M283" s="50"/>
      <c r="N283" s="50"/>
      <c r="O283" s="50"/>
      <c r="P283" s="50"/>
      <c r="Q283" s="50"/>
      <c r="R283" s="50"/>
      <c r="S283" s="50"/>
      <c r="T283" s="50"/>
      <c r="U283" s="50"/>
      <c r="V283" s="50">
        <f t="shared" si="51"/>
        <v>0</v>
      </c>
      <c r="W283" s="61">
        <f t="shared" si="57"/>
        <v>0</v>
      </c>
    </row>
    <row r="284" spans="1:23" s="3" customFormat="1" ht="8.1" customHeight="1" x14ac:dyDescent="0.2">
      <c r="A284" s="86" t="s">
        <v>403</v>
      </c>
      <c r="B284" s="87"/>
      <c r="C284" s="127" t="s">
        <v>429</v>
      </c>
      <c r="D284" s="128"/>
      <c r="E284" s="128"/>
      <c r="F284" s="128"/>
      <c r="G284" s="129"/>
      <c r="H284" s="1" t="s">
        <v>5</v>
      </c>
      <c r="I284" s="38">
        <v>95.93</v>
      </c>
      <c r="J284" s="38">
        <v>46.54</v>
      </c>
      <c r="K284" s="38">
        <v>159.43</v>
      </c>
      <c r="L284" s="50"/>
      <c r="M284" s="50">
        <f>[3]ДЗ_КЗ!$H$27+[3]ДЗ_КЗ!$H$28-[4]ДЗ_КЗ!$H$27-[4]ДЗ_КЗ!$H$28</f>
        <v>0</v>
      </c>
      <c r="N284" s="50"/>
      <c r="O284" s="50">
        <v>60</v>
      </c>
      <c r="P284" s="50"/>
      <c r="Q284" s="50">
        <v>60</v>
      </c>
      <c r="R284" s="50"/>
      <c r="S284" s="50">
        <v>60</v>
      </c>
      <c r="T284" s="50"/>
      <c r="U284" s="50">
        <v>60</v>
      </c>
      <c r="V284" s="50">
        <f t="shared" si="51"/>
        <v>0</v>
      </c>
      <c r="W284" s="61">
        <f t="shared" si="57"/>
        <v>240</v>
      </c>
    </row>
    <row r="285" spans="1:23" s="3" customFormat="1" ht="8.1" customHeight="1" x14ac:dyDescent="0.2">
      <c r="A285" s="86" t="s">
        <v>404</v>
      </c>
      <c r="B285" s="87"/>
      <c r="C285" s="153" t="s">
        <v>417</v>
      </c>
      <c r="D285" s="154"/>
      <c r="E285" s="154"/>
      <c r="F285" s="154"/>
      <c r="G285" s="155"/>
      <c r="H285" s="1" t="s">
        <v>5</v>
      </c>
      <c r="I285" s="38"/>
      <c r="J285" s="38"/>
      <c r="K285" s="38"/>
      <c r="L285" s="50"/>
      <c r="M285" s="50"/>
      <c r="N285" s="50"/>
      <c r="O285" s="50"/>
      <c r="P285" s="50"/>
      <c r="Q285" s="50"/>
      <c r="R285" s="50"/>
      <c r="S285" s="50"/>
      <c r="T285" s="50"/>
      <c r="U285" s="50"/>
      <c r="V285" s="50">
        <f t="shared" si="51"/>
        <v>0</v>
      </c>
      <c r="W285" s="61">
        <f t="shared" si="57"/>
        <v>0</v>
      </c>
    </row>
    <row r="286" spans="1:23" s="3" customFormat="1" ht="16.5" customHeight="1" x14ac:dyDescent="0.2">
      <c r="A286" s="86" t="s">
        <v>405</v>
      </c>
      <c r="B286" s="87"/>
      <c r="C286" s="91" t="s">
        <v>430</v>
      </c>
      <c r="D286" s="92"/>
      <c r="E286" s="92"/>
      <c r="F286" s="92"/>
      <c r="G286" s="93"/>
      <c r="H286" s="1" t="s">
        <v>5</v>
      </c>
      <c r="I286" s="38"/>
      <c r="J286" s="38"/>
      <c r="K286" s="38"/>
      <c r="L286" s="50"/>
      <c r="M286" s="50"/>
      <c r="N286" s="50"/>
      <c r="O286" s="50"/>
      <c r="P286" s="50"/>
      <c r="Q286" s="50"/>
      <c r="R286" s="50"/>
      <c r="S286" s="50"/>
      <c r="T286" s="50"/>
      <c r="U286" s="50"/>
      <c r="V286" s="50">
        <f t="shared" si="51"/>
        <v>0</v>
      </c>
      <c r="W286" s="61">
        <f t="shared" si="57"/>
        <v>0</v>
      </c>
    </row>
    <row r="287" spans="1:23" s="3" customFormat="1" ht="8.1" customHeight="1" x14ac:dyDescent="0.2">
      <c r="A287" s="86" t="s">
        <v>431</v>
      </c>
      <c r="B287" s="87"/>
      <c r="C287" s="127" t="s">
        <v>417</v>
      </c>
      <c r="D287" s="128"/>
      <c r="E287" s="128"/>
      <c r="F287" s="128"/>
      <c r="G287" s="129"/>
      <c r="H287" s="1" t="s">
        <v>5</v>
      </c>
      <c r="I287" s="38"/>
      <c r="J287" s="38"/>
      <c r="K287" s="38"/>
      <c r="L287" s="50"/>
      <c r="M287" s="50"/>
      <c r="N287" s="50"/>
      <c r="O287" s="50"/>
      <c r="P287" s="50"/>
      <c r="Q287" s="50"/>
      <c r="R287" s="50"/>
      <c r="S287" s="50"/>
      <c r="T287" s="50"/>
      <c r="U287" s="50"/>
      <c r="V287" s="50">
        <f t="shared" si="51"/>
        <v>0</v>
      </c>
      <c r="W287" s="61">
        <f t="shared" si="57"/>
        <v>0</v>
      </c>
    </row>
    <row r="288" spans="1:23" s="3" customFormat="1" ht="8.1" customHeight="1" x14ac:dyDescent="0.2">
      <c r="A288" s="86" t="s">
        <v>432</v>
      </c>
      <c r="B288" s="87"/>
      <c r="C288" s="91" t="s">
        <v>444</v>
      </c>
      <c r="D288" s="92"/>
      <c r="E288" s="92"/>
      <c r="F288" s="92"/>
      <c r="G288" s="93"/>
      <c r="H288" s="1" t="s">
        <v>5</v>
      </c>
      <c r="I288" s="38">
        <v>126.5</v>
      </c>
      <c r="J288" s="38">
        <v>86.4</v>
      </c>
      <c r="K288" s="38">
        <v>115.53</v>
      </c>
      <c r="L288" s="50">
        <v>67.400000000000006</v>
      </c>
      <c r="M288" s="50">
        <f>[3]ДЗ_КЗ!$H$31+[3]ДЗ_КЗ!$H$32</f>
        <v>4.5655099999999997</v>
      </c>
      <c r="N288" s="50">
        <v>49.4</v>
      </c>
      <c r="O288" s="50">
        <v>65</v>
      </c>
      <c r="P288" s="50">
        <v>29.4</v>
      </c>
      <c r="Q288" s="50">
        <v>65</v>
      </c>
      <c r="R288" s="50">
        <v>8.4</v>
      </c>
      <c r="S288" s="50">
        <v>65</v>
      </c>
      <c r="T288" s="50"/>
      <c r="U288" s="50">
        <v>65</v>
      </c>
      <c r="V288" s="50"/>
      <c r="W288" s="61">
        <f t="shared" si="57"/>
        <v>264.56551000000002</v>
      </c>
    </row>
    <row r="289" spans="1:23" s="3" customFormat="1" ht="8.1" customHeight="1" x14ac:dyDescent="0.2">
      <c r="A289" s="86" t="s">
        <v>433</v>
      </c>
      <c r="B289" s="87"/>
      <c r="C289" s="127" t="s">
        <v>417</v>
      </c>
      <c r="D289" s="128"/>
      <c r="E289" s="128"/>
      <c r="F289" s="128"/>
      <c r="G289" s="129"/>
      <c r="H289" s="1" t="s">
        <v>5</v>
      </c>
      <c r="I289" s="38"/>
      <c r="J289" s="38"/>
      <c r="K289" s="38"/>
      <c r="L289" s="50"/>
      <c r="M289" s="50"/>
      <c r="N289" s="50"/>
      <c r="O289" s="50"/>
      <c r="P289" s="50"/>
      <c r="Q289" s="50"/>
      <c r="R289" s="50"/>
      <c r="S289" s="50"/>
      <c r="T289" s="50"/>
      <c r="U289" s="50"/>
      <c r="V289" s="50">
        <f t="shared" si="51"/>
        <v>0</v>
      </c>
      <c r="W289" s="61">
        <f t="shared" si="57"/>
        <v>0</v>
      </c>
    </row>
    <row r="290" spans="1:23" s="3" customFormat="1" ht="8.1" customHeight="1" x14ac:dyDescent="0.2">
      <c r="A290" s="86" t="s">
        <v>434</v>
      </c>
      <c r="B290" s="87"/>
      <c r="C290" s="91" t="s">
        <v>445</v>
      </c>
      <c r="D290" s="92"/>
      <c r="E290" s="92"/>
      <c r="F290" s="92"/>
      <c r="G290" s="93"/>
      <c r="H290" s="1" t="s">
        <v>5</v>
      </c>
      <c r="I290" s="38"/>
      <c r="J290" s="38"/>
      <c r="K290" s="38"/>
      <c r="L290" s="50"/>
      <c r="M290" s="50"/>
      <c r="N290" s="50"/>
      <c r="O290" s="50"/>
      <c r="P290" s="50"/>
      <c r="Q290" s="50"/>
      <c r="R290" s="50"/>
      <c r="S290" s="50"/>
      <c r="T290" s="50"/>
      <c r="U290" s="50"/>
      <c r="V290" s="50">
        <f t="shared" si="51"/>
        <v>0</v>
      </c>
      <c r="W290" s="61">
        <f t="shared" si="57"/>
        <v>0</v>
      </c>
    </row>
    <row r="291" spans="1:23" s="3" customFormat="1" ht="8.1" customHeight="1" x14ac:dyDescent="0.2">
      <c r="A291" s="86" t="s">
        <v>435</v>
      </c>
      <c r="B291" s="87"/>
      <c r="C291" s="127" t="s">
        <v>417</v>
      </c>
      <c r="D291" s="128"/>
      <c r="E291" s="128"/>
      <c r="F291" s="128"/>
      <c r="G291" s="129"/>
      <c r="H291" s="1" t="s">
        <v>5</v>
      </c>
      <c r="I291" s="38"/>
      <c r="J291" s="38"/>
      <c r="K291" s="38"/>
      <c r="L291" s="50"/>
      <c r="M291" s="50"/>
      <c r="N291" s="50"/>
      <c r="O291" s="50"/>
      <c r="P291" s="50"/>
      <c r="Q291" s="50"/>
      <c r="R291" s="50"/>
      <c r="S291" s="50"/>
      <c r="T291" s="50"/>
      <c r="U291" s="50"/>
      <c r="V291" s="50">
        <f t="shared" ref="V291:V311" si="65">L291+N291+P291+R291+T291</f>
        <v>0</v>
      </c>
      <c r="W291" s="61">
        <f t="shared" si="57"/>
        <v>0</v>
      </c>
    </row>
    <row r="292" spans="1:23" s="3" customFormat="1" ht="8.1" customHeight="1" x14ac:dyDescent="0.2">
      <c r="A292" s="86" t="s">
        <v>436</v>
      </c>
      <c r="B292" s="87"/>
      <c r="C292" s="91" t="s">
        <v>446</v>
      </c>
      <c r="D292" s="92"/>
      <c r="E292" s="92"/>
      <c r="F292" s="92"/>
      <c r="G292" s="93"/>
      <c r="H292" s="1" t="s">
        <v>5</v>
      </c>
      <c r="I292" s="38">
        <v>11.16</v>
      </c>
      <c r="J292" s="38">
        <v>20</v>
      </c>
      <c r="K292" s="38">
        <v>3.09</v>
      </c>
      <c r="L292" s="50">
        <v>24</v>
      </c>
      <c r="M292" s="50">
        <f>[3]ДЗ_КЗ!$H$34</f>
        <v>12.62512738</v>
      </c>
      <c r="N292" s="50">
        <v>25</v>
      </c>
      <c r="O292" s="50">
        <v>10</v>
      </c>
      <c r="P292" s="50">
        <v>11</v>
      </c>
      <c r="Q292" s="50">
        <v>10</v>
      </c>
      <c r="R292" s="50">
        <v>12</v>
      </c>
      <c r="S292" s="50">
        <v>10</v>
      </c>
      <c r="T292" s="50">
        <v>12</v>
      </c>
      <c r="U292" s="50">
        <v>10</v>
      </c>
      <c r="V292" s="50"/>
      <c r="W292" s="61">
        <f t="shared" si="57"/>
        <v>52.625127380000002</v>
      </c>
    </row>
    <row r="293" spans="1:23" s="3" customFormat="1" ht="8.1" customHeight="1" x14ac:dyDescent="0.2">
      <c r="A293" s="86" t="s">
        <v>437</v>
      </c>
      <c r="B293" s="87"/>
      <c r="C293" s="127" t="s">
        <v>417</v>
      </c>
      <c r="D293" s="128"/>
      <c r="E293" s="128"/>
      <c r="F293" s="128"/>
      <c r="G293" s="129"/>
      <c r="H293" s="1" t="s">
        <v>5</v>
      </c>
      <c r="I293" s="38"/>
      <c r="J293" s="38"/>
      <c r="K293" s="38"/>
      <c r="L293" s="50"/>
      <c r="M293" s="50"/>
      <c r="N293" s="50"/>
      <c r="O293" s="50"/>
      <c r="P293" s="50"/>
      <c r="Q293" s="50"/>
      <c r="R293" s="50"/>
      <c r="S293" s="50"/>
      <c r="T293" s="50"/>
      <c r="U293" s="50"/>
      <c r="V293" s="50">
        <f t="shared" si="65"/>
        <v>0</v>
      </c>
      <c r="W293" s="61">
        <f t="shared" si="57"/>
        <v>0</v>
      </c>
    </row>
    <row r="294" spans="1:23" s="3" customFormat="1" ht="8.1" customHeight="1" x14ac:dyDescent="0.2">
      <c r="A294" s="86" t="s">
        <v>438</v>
      </c>
      <c r="B294" s="87"/>
      <c r="C294" s="91" t="s">
        <v>447</v>
      </c>
      <c r="D294" s="92"/>
      <c r="E294" s="92"/>
      <c r="F294" s="92"/>
      <c r="G294" s="93"/>
      <c r="H294" s="1" t="s">
        <v>5</v>
      </c>
      <c r="I294" s="38">
        <v>82.15</v>
      </c>
      <c r="J294" s="38">
        <v>6.6</v>
      </c>
      <c r="K294" s="38">
        <v>18.8</v>
      </c>
      <c r="L294" s="50">
        <v>230</v>
      </c>
      <c r="M294" s="50">
        <f>[3]ДЗ_КЗ!$H$38+[4]ДЗ_КЗ!$H$27+[4]ДЗ_КЗ!$H$28</f>
        <v>172.91430156000001</v>
      </c>
      <c r="N294" s="50">
        <v>118</v>
      </c>
      <c r="O294" s="50"/>
      <c r="P294" s="50">
        <v>226</v>
      </c>
      <c r="Q294" s="50">
        <v>30.6</v>
      </c>
      <c r="R294" s="50">
        <v>320</v>
      </c>
      <c r="S294" s="50">
        <v>59.07</v>
      </c>
      <c r="T294" s="50">
        <v>20</v>
      </c>
      <c r="U294" s="50"/>
      <c r="V294" s="50"/>
      <c r="W294" s="61">
        <f t="shared" si="57"/>
        <v>262.58430156000003</v>
      </c>
    </row>
    <row r="295" spans="1:23" s="3" customFormat="1" ht="8.1" customHeight="1" x14ac:dyDescent="0.2">
      <c r="A295" s="86" t="s">
        <v>439</v>
      </c>
      <c r="B295" s="87"/>
      <c r="C295" s="127" t="s">
        <v>417</v>
      </c>
      <c r="D295" s="128"/>
      <c r="E295" s="128"/>
      <c r="F295" s="128"/>
      <c r="G295" s="129"/>
      <c r="H295" s="1" t="s">
        <v>5</v>
      </c>
      <c r="I295" s="38"/>
      <c r="J295" s="38"/>
      <c r="K295" s="38"/>
      <c r="L295" s="50"/>
      <c r="M295" s="50"/>
      <c r="N295" s="50"/>
      <c r="O295" s="50"/>
      <c r="P295" s="50"/>
      <c r="Q295" s="50"/>
      <c r="R295" s="50"/>
      <c r="S295" s="50"/>
      <c r="T295" s="50"/>
      <c r="U295" s="50"/>
      <c r="V295" s="50">
        <f t="shared" si="65"/>
        <v>0</v>
      </c>
      <c r="W295" s="61">
        <f t="shared" si="57"/>
        <v>0</v>
      </c>
    </row>
    <row r="296" spans="1:23" s="3" customFormat="1" ht="16.5" customHeight="1" x14ac:dyDescent="0.2">
      <c r="A296" s="86" t="s">
        <v>440</v>
      </c>
      <c r="B296" s="87"/>
      <c r="C296" s="91" t="s">
        <v>448</v>
      </c>
      <c r="D296" s="92"/>
      <c r="E296" s="92"/>
      <c r="F296" s="92"/>
      <c r="G296" s="93"/>
      <c r="H296" s="1" t="s">
        <v>5</v>
      </c>
      <c r="I296" s="38">
        <v>97.28</v>
      </c>
      <c r="J296" s="38">
        <v>102.5</v>
      </c>
      <c r="K296" s="38">
        <v>162.38</v>
      </c>
      <c r="L296" s="50">
        <v>140.87</v>
      </c>
      <c r="M296" s="50">
        <f>[3]ДЗ_КЗ!$H$41+[3]ДЗ_КЗ!$H$42+[3]ДЗ_КЗ!$H$43</f>
        <v>215.86480001000001</v>
      </c>
      <c r="N296" s="50">
        <v>191.53</v>
      </c>
      <c r="O296" s="50">
        <v>149.58000000000001</v>
      </c>
      <c r="P296" s="50">
        <v>115.62</v>
      </c>
      <c r="Q296" s="50">
        <v>149.58000000000001</v>
      </c>
      <c r="R296" s="50">
        <v>137.94</v>
      </c>
      <c r="S296" s="50">
        <v>149.58000000000001</v>
      </c>
      <c r="T296" s="50">
        <v>45.43</v>
      </c>
      <c r="U296" s="50">
        <v>149.58000000000001</v>
      </c>
      <c r="V296" s="50"/>
      <c r="W296" s="61">
        <f t="shared" si="57"/>
        <v>814.18480001000012</v>
      </c>
    </row>
    <row r="297" spans="1:23" s="3" customFormat="1" ht="8.1" customHeight="1" x14ac:dyDescent="0.2">
      <c r="A297" s="86" t="s">
        <v>441</v>
      </c>
      <c r="B297" s="87"/>
      <c r="C297" s="127" t="s">
        <v>417</v>
      </c>
      <c r="D297" s="128"/>
      <c r="E297" s="128"/>
      <c r="F297" s="128"/>
      <c r="G297" s="129"/>
      <c r="H297" s="1" t="s">
        <v>5</v>
      </c>
      <c r="I297" s="38"/>
      <c r="J297" s="38"/>
      <c r="K297" s="38"/>
      <c r="L297" s="50"/>
      <c r="M297" s="50"/>
      <c r="N297" s="50"/>
      <c r="O297" s="50"/>
      <c r="P297" s="50"/>
      <c r="Q297" s="50"/>
      <c r="R297" s="50"/>
      <c r="S297" s="50"/>
      <c r="T297" s="50"/>
      <c r="U297" s="50"/>
      <c r="V297" s="50">
        <f t="shared" si="65"/>
        <v>0</v>
      </c>
      <c r="W297" s="61">
        <f t="shared" si="57"/>
        <v>0</v>
      </c>
    </row>
    <row r="298" spans="1:23" s="3" customFormat="1" ht="8.1" customHeight="1" x14ac:dyDescent="0.2">
      <c r="A298" s="86" t="s">
        <v>442</v>
      </c>
      <c r="B298" s="87"/>
      <c r="C298" s="91" t="s">
        <v>449</v>
      </c>
      <c r="D298" s="92"/>
      <c r="E298" s="92"/>
      <c r="F298" s="92"/>
      <c r="G298" s="93"/>
      <c r="H298" s="1" t="s">
        <v>5</v>
      </c>
      <c r="I298" s="38"/>
      <c r="J298" s="38">
        <v>120</v>
      </c>
      <c r="K298" s="38">
        <v>64.569999999999993</v>
      </c>
      <c r="L298" s="50">
        <v>183</v>
      </c>
      <c r="M298" s="50">
        <f>[3]ДЗ_КЗ!$H$46-10.995</f>
        <v>34.703950790000022</v>
      </c>
      <c r="N298" s="50">
        <v>123</v>
      </c>
      <c r="O298" s="50">
        <v>25</v>
      </c>
      <c r="P298" s="50">
        <v>188</v>
      </c>
      <c r="Q298" s="50">
        <v>43</v>
      </c>
      <c r="R298" s="50">
        <v>148</v>
      </c>
      <c r="S298" s="50">
        <v>43</v>
      </c>
      <c r="T298" s="50">
        <v>48</v>
      </c>
      <c r="U298" s="50">
        <v>63</v>
      </c>
      <c r="V298" s="50"/>
      <c r="W298" s="61">
        <f t="shared" si="57"/>
        <v>208.70395079000002</v>
      </c>
    </row>
    <row r="299" spans="1:23" s="3" customFormat="1" ht="8.1" customHeight="1" x14ac:dyDescent="0.2">
      <c r="A299" s="86" t="s">
        <v>443</v>
      </c>
      <c r="B299" s="87"/>
      <c r="C299" s="127" t="s">
        <v>417</v>
      </c>
      <c r="D299" s="128"/>
      <c r="E299" s="128"/>
      <c r="F299" s="128"/>
      <c r="G299" s="129"/>
      <c r="H299" s="1" t="s">
        <v>5</v>
      </c>
      <c r="I299" s="38"/>
      <c r="J299" s="38"/>
      <c r="K299" s="38"/>
      <c r="L299" s="50"/>
      <c r="M299" s="50"/>
      <c r="N299" s="50"/>
      <c r="O299" s="50"/>
      <c r="P299" s="50"/>
      <c r="Q299" s="50"/>
      <c r="R299" s="50"/>
      <c r="S299" s="50"/>
      <c r="T299" s="50"/>
      <c r="U299" s="50"/>
      <c r="V299" s="50">
        <f t="shared" si="65"/>
        <v>0</v>
      </c>
      <c r="W299" s="61">
        <f t="shared" si="57"/>
        <v>0</v>
      </c>
    </row>
    <row r="300" spans="1:23" s="3" customFormat="1" ht="17.100000000000001" customHeight="1" x14ac:dyDescent="0.2">
      <c r="A300" s="86" t="s">
        <v>450</v>
      </c>
      <c r="B300" s="87"/>
      <c r="C300" s="88" t="s">
        <v>463</v>
      </c>
      <c r="D300" s="89"/>
      <c r="E300" s="89"/>
      <c r="F300" s="89"/>
      <c r="G300" s="90"/>
      <c r="H300" s="1" t="s">
        <v>474</v>
      </c>
      <c r="I300" s="38"/>
      <c r="J300" s="38"/>
      <c r="K300" s="38"/>
      <c r="L300" s="65">
        <f>L162/(L18*1.2)</f>
        <v>0.5746405697137994</v>
      </c>
      <c r="M300" s="65">
        <f>M162/(M18*1.2)</f>
        <v>0.622225197290321</v>
      </c>
      <c r="N300" s="65">
        <f t="shared" ref="N300:W300" si="66">N162/(N18*1.2)</f>
        <v>0.59487051100169686</v>
      </c>
      <c r="O300" s="65">
        <f t="shared" si="66"/>
        <v>0.67379526359230502</v>
      </c>
      <c r="P300" s="65">
        <f t="shared" si="66"/>
        <v>0.55108836907082526</v>
      </c>
      <c r="Q300" s="65">
        <f t="shared" si="66"/>
        <v>0.63597937588405373</v>
      </c>
      <c r="R300" s="65">
        <f t="shared" si="66"/>
        <v>0.54730135175679739</v>
      </c>
      <c r="S300" s="65">
        <f t="shared" si="66"/>
        <v>0.56709374384216638</v>
      </c>
      <c r="T300" s="65">
        <f t="shared" si="66"/>
        <v>0.35356800661674981</v>
      </c>
      <c r="U300" s="65">
        <f t="shared" si="66"/>
        <v>0.46293453825663472</v>
      </c>
      <c r="V300" s="65">
        <f t="shared" si="66"/>
        <v>0.51510775375231033</v>
      </c>
      <c r="W300" s="73">
        <f t="shared" si="66"/>
        <v>0.58759015973302176</v>
      </c>
    </row>
    <row r="301" spans="1:23" s="3" customFormat="1" ht="8.1" customHeight="1" x14ac:dyDescent="0.2">
      <c r="A301" s="86" t="s">
        <v>451</v>
      </c>
      <c r="B301" s="87"/>
      <c r="C301" s="91" t="s">
        <v>464</v>
      </c>
      <c r="D301" s="92"/>
      <c r="E301" s="92"/>
      <c r="F301" s="92"/>
      <c r="G301" s="93"/>
      <c r="H301" s="1" t="s">
        <v>474</v>
      </c>
      <c r="I301" s="38"/>
      <c r="J301" s="38"/>
      <c r="K301" s="38"/>
      <c r="L301" s="50"/>
      <c r="M301" s="50"/>
      <c r="N301" s="50"/>
      <c r="O301" s="50"/>
      <c r="P301" s="50"/>
      <c r="Q301" s="50"/>
      <c r="R301" s="50"/>
      <c r="S301" s="50"/>
      <c r="T301" s="50"/>
      <c r="U301" s="50"/>
      <c r="V301" s="50">
        <f t="shared" si="65"/>
        <v>0</v>
      </c>
      <c r="W301" s="61">
        <f t="shared" si="57"/>
        <v>0</v>
      </c>
    </row>
    <row r="302" spans="1:23" s="3" customFormat="1" ht="17.100000000000001" customHeight="1" x14ac:dyDescent="0.2">
      <c r="A302" s="86" t="s">
        <v>452</v>
      </c>
      <c r="B302" s="87"/>
      <c r="C302" s="91" t="s">
        <v>465</v>
      </c>
      <c r="D302" s="92"/>
      <c r="E302" s="92"/>
      <c r="F302" s="92"/>
      <c r="G302" s="93"/>
      <c r="H302" s="1" t="s">
        <v>474</v>
      </c>
      <c r="I302" s="38"/>
      <c r="J302" s="38"/>
      <c r="K302" s="38"/>
      <c r="L302" s="50"/>
      <c r="M302" s="50"/>
      <c r="N302" s="50"/>
      <c r="O302" s="50"/>
      <c r="P302" s="50"/>
      <c r="Q302" s="50"/>
      <c r="R302" s="50"/>
      <c r="S302" s="50"/>
      <c r="T302" s="50"/>
      <c r="U302" s="50"/>
      <c r="V302" s="50">
        <f t="shared" si="65"/>
        <v>0</v>
      </c>
      <c r="W302" s="61">
        <f t="shared" si="57"/>
        <v>0</v>
      </c>
    </row>
    <row r="303" spans="1:23" s="3" customFormat="1" ht="17.100000000000001" customHeight="1" x14ac:dyDescent="0.2">
      <c r="A303" s="86" t="s">
        <v>453</v>
      </c>
      <c r="B303" s="87"/>
      <c r="C303" s="91" t="s">
        <v>466</v>
      </c>
      <c r="D303" s="92"/>
      <c r="E303" s="92"/>
      <c r="F303" s="92"/>
      <c r="G303" s="93"/>
      <c r="H303" s="1" t="s">
        <v>474</v>
      </c>
      <c r="I303" s="38"/>
      <c r="J303" s="38"/>
      <c r="K303" s="38"/>
      <c r="L303" s="50"/>
      <c r="M303" s="50"/>
      <c r="N303" s="50"/>
      <c r="O303" s="50"/>
      <c r="P303" s="50"/>
      <c r="Q303" s="50"/>
      <c r="R303" s="50"/>
      <c r="S303" s="50"/>
      <c r="T303" s="50"/>
      <c r="U303" s="50"/>
      <c r="V303" s="50">
        <f t="shared" si="65"/>
        <v>0</v>
      </c>
      <c r="W303" s="61">
        <f t="shared" si="57"/>
        <v>0</v>
      </c>
    </row>
    <row r="304" spans="1:23" s="3" customFormat="1" ht="17.100000000000001" customHeight="1" x14ac:dyDescent="0.2">
      <c r="A304" s="86" t="s">
        <v>454</v>
      </c>
      <c r="B304" s="87"/>
      <c r="C304" s="91" t="s">
        <v>467</v>
      </c>
      <c r="D304" s="92"/>
      <c r="E304" s="92"/>
      <c r="F304" s="92"/>
      <c r="G304" s="93"/>
      <c r="H304" s="1" t="s">
        <v>474</v>
      </c>
      <c r="I304" s="38"/>
      <c r="J304" s="38"/>
      <c r="K304" s="38"/>
      <c r="L304" s="50"/>
      <c r="M304" s="50"/>
      <c r="N304" s="50"/>
      <c r="O304" s="50"/>
      <c r="P304" s="50"/>
      <c r="Q304" s="50"/>
      <c r="R304" s="50"/>
      <c r="S304" s="50"/>
      <c r="T304" s="50"/>
      <c r="U304" s="50"/>
      <c r="V304" s="50">
        <f t="shared" si="65"/>
        <v>0</v>
      </c>
      <c r="W304" s="61">
        <f t="shared" ref="W304:W312" si="67">M304+O304+Q304+S304+U304</f>
        <v>0</v>
      </c>
    </row>
    <row r="305" spans="1:23" s="3" customFormat="1" ht="8.1" customHeight="1" x14ac:dyDescent="0.2">
      <c r="A305" s="86" t="s">
        <v>455</v>
      </c>
      <c r="B305" s="87"/>
      <c r="C305" s="91" t="s">
        <v>468</v>
      </c>
      <c r="D305" s="92"/>
      <c r="E305" s="92"/>
      <c r="F305" s="92"/>
      <c r="G305" s="93"/>
      <c r="H305" s="1" t="s">
        <v>474</v>
      </c>
      <c r="I305" s="38"/>
      <c r="J305" s="38"/>
      <c r="K305" s="38"/>
      <c r="L305" s="50"/>
      <c r="M305" s="50"/>
      <c r="N305" s="50"/>
      <c r="O305" s="50"/>
      <c r="P305" s="50"/>
      <c r="Q305" s="50"/>
      <c r="R305" s="50"/>
      <c r="S305" s="50"/>
      <c r="T305" s="50"/>
      <c r="U305" s="50"/>
      <c r="V305" s="50">
        <f t="shared" si="65"/>
        <v>0</v>
      </c>
      <c r="W305" s="61">
        <f t="shared" si="67"/>
        <v>0</v>
      </c>
    </row>
    <row r="306" spans="1:23" s="3" customFormat="1" ht="8.1" customHeight="1" x14ac:dyDescent="0.2">
      <c r="A306" s="86" t="s">
        <v>456</v>
      </c>
      <c r="B306" s="87"/>
      <c r="C306" s="91" t="s">
        <v>469</v>
      </c>
      <c r="D306" s="92"/>
      <c r="E306" s="92"/>
      <c r="F306" s="92"/>
      <c r="G306" s="93"/>
      <c r="H306" s="1" t="s">
        <v>474</v>
      </c>
      <c r="I306" s="38"/>
      <c r="J306" s="38"/>
      <c r="K306" s="38"/>
      <c r="L306" s="64"/>
      <c r="M306" s="64"/>
      <c r="N306" s="50"/>
      <c r="O306" s="50"/>
      <c r="P306" s="50"/>
      <c r="Q306" s="50"/>
      <c r="R306" s="50"/>
      <c r="S306" s="50"/>
      <c r="T306" s="50"/>
      <c r="U306" s="50"/>
      <c r="V306" s="50">
        <f t="shared" si="65"/>
        <v>0</v>
      </c>
      <c r="W306" s="61">
        <f t="shared" si="67"/>
        <v>0</v>
      </c>
    </row>
    <row r="307" spans="1:23" s="3" customFormat="1" ht="8.1" customHeight="1" x14ac:dyDescent="0.2">
      <c r="A307" s="86" t="s">
        <v>457</v>
      </c>
      <c r="B307" s="87"/>
      <c r="C307" s="91" t="s">
        <v>470</v>
      </c>
      <c r="D307" s="92"/>
      <c r="E307" s="92"/>
      <c r="F307" s="92"/>
      <c r="G307" s="93"/>
      <c r="H307" s="1" t="s">
        <v>474</v>
      </c>
      <c r="I307" s="38"/>
      <c r="J307" s="38"/>
      <c r="K307" s="38"/>
      <c r="L307" s="50"/>
      <c r="M307" s="50"/>
      <c r="N307" s="50"/>
      <c r="O307" s="50"/>
      <c r="P307" s="50"/>
      <c r="Q307" s="50"/>
      <c r="R307" s="50"/>
      <c r="S307" s="50"/>
      <c r="T307" s="50"/>
      <c r="U307" s="50"/>
      <c r="V307" s="50">
        <f t="shared" si="65"/>
        <v>0</v>
      </c>
      <c r="W307" s="61">
        <f t="shared" si="67"/>
        <v>0</v>
      </c>
    </row>
    <row r="308" spans="1:23" s="3" customFormat="1" ht="8.1" customHeight="1" x14ac:dyDescent="0.2">
      <c r="A308" s="86" t="s">
        <v>458</v>
      </c>
      <c r="B308" s="87"/>
      <c r="C308" s="91" t="s">
        <v>471</v>
      </c>
      <c r="D308" s="92"/>
      <c r="E308" s="92"/>
      <c r="F308" s="92"/>
      <c r="G308" s="93"/>
      <c r="H308" s="1" t="s">
        <v>474</v>
      </c>
      <c r="I308" s="38">
        <v>93.25</v>
      </c>
      <c r="J308" s="38">
        <v>83.5</v>
      </c>
      <c r="K308" s="38">
        <v>63.34</v>
      </c>
      <c r="L308" s="50"/>
      <c r="M308" s="58"/>
      <c r="N308" s="50"/>
      <c r="O308" s="50"/>
      <c r="P308" s="50"/>
      <c r="Q308" s="50"/>
      <c r="R308" s="50"/>
      <c r="S308" s="50"/>
      <c r="T308" s="50"/>
      <c r="U308" s="50"/>
      <c r="V308" s="50"/>
      <c r="W308" s="61"/>
    </row>
    <row r="309" spans="1:23" s="3" customFormat="1" ht="8.1" customHeight="1" x14ac:dyDescent="0.2">
      <c r="A309" s="86" t="s">
        <v>459</v>
      </c>
      <c r="B309" s="87"/>
      <c r="C309" s="91" t="s">
        <v>472</v>
      </c>
      <c r="D309" s="92"/>
      <c r="E309" s="92"/>
      <c r="F309" s="92"/>
      <c r="G309" s="93"/>
      <c r="H309" s="1" t="s">
        <v>474</v>
      </c>
      <c r="I309" s="38"/>
      <c r="J309" s="38"/>
      <c r="K309" s="38"/>
      <c r="L309" s="50"/>
      <c r="M309" s="50"/>
      <c r="N309" s="50"/>
      <c r="O309" s="50"/>
      <c r="P309" s="50"/>
      <c r="Q309" s="50"/>
      <c r="R309" s="50"/>
      <c r="S309" s="50"/>
      <c r="T309" s="50"/>
      <c r="U309" s="50"/>
      <c r="V309" s="50">
        <f t="shared" si="65"/>
        <v>0</v>
      </c>
      <c r="W309" s="61">
        <f t="shared" si="67"/>
        <v>0</v>
      </c>
    </row>
    <row r="310" spans="1:23" s="3" customFormat="1" ht="16.5" customHeight="1" x14ac:dyDescent="0.2">
      <c r="A310" s="86" t="s">
        <v>460</v>
      </c>
      <c r="B310" s="87"/>
      <c r="C310" s="91" t="s">
        <v>670</v>
      </c>
      <c r="D310" s="92"/>
      <c r="E310" s="92"/>
      <c r="F310" s="92"/>
      <c r="G310" s="93"/>
      <c r="H310" s="1" t="s">
        <v>474</v>
      </c>
      <c r="I310" s="38"/>
      <c r="J310" s="38"/>
      <c r="K310" s="38"/>
      <c r="L310" s="50"/>
      <c r="M310" s="50"/>
      <c r="N310" s="50"/>
      <c r="O310" s="50"/>
      <c r="P310" s="50"/>
      <c r="Q310" s="50"/>
      <c r="R310" s="50"/>
      <c r="S310" s="50"/>
      <c r="T310" s="50"/>
      <c r="U310" s="50"/>
      <c r="V310" s="50">
        <f t="shared" si="65"/>
        <v>0</v>
      </c>
      <c r="W310" s="61">
        <f t="shared" si="67"/>
        <v>0</v>
      </c>
    </row>
    <row r="311" spans="1:23" s="3" customFormat="1" ht="8.1" customHeight="1" x14ac:dyDescent="0.2">
      <c r="A311" s="86" t="s">
        <v>461</v>
      </c>
      <c r="B311" s="87"/>
      <c r="C311" s="127" t="s">
        <v>82</v>
      </c>
      <c r="D311" s="128"/>
      <c r="E311" s="128"/>
      <c r="F311" s="128"/>
      <c r="G311" s="129"/>
      <c r="H311" s="1" t="s">
        <v>474</v>
      </c>
      <c r="I311" s="38"/>
      <c r="J311" s="38"/>
      <c r="K311" s="38"/>
      <c r="L311" s="50"/>
      <c r="M311" s="50"/>
      <c r="N311" s="50"/>
      <c r="O311" s="50"/>
      <c r="P311" s="50"/>
      <c r="Q311" s="50"/>
      <c r="R311" s="50"/>
      <c r="S311" s="50"/>
      <c r="T311" s="50"/>
      <c r="U311" s="50"/>
      <c r="V311" s="50">
        <f t="shared" si="65"/>
        <v>0</v>
      </c>
      <c r="W311" s="61">
        <f t="shared" si="67"/>
        <v>0</v>
      </c>
    </row>
    <row r="312" spans="1:23" s="3" customFormat="1" ht="9" customHeight="1" thickBot="1" x14ac:dyDescent="0.25">
      <c r="A312" s="117" t="s">
        <v>462</v>
      </c>
      <c r="B312" s="118"/>
      <c r="C312" s="177" t="s">
        <v>83</v>
      </c>
      <c r="D312" s="178"/>
      <c r="E312" s="178"/>
      <c r="F312" s="178"/>
      <c r="G312" s="179"/>
      <c r="H312" s="24" t="s">
        <v>474</v>
      </c>
      <c r="I312" s="41"/>
      <c r="J312" s="41"/>
      <c r="K312" s="41"/>
      <c r="L312" s="52"/>
      <c r="M312" s="52"/>
      <c r="N312" s="52"/>
      <c r="O312" s="52"/>
      <c r="P312" s="52"/>
      <c r="Q312" s="52"/>
      <c r="R312" s="52"/>
      <c r="S312" s="52"/>
      <c r="T312" s="52"/>
      <c r="U312" s="52"/>
      <c r="V312" s="52"/>
      <c r="W312" s="61">
        <f t="shared" si="67"/>
        <v>0</v>
      </c>
    </row>
    <row r="313" spans="1:23" s="3" customFormat="1" ht="10.5" customHeight="1" thickBot="1" x14ac:dyDescent="0.25">
      <c r="A313" s="94" t="s">
        <v>473</v>
      </c>
      <c r="B313" s="95"/>
      <c r="C313" s="95"/>
      <c r="D313" s="95"/>
      <c r="E313" s="95"/>
      <c r="F313" s="95"/>
      <c r="G313" s="95"/>
      <c r="H313" s="95"/>
      <c r="I313" s="95"/>
      <c r="J313" s="95"/>
      <c r="K313" s="95"/>
      <c r="L313" s="95"/>
      <c r="M313" s="95"/>
      <c r="N313" s="95"/>
      <c r="O313" s="95"/>
      <c r="P313" s="95"/>
      <c r="Q313" s="95"/>
      <c r="R313" s="95"/>
      <c r="S313" s="95"/>
      <c r="T313" s="95"/>
      <c r="U313" s="95"/>
      <c r="V313" s="95"/>
      <c r="W313" s="96"/>
    </row>
    <row r="314" spans="1:23" s="3" customFormat="1" ht="23.25" customHeight="1" x14ac:dyDescent="0.2">
      <c r="A314" s="86" t="s">
        <v>478</v>
      </c>
      <c r="B314" s="87"/>
      <c r="C314" s="150" t="s">
        <v>479</v>
      </c>
      <c r="D314" s="151"/>
      <c r="E314" s="151"/>
      <c r="F314" s="151"/>
      <c r="G314" s="152"/>
      <c r="H314" s="1" t="s">
        <v>475</v>
      </c>
      <c r="I314" s="2" t="s">
        <v>480</v>
      </c>
      <c r="J314" s="2" t="s">
        <v>480</v>
      </c>
      <c r="K314" s="2"/>
      <c r="L314" s="2" t="s">
        <v>480</v>
      </c>
      <c r="M314" s="2" t="s">
        <v>480</v>
      </c>
      <c r="N314" s="2" t="s">
        <v>480</v>
      </c>
      <c r="O314" s="2" t="s">
        <v>480</v>
      </c>
      <c r="P314" s="2" t="s">
        <v>480</v>
      </c>
      <c r="Q314" s="2" t="s">
        <v>480</v>
      </c>
      <c r="R314" s="2" t="s">
        <v>480</v>
      </c>
      <c r="S314" s="2" t="s">
        <v>480</v>
      </c>
      <c r="T314" s="2" t="s">
        <v>480</v>
      </c>
      <c r="U314" s="2" t="s">
        <v>480</v>
      </c>
      <c r="V314" s="2" t="s">
        <v>480</v>
      </c>
      <c r="W314" s="1" t="s">
        <v>480</v>
      </c>
    </row>
    <row r="315" spans="1:23" s="3" customFormat="1" ht="8.25" customHeight="1" x14ac:dyDescent="0.2">
      <c r="A315" s="86" t="s">
        <v>481</v>
      </c>
      <c r="B315" s="87"/>
      <c r="C315" s="88" t="s">
        <v>487</v>
      </c>
      <c r="D315" s="89"/>
      <c r="E315" s="89"/>
      <c r="F315" s="89"/>
      <c r="G315" s="90"/>
      <c r="H315" s="1" t="s">
        <v>476</v>
      </c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1"/>
    </row>
    <row r="316" spans="1:23" s="3" customFormat="1" ht="8.25" customHeight="1" x14ac:dyDescent="0.2">
      <c r="A316" s="86" t="s">
        <v>482</v>
      </c>
      <c r="B316" s="87"/>
      <c r="C316" s="88" t="s">
        <v>488</v>
      </c>
      <c r="D316" s="89"/>
      <c r="E316" s="89"/>
      <c r="F316" s="89"/>
      <c r="G316" s="90"/>
      <c r="H316" s="1" t="s">
        <v>477</v>
      </c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1"/>
    </row>
    <row r="317" spans="1:23" s="3" customFormat="1" ht="8.25" customHeight="1" x14ac:dyDescent="0.2">
      <c r="A317" s="86" t="s">
        <v>483</v>
      </c>
      <c r="B317" s="87"/>
      <c r="C317" s="88" t="s">
        <v>489</v>
      </c>
      <c r="D317" s="89"/>
      <c r="E317" s="89"/>
      <c r="F317" s="89"/>
      <c r="G317" s="90"/>
      <c r="H317" s="1" t="s">
        <v>476</v>
      </c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1"/>
    </row>
    <row r="318" spans="1:23" s="3" customFormat="1" ht="8.25" customHeight="1" x14ac:dyDescent="0.2">
      <c r="A318" s="86" t="s">
        <v>484</v>
      </c>
      <c r="B318" s="87"/>
      <c r="C318" s="88" t="s">
        <v>490</v>
      </c>
      <c r="D318" s="89"/>
      <c r="E318" s="89"/>
      <c r="F318" s="89"/>
      <c r="G318" s="90"/>
      <c r="H318" s="1" t="s">
        <v>477</v>
      </c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1"/>
    </row>
    <row r="319" spans="1:23" s="3" customFormat="1" ht="8.25" customHeight="1" x14ac:dyDescent="0.2">
      <c r="A319" s="86" t="s">
        <v>485</v>
      </c>
      <c r="B319" s="87"/>
      <c r="C319" s="88" t="s">
        <v>491</v>
      </c>
      <c r="D319" s="89"/>
      <c r="E319" s="89"/>
      <c r="F319" s="89"/>
      <c r="G319" s="90"/>
      <c r="H319" s="1" t="s">
        <v>498</v>
      </c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1"/>
    </row>
    <row r="320" spans="1:23" s="3" customFormat="1" ht="8.25" customHeight="1" x14ac:dyDescent="0.2">
      <c r="A320" s="86" t="s">
        <v>486</v>
      </c>
      <c r="B320" s="87"/>
      <c r="C320" s="88" t="s">
        <v>492</v>
      </c>
      <c r="D320" s="89"/>
      <c r="E320" s="89"/>
      <c r="F320" s="89"/>
      <c r="G320" s="90"/>
      <c r="H320" s="1" t="s">
        <v>475</v>
      </c>
      <c r="I320" s="2" t="s">
        <v>480</v>
      </c>
      <c r="J320" s="2" t="s">
        <v>480</v>
      </c>
      <c r="K320" s="2"/>
      <c r="L320" s="2" t="s">
        <v>480</v>
      </c>
      <c r="M320" s="2" t="s">
        <v>480</v>
      </c>
      <c r="N320" s="2" t="s">
        <v>480</v>
      </c>
      <c r="O320" s="2" t="s">
        <v>480</v>
      </c>
      <c r="P320" s="2" t="s">
        <v>480</v>
      </c>
      <c r="Q320" s="2" t="s">
        <v>480</v>
      </c>
      <c r="R320" s="2" t="s">
        <v>480</v>
      </c>
      <c r="S320" s="2" t="s">
        <v>480</v>
      </c>
      <c r="T320" s="2" t="s">
        <v>480</v>
      </c>
      <c r="U320" s="2" t="s">
        <v>480</v>
      </c>
      <c r="V320" s="2" t="s">
        <v>480</v>
      </c>
      <c r="W320" s="1" t="s">
        <v>480</v>
      </c>
    </row>
    <row r="321" spans="1:23" s="3" customFormat="1" ht="8.1" customHeight="1" x14ac:dyDescent="0.2">
      <c r="A321" s="86" t="s">
        <v>493</v>
      </c>
      <c r="B321" s="87"/>
      <c r="C321" s="91" t="s">
        <v>495</v>
      </c>
      <c r="D321" s="92"/>
      <c r="E321" s="92"/>
      <c r="F321" s="92"/>
      <c r="G321" s="93"/>
      <c r="H321" s="1" t="s">
        <v>498</v>
      </c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1"/>
    </row>
    <row r="322" spans="1:23" s="3" customFormat="1" ht="8.1" customHeight="1" x14ac:dyDescent="0.2">
      <c r="A322" s="86" t="s">
        <v>494</v>
      </c>
      <c r="B322" s="87"/>
      <c r="C322" s="91" t="s">
        <v>496</v>
      </c>
      <c r="D322" s="92"/>
      <c r="E322" s="92"/>
      <c r="F322" s="92"/>
      <c r="G322" s="93"/>
      <c r="H322" s="1" t="s">
        <v>497</v>
      </c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1"/>
    </row>
    <row r="323" spans="1:23" s="3" customFormat="1" ht="8.25" customHeight="1" x14ac:dyDescent="0.2">
      <c r="A323" s="86" t="s">
        <v>499</v>
      </c>
      <c r="B323" s="87"/>
      <c r="C323" s="88" t="s">
        <v>503</v>
      </c>
      <c r="D323" s="89"/>
      <c r="E323" s="89"/>
      <c r="F323" s="89"/>
      <c r="G323" s="90"/>
      <c r="H323" s="1" t="s">
        <v>475</v>
      </c>
      <c r="I323" s="2" t="s">
        <v>480</v>
      </c>
      <c r="J323" s="2" t="s">
        <v>480</v>
      </c>
      <c r="K323" s="2"/>
      <c r="L323" s="2" t="s">
        <v>480</v>
      </c>
      <c r="M323" s="2" t="s">
        <v>480</v>
      </c>
      <c r="N323" s="2" t="s">
        <v>480</v>
      </c>
      <c r="O323" s="2" t="s">
        <v>480</v>
      </c>
      <c r="P323" s="2" t="s">
        <v>480</v>
      </c>
      <c r="Q323" s="2" t="s">
        <v>480</v>
      </c>
      <c r="R323" s="2" t="s">
        <v>480</v>
      </c>
      <c r="S323" s="2" t="s">
        <v>480</v>
      </c>
      <c r="T323" s="2" t="s">
        <v>480</v>
      </c>
      <c r="U323" s="2" t="s">
        <v>480</v>
      </c>
      <c r="V323" s="2" t="s">
        <v>480</v>
      </c>
      <c r="W323" s="1" t="s">
        <v>480</v>
      </c>
    </row>
    <row r="324" spans="1:23" s="3" customFormat="1" ht="8.1" customHeight="1" x14ac:dyDescent="0.2">
      <c r="A324" s="86" t="s">
        <v>500</v>
      </c>
      <c r="B324" s="87"/>
      <c r="C324" s="91" t="s">
        <v>495</v>
      </c>
      <c r="D324" s="92"/>
      <c r="E324" s="92"/>
      <c r="F324" s="92"/>
      <c r="G324" s="93"/>
      <c r="H324" s="1" t="s">
        <v>498</v>
      </c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1"/>
    </row>
    <row r="325" spans="1:23" s="3" customFormat="1" ht="8.1" customHeight="1" x14ac:dyDescent="0.2">
      <c r="A325" s="86" t="s">
        <v>501</v>
      </c>
      <c r="B325" s="87"/>
      <c r="C325" s="91" t="s">
        <v>504</v>
      </c>
      <c r="D325" s="92"/>
      <c r="E325" s="92"/>
      <c r="F325" s="92"/>
      <c r="G325" s="93"/>
      <c r="H325" s="1" t="s">
        <v>476</v>
      </c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1"/>
    </row>
    <row r="326" spans="1:23" s="3" customFormat="1" ht="8.1" customHeight="1" x14ac:dyDescent="0.2">
      <c r="A326" s="86" t="s">
        <v>502</v>
      </c>
      <c r="B326" s="87"/>
      <c r="C326" s="91" t="s">
        <v>496</v>
      </c>
      <c r="D326" s="92"/>
      <c r="E326" s="92"/>
      <c r="F326" s="92"/>
      <c r="G326" s="93"/>
      <c r="H326" s="1" t="s">
        <v>497</v>
      </c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1"/>
    </row>
    <row r="327" spans="1:23" s="3" customFormat="1" ht="8.25" customHeight="1" x14ac:dyDescent="0.2">
      <c r="A327" s="86" t="s">
        <v>505</v>
      </c>
      <c r="B327" s="87"/>
      <c r="C327" s="88" t="s">
        <v>508</v>
      </c>
      <c r="D327" s="89"/>
      <c r="E327" s="89"/>
      <c r="F327" s="89"/>
      <c r="G327" s="90"/>
      <c r="H327" s="1" t="s">
        <v>475</v>
      </c>
      <c r="I327" s="2" t="s">
        <v>480</v>
      </c>
      <c r="J327" s="2" t="s">
        <v>480</v>
      </c>
      <c r="K327" s="2"/>
      <c r="L327" s="2" t="s">
        <v>480</v>
      </c>
      <c r="M327" s="2" t="s">
        <v>480</v>
      </c>
      <c r="N327" s="2" t="s">
        <v>480</v>
      </c>
      <c r="O327" s="2" t="s">
        <v>480</v>
      </c>
      <c r="P327" s="2" t="s">
        <v>480</v>
      </c>
      <c r="Q327" s="2" t="s">
        <v>480</v>
      </c>
      <c r="R327" s="2" t="s">
        <v>480</v>
      </c>
      <c r="S327" s="2" t="s">
        <v>480</v>
      </c>
      <c r="T327" s="2" t="s">
        <v>480</v>
      </c>
      <c r="U327" s="2" t="s">
        <v>480</v>
      </c>
      <c r="V327" s="2" t="s">
        <v>480</v>
      </c>
      <c r="W327" s="1" t="s">
        <v>480</v>
      </c>
    </row>
    <row r="328" spans="1:23" s="3" customFormat="1" ht="8.1" customHeight="1" x14ac:dyDescent="0.2">
      <c r="A328" s="86" t="s">
        <v>506</v>
      </c>
      <c r="B328" s="87"/>
      <c r="C328" s="91" t="s">
        <v>495</v>
      </c>
      <c r="D328" s="92"/>
      <c r="E328" s="92"/>
      <c r="F328" s="92"/>
      <c r="G328" s="93"/>
      <c r="H328" s="1" t="s">
        <v>498</v>
      </c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1"/>
    </row>
    <row r="329" spans="1:23" s="3" customFormat="1" ht="8.1" customHeight="1" x14ac:dyDescent="0.2">
      <c r="A329" s="86" t="s">
        <v>507</v>
      </c>
      <c r="B329" s="87"/>
      <c r="C329" s="91" t="s">
        <v>496</v>
      </c>
      <c r="D329" s="92"/>
      <c r="E329" s="92"/>
      <c r="F329" s="92"/>
      <c r="G329" s="93"/>
      <c r="H329" s="1" t="s">
        <v>497</v>
      </c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1"/>
    </row>
    <row r="330" spans="1:23" s="3" customFormat="1" ht="8.25" customHeight="1" x14ac:dyDescent="0.2">
      <c r="A330" s="86" t="s">
        <v>509</v>
      </c>
      <c r="B330" s="87"/>
      <c r="C330" s="88" t="s">
        <v>671</v>
      </c>
      <c r="D330" s="89"/>
      <c r="E330" s="89"/>
      <c r="F330" s="89"/>
      <c r="G330" s="90"/>
      <c r="H330" s="1" t="s">
        <v>475</v>
      </c>
      <c r="I330" s="2" t="s">
        <v>480</v>
      </c>
      <c r="J330" s="2" t="s">
        <v>480</v>
      </c>
      <c r="K330" s="2"/>
      <c r="L330" s="2" t="s">
        <v>480</v>
      </c>
      <c r="M330" s="2" t="s">
        <v>480</v>
      </c>
      <c r="N330" s="2" t="s">
        <v>480</v>
      </c>
      <c r="O330" s="2" t="s">
        <v>480</v>
      </c>
      <c r="P330" s="2" t="s">
        <v>480</v>
      </c>
      <c r="Q330" s="2" t="s">
        <v>480</v>
      </c>
      <c r="R330" s="2" t="s">
        <v>480</v>
      </c>
      <c r="S330" s="2" t="s">
        <v>480</v>
      </c>
      <c r="T330" s="2" t="s">
        <v>480</v>
      </c>
      <c r="U330" s="2" t="s">
        <v>480</v>
      </c>
      <c r="V330" s="2" t="s">
        <v>480</v>
      </c>
      <c r="W330" s="1" t="s">
        <v>480</v>
      </c>
    </row>
    <row r="331" spans="1:23" s="3" customFormat="1" ht="8.1" customHeight="1" x14ac:dyDescent="0.2">
      <c r="A331" s="86" t="s">
        <v>510</v>
      </c>
      <c r="B331" s="87"/>
      <c r="C331" s="91" t="s">
        <v>495</v>
      </c>
      <c r="D331" s="92"/>
      <c r="E331" s="92"/>
      <c r="F331" s="92"/>
      <c r="G331" s="93"/>
      <c r="H331" s="1" t="s">
        <v>498</v>
      </c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1"/>
    </row>
    <row r="332" spans="1:23" s="3" customFormat="1" ht="8.1" customHeight="1" x14ac:dyDescent="0.2">
      <c r="A332" s="86" t="s">
        <v>511</v>
      </c>
      <c r="B332" s="87"/>
      <c r="C332" s="91" t="s">
        <v>504</v>
      </c>
      <c r="D332" s="92"/>
      <c r="E332" s="92"/>
      <c r="F332" s="92"/>
      <c r="G332" s="93"/>
      <c r="H332" s="1" t="s">
        <v>476</v>
      </c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1"/>
    </row>
    <row r="333" spans="1:23" s="3" customFormat="1" ht="8.1" customHeight="1" x14ac:dyDescent="0.2">
      <c r="A333" s="86" t="s">
        <v>512</v>
      </c>
      <c r="B333" s="87"/>
      <c r="C333" s="91" t="s">
        <v>496</v>
      </c>
      <c r="D333" s="92"/>
      <c r="E333" s="92"/>
      <c r="F333" s="92"/>
      <c r="G333" s="93"/>
      <c r="H333" s="1" t="s">
        <v>497</v>
      </c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1"/>
    </row>
    <row r="334" spans="1:23" s="3" customFormat="1" ht="9" customHeight="1" x14ac:dyDescent="0.2">
      <c r="A334" s="86" t="s">
        <v>513</v>
      </c>
      <c r="B334" s="87"/>
      <c r="C334" s="150" t="s">
        <v>514</v>
      </c>
      <c r="D334" s="151"/>
      <c r="E334" s="151"/>
      <c r="F334" s="151"/>
      <c r="G334" s="152"/>
      <c r="H334" s="1" t="s">
        <v>475</v>
      </c>
      <c r="I334" s="2" t="s">
        <v>480</v>
      </c>
      <c r="J334" s="2" t="s">
        <v>480</v>
      </c>
      <c r="K334" s="2"/>
      <c r="L334" s="2" t="s">
        <v>480</v>
      </c>
      <c r="M334" s="2" t="s">
        <v>480</v>
      </c>
      <c r="N334" s="2" t="s">
        <v>480</v>
      </c>
      <c r="O334" s="2" t="s">
        <v>480</v>
      </c>
      <c r="P334" s="2" t="s">
        <v>480</v>
      </c>
      <c r="Q334" s="2" t="s">
        <v>480</v>
      </c>
      <c r="R334" s="2" t="s">
        <v>480</v>
      </c>
      <c r="S334" s="2" t="s">
        <v>480</v>
      </c>
      <c r="T334" s="2" t="s">
        <v>480</v>
      </c>
      <c r="U334" s="2" t="s">
        <v>480</v>
      </c>
      <c r="V334" s="2" t="s">
        <v>480</v>
      </c>
      <c r="W334" s="1" t="s">
        <v>480</v>
      </c>
    </row>
    <row r="335" spans="1:23" s="3" customFormat="1" ht="8.25" customHeight="1" x14ac:dyDescent="0.2">
      <c r="A335" s="86" t="s">
        <v>515</v>
      </c>
      <c r="B335" s="87"/>
      <c r="C335" s="88" t="s">
        <v>525</v>
      </c>
      <c r="D335" s="89"/>
      <c r="E335" s="89"/>
      <c r="F335" s="89"/>
      <c r="G335" s="90"/>
      <c r="H335" s="1" t="s">
        <v>498</v>
      </c>
      <c r="I335" s="4">
        <f>I337+I338</f>
        <v>376.28814999999997</v>
      </c>
      <c r="J335" s="4">
        <f>J337+J338</f>
        <v>396.49700000000001</v>
      </c>
      <c r="K335" s="4">
        <f>[1]модель!$H$295</f>
        <v>403.48610000000002</v>
      </c>
      <c r="L335" s="53">
        <v>423.65499999999997</v>
      </c>
      <c r="M335" s="53">
        <v>366.46300000000002</v>
      </c>
      <c r="N335" s="53">
        <f>N337+N338</f>
        <v>422.32854000000003</v>
      </c>
      <c r="O335" s="53">
        <v>404.32299999999998</v>
      </c>
      <c r="P335" s="53">
        <f>P337+P338</f>
        <v>433.9467654</v>
      </c>
      <c r="Q335" s="53">
        <v>396.18</v>
      </c>
      <c r="R335" s="53">
        <f>R337+R338</f>
        <v>446.05092005400002</v>
      </c>
      <c r="S335" s="53">
        <v>443.36</v>
      </c>
      <c r="T335" s="53">
        <f>T337+T338</f>
        <v>458.66435060454</v>
      </c>
      <c r="U335" s="53">
        <v>455.95</v>
      </c>
      <c r="V335" s="53">
        <f>L335+N335+P335+R335+T335</f>
        <v>2184.64557605854</v>
      </c>
      <c r="W335" s="74">
        <f>M335+O335+Q335+S335+U335</f>
        <v>2066.2759999999998</v>
      </c>
    </row>
    <row r="336" spans="1:23" s="3" customFormat="1" ht="16.5" customHeight="1" x14ac:dyDescent="0.2">
      <c r="A336" s="86" t="s">
        <v>516</v>
      </c>
      <c r="B336" s="87"/>
      <c r="C336" s="91" t="s">
        <v>526</v>
      </c>
      <c r="D336" s="92"/>
      <c r="E336" s="92"/>
      <c r="F336" s="92"/>
      <c r="G336" s="93"/>
      <c r="H336" s="1" t="s">
        <v>498</v>
      </c>
      <c r="I336" s="4"/>
      <c r="J336" s="4"/>
      <c r="K336" s="4"/>
      <c r="L336" s="53">
        <v>0</v>
      </c>
      <c r="M336" s="53">
        <v>0</v>
      </c>
      <c r="N336" s="53"/>
      <c r="O336" s="53">
        <v>0</v>
      </c>
      <c r="P336" s="53"/>
      <c r="Q336" s="53">
        <v>0</v>
      </c>
      <c r="R336" s="53"/>
      <c r="S336" s="53"/>
      <c r="T336" s="53"/>
      <c r="U336" s="53"/>
      <c r="V336" s="53">
        <f t="shared" ref="V336:V356" si="68">L336+N336+P336+R336+T336</f>
        <v>0</v>
      </c>
      <c r="W336" s="74">
        <f t="shared" ref="W336:W362" si="69">M336+O336+Q336+S336+U336</f>
        <v>0</v>
      </c>
    </row>
    <row r="337" spans="1:23" s="3" customFormat="1" ht="8.1" customHeight="1" x14ac:dyDescent="0.2">
      <c r="A337" s="86" t="s">
        <v>527</v>
      </c>
      <c r="B337" s="87"/>
      <c r="C337" s="127" t="s">
        <v>529</v>
      </c>
      <c r="D337" s="128"/>
      <c r="E337" s="128"/>
      <c r="F337" s="128"/>
      <c r="G337" s="129"/>
      <c r="H337" s="1" t="s">
        <v>498</v>
      </c>
      <c r="I337" s="4">
        <f>230.491891+3.181108</f>
        <v>233.672999</v>
      </c>
      <c r="J337" s="4">
        <f>221.131+2.751</f>
        <v>223.88200000000001</v>
      </c>
      <c r="K337" s="4"/>
      <c r="L337" s="53">
        <v>235.10400000000001</v>
      </c>
      <c r="M337" s="53">
        <v>194.37200000000001</v>
      </c>
      <c r="N337" s="53">
        <f>L337*1.01</f>
        <v>237.45504000000003</v>
      </c>
      <c r="O337" s="53">
        <v>223.29300000000001</v>
      </c>
      <c r="P337" s="53">
        <f>N337*1.01</f>
        <v>239.82959040000003</v>
      </c>
      <c r="Q337" s="53">
        <v>219.69499999999999</v>
      </c>
      <c r="R337" s="53">
        <f>P337*1.01</f>
        <v>242.22788630400004</v>
      </c>
      <c r="S337" s="53">
        <v>239.54</v>
      </c>
      <c r="T337" s="53">
        <f>R337*1.01</f>
        <v>244.65016516704003</v>
      </c>
      <c r="U337" s="53">
        <v>241.94</v>
      </c>
      <c r="V337" s="53">
        <f t="shared" si="68"/>
        <v>1199.2666818710402</v>
      </c>
      <c r="W337" s="74">
        <f t="shared" si="69"/>
        <v>1118.8399999999999</v>
      </c>
    </row>
    <row r="338" spans="1:23" s="3" customFormat="1" ht="8.1" customHeight="1" x14ac:dyDescent="0.2">
      <c r="A338" s="86" t="s">
        <v>528</v>
      </c>
      <c r="B338" s="87"/>
      <c r="C338" s="127" t="s">
        <v>530</v>
      </c>
      <c r="D338" s="128"/>
      <c r="E338" s="128"/>
      <c r="F338" s="128"/>
      <c r="G338" s="129"/>
      <c r="H338" s="1" t="s">
        <v>498</v>
      </c>
      <c r="I338" s="4">
        <f>376.28815-I337</f>
        <v>142.61515099999997</v>
      </c>
      <c r="J338" s="4">
        <v>172.61500000000001</v>
      </c>
      <c r="K338" s="4"/>
      <c r="L338" s="53">
        <v>176.07</v>
      </c>
      <c r="M338" s="53">
        <v>172.09100000000001</v>
      </c>
      <c r="N338" s="53">
        <f>L338*1.05</f>
        <v>184.87350000000001</v>
      </c>
      <c r="O338" s="53">
        <f>O335-O337</f>
        <v>181.02999999999997</v>
      </c>
      <c r="P338" s="53">
        <f>N338*1.05</f>
        <v>194.117175</v>
      </c>
      <c r="Q338" s="53">
        <f>Q335-Q337</f>
        <v>176.48500000000001</v>
      </c>
      <c r="R338" s="53">
        <f>P338*1.05</f>
        <v>203.82303375000001</v>
      </c>
      <c r="S338" s="53">
        <v>203.82</v>
      </c>
      <c r="T338" s="53">
        <f>R338*1.05</f>
        <v>214.0141854375</v>
      </c>
      <c r="U338" s="53">
        <v>214.01</v>
      </c>
      <c r="V338" s="53">
        <f t="shared" si="68"/>
        <v>972.89789418750001</v>
      </c>
      <c r="W338" s="74">
        <f t="shared" si="69"/>
        <v>947.43599999999992</v>
      </c>
    </row>
    <row r="339" spans="1:23" s="3" customFormat="1" ht="8.25" customHeight="1" x14ac:dyDescent="0.2">
      <c r="A339" s="86" t="s">
        <v>517</v>
      </c>
      <c r="B339" s="87"/>
      <c r="C339" s="88" t="s">
        <v>531</v>
      </c>
      <c r="D339" s="89"/>
      <c r="E339" s="89"/>
      <c r="F339" s="89"/>
      <c r="G339" s="90"/>
      <c r="H339" s="1" t="s">
        <v>498</v>
      </c>
      <c r="I339" s="4">
        <f>8.150526+0.317588</f>
        <v>8.4681139999999999</v>
      </c>
      <c r="J339" s="4">
        <f>6.982+0.36</f>
        <v>7.3420000000000005</v>
      </c>
      <c r="K339" s="4">
        <f>[1]модель!$H$298</f>
        <v>15.385300000000001</v>
      </c>
      <c r="L339" s="53">
        <v>16.946000000000002</v>
      </c>
      <c r="M339" s="53">
        <v>11.15</v>
      </c>
      <c r="N339" s="53">
        <f>L339*1.03</f>
        <v>17.45438</v>
      </c>
      <c r="O339" s="53">
        <v>16.847000000000001</v>
      </c>
      <c r="P339" s="53">
        <f>N339*1.03</f>
        <v>17.9780114</v>
      </c>
      <c r="Q339" s="53">
        <v>16.507999999999999</v>
      </c>
      <c r="R339" s="53">
        <f>P339*1.03</f>
        <v>18.517351741999999</v>
      </c>
      <c r="S339" s="53">
        <v>20.9</v>
      </c>
      <c r="T339" s="53">
        <f>R339*1.03</f>
        <v>19.072872294259998</v>
      </c>
      <c r="U339" s="53">
        <v>21.53</v>
      </c>
      <c r="V339" s="53">
        <f t="shared" si="68"/>
        <v>89.968615436259995</v>
      </c>
      <c r="W339" s="74">
        <f t="shared" si="69"/>
        <v>86.935000000000002</v>
      </c>
    </row>
    <row r="340" spans="1:23" s="3" customFormat="1" ht="8.25" customHeight="1" x14ac:dyDescent="0.2">
      <c r="A340" s="86" t="s">
        <v>518</v>
      </c>
      <c r="B340" s="87"/>
      <c r="C340" s="88" t="s">
        <v>532</v>
      </c>
      <c r="D340" s="89"/>
      <c r="E340" s="89"/>
      <c r="F340" s="89"/>
      <c r="G340" s="90"/>
      <c r="H340" s="1" t="s">
        <v>476</v>
      </c>
      <c r="I340" s="4">
        <v>50.701999999999998</v>
      </c>
      <c r="J340" s="4">
        <v>52.816000000000003</v>
      </c>
      <c r="K340" s="4">
        <f>[1]модель!$H$314</f>
        <v>56.882899999999999</v>
      </c>
      <c r="L340" s="53">
        <v>61.134999999999998</v>
      </c>
      <c r="M340" s="53">
        <v>62.134999999999998</v>
      </c>
      <c r="N340" s="53">
        <f>N342+N343</f>
        <v>62.267830000000004</v>
      </c>
      <c r="O340" s="53">
        <v>62.003999999999998</v>
      </c>
      <c r="P340" s="53">
        <f>P342+P343</f>
        <v>63.427632700000004</v>
      </c>
      <c r="Q340" s="53">
        <v>61.259</v>
      </c>
      <c r="R340" s="53">
        <f>R342+R343</f>
        <v>64.615147159000003</v>
      </c>
      <c r="S340" s="53">
        <v>62.03</v>
      </c>
      <c r="T340" s="53">
        <f>T342+T343</f>
        <v>65.831133906550008</v>
      </c>
      <c r="U340" s="53">
        <v>63.18</v>
      </c>
      <c r="V340" s="53">
        <f t="shared" si="68"/>
        <v>317.27674376555001</v>
      </c>
      <c r="W340" s="74">
        <f t="shared" si="69"/>
        <v>310.608</v>
      </c>
    </row>
    <row r="341" spans="1:23" s="3" customFormat="1" ht="16.5" customHeight="1" x14ac:dyDescent="0.2">
      <c r="A341" s="86" t="s">
        <v>519</v>
      </c>
      <c r="B341" s="87"/>
      <c r="C341" s="91" t="s">
        <v>533</v>
      </c>
      <c r="D341" s="92"/>
      <c r="E341" s="92"/>
      <c r="F341" s="92"/>
      <c r="G341" s="93"/>
      <c r="H341" s="1" t="s">
        <v>476</v>
      </c>
      <c r="I341" s="4"/>
      <c r="J341" s="4"/>
      <c r="K341" s="4"/>
      <c r="L341" s="53">
        <v>0</v>
      </c>
      <c r="M341" s="53">
        <v>0</v>
      </c>
      <c r="N341" s="53"/>
      <c r="O341" s="53"/>
      <c r="P341" s="53"/>
      <c r="Q341" s="53"/>
      <c r="R341" s="53"/>
      <c r="S341" s="53"/>
      <c r="T341" s="53"/>
      <c r="U341" s="53"/>
      <c r="V341" s="53">
        <f t="shared" si="68"/>
        <v>0</v>
      </c>
      <c r="W341" s="74">
        <f t="shared" si="69"/>
        <v>0</v>
      </c>
    </row>
    <row r="342" spans="1:23" s="3" customFormat="1" ht="8.1" customHeight="1" x14ac:dyDescent="0.2">
      <c r="A342" s="86" t="s">
        <v>520</v>
      </c>
      <c r="B342" s="87"/>
      <c r="C342" s="127" t="s">
        <v>529</v>
      </c>
      <c r="D342" s="128"/>
      <c r="E342" s="128"/>
      <c r="F342" s="128"/>
      <c r="G342" s="129"/>
      <c r="H342" s="1" t="s">
        <v>476</v>
      </c>
      <c r="I342" s="4">
        <f>33.715+0.54</f>
        <v>34.255000000000003</v>
      </c>
      <c r="J342" s="4">
        <f>33.444+0.435</f>
        <v>33.879000000000005</v>
      </c>
      <c r="K342" s="4"/>
      <c r="L342" s="53">
        <v>35.061</v>
      </c>
      <c r="M342" s="53">
        <v>36.061</v>
      </c>
      <c r="N342" s="53">
        <f>L342*1.01</f>
        <v>35.411610000000003</v>
      </c>
      <c r="O342" s="53">
        <v>33.466000000000001</v>
      </c>
      <c r="P342" s="53">
        <f>N342*1.01</f>
        <v>35.765726100000002</v>
      </c>
      <c r="Q342" s="53">
        <v>32.963000000000001</v>
      </c>
      <c r="R342" s="53">
        <f>P342*1.01</f>
        <v>36.123383361000002</v>
      </c>
      <c r="S342" s="53">
        <v>35.25</v>
      </c>
      <c r="T342" s="53">
        <f>R342*1.01</f>
        <v>36.484617194610003</v>
      </c>
      <c r="U342" s="53">
        <v>35.61</v>
      </c>
      <c r="V342" s="53">
        <f t="shared" si="68"/>
        <v>178.84633665561</v>
      </c>
      <c r="W342" s="74">
        <f t="shared" si="69"/>
        <v>173.35000000000002</v>
      </c>
    </row>
    <row r="343" spans="1:23" s="3" customFormat="1" ht="8.1" customHeight="1" x14ac:dyDescent="0.2">
      <c r="A343" s="86" t="s">
        <v>521</v>
      </c>
      <c r="B343" s="87"/>
      <c r="C343" s="127" t="s">
        <v>530</v>
      </c>
      <c r="D343" s="128"/>
      <c r="E343" s="128"/>
      <c r="F343" s="128"/>
      <c r="G343" s="129"/>
      <c r="H343" s="1" t="s">
        <v>476</v>
      </c>
      <c r="I343" s="4">
        <f>I340-I342</f>
        <v>16.446999999999996</v>
      </c>
      <c r="J343" s="4">
        <f>J340-J342</f>
        <v>18.936999999999998</v>
      </c>
      <c r="K343" s="4"/>
      <c r="L343" s="53">
        <v>26.073999999999998</v>
      </c>
      <c r="M343" s="53">
        <v>26.073999999999998</v>
      </c>
      <c r="N343" s="53">
        <f>L343*1.03</f>
        <v>26.85622</v>
      </c>
      <c r="O343" s="53">
        <f>O340-O342</f>
        <v>28.537999999999997</v>
      </c>
      <c r="P343" s="53">
        <f>N343*1.03</f>
        <v>27.661906600000002</v>
      </c>
      <c r="Q343" s="53">
        <f>Q340-Q342</f>
        <v>28.295999999999999</v>
      </c>
      <c r="R343" s="53">
        <f>P343*1.03</f>
        <v>28.491763798000001</v>
      </c>
      <c r="S343" s="53">
        <v>26.77</v>
      </c>
      <c r="T343" s="53">
        <f>R343*1.03</f>
        <v>29.346516711940001</v>
      </c>
      <c r="U343" s="53">
        <v>27.58</v>
      </c>
      <c r="V343" s="53">
        <f t="shared" si="68"/>
        <v>138.43040710994001</v>
      </c>
      <c r="W343" s="74">
        <f t="shared" si="69"/>
        <v>137.25799999999998</v>
      </c>
    </row>
    <row r="344" spans="1:23" s="3" customFormat="1" ht="8.25" customHeight="1" x14ac:dyDescent="0.2">
      <c r="A344" s="86" t="s">
        <v>522</v>
      </c>
      <c r="B344" s="87"/>
      <c r="C344" s="88" t="s">
        <v>534</v>
      </c>
      <c r="D344" s="89"/>
      <c r="E344" s="89"/>
      <c r="F344" s="89"/>
      <c r="G344" s="90"/>
      <c r="H344" s="1" t="s">
        <v>524</v>
      </c>
      <c r="I344" s="4">
        <v>2505.48</v>
      </c>
      <c r="J344" s="4">
        <v>3045.41</v>
      </c>
      <c r="K344" s="4">
        <f>[1]модель!$H$10</f>
        <v>2757.3799999999997</v>
      </c>
      <c r="L344" s="53">
        <v>3468.46</v>
      </c>
      <c r="M344" s="53">
        <v>3586.36</v>
      </c>
      <c r="N344" s="53">
        <v>3709.48</v>
      </c>
      <c r="O344" s="53">
        <v>3709.48</v>
      </c>
      <c r="P344" s="53">
        <v>3723.08</v>
      </c>
      <c r="Q344" s="53">
        <v>3723.08</v>
      </c>
      <c r="R344" s="53">
        <v>3951.96</v>
      </c>
      <c r="S344" s="53">
        <v>3951.96</v>
      </c>
      <c r="T344" s="53">
        <v>4007.38</v>
      </c>
      <c r="U344" s="53">
        <v>4007.38</v>
      </c>
      <c r="V344" s="53">
        <f t="shared" si="68"/>
        <v>18860.36</v>
      </c>
      <c r="W344" s="74">
        <f t="shared" si="69"/>
        <v>18978.260000000002</v>
      </c>
    </row>
    <row r="345" spans="1:23" s="3" customFormat="1" ht="16.5" customHeight="1" x14ac:dyDescent="0.2">
      <c r="A345" s="86" t="s">
        <v>523</v>
      </c>
      <c r="B345" s="87"/>
      <c r="C345" s="88" t="s">
        <v>695</v>
      </c>
      <c r="D345" s="89"/>
      <c r="E345" s="89"/>
      <c r="F345" s="89"/>
      <c r="G345" s="90"/>
      <c r="H345" s="1" t="s">
        <v>5</v>
      </c>
      <c r="I345" s="4">
        <f t="shared" ref="I345:U345" si="70">I24-I58-I52</f>
        <v>194.34</v>
      </c>
      <c r="J345" s="4">
        <f t="shared" si="70"/>
        <v>243.44</v>
      </c>
      <c r="K345" s="4">
        <f>K39-K58-K59-K52</f>
        <v>187.91133531999998</v>
      </c>
      <c r="L345" s="53">
        <f>L39-L58-L59-L52</f>
        <v>208.68999999999986</v>
      </c>
      <c r="M345" s="53">
        <f>M39-M58-M59-M52</f>
        <v>235.43822678999999</v>
      </c>
      <c r="N345" s="53">
        <f t="shared" si="70"/>
        <v>331.21999999999997</v>
      </c>
      <c r="O345" s="53">
        <f t="shared" si="70"/>
        <v>274.88</v>
      </c>
      <c r="P345" s="53">
        <f t="shared" si="70"/>
        <v>308.5</v>
      </c>
      <c r="Q345" s="53">
        <f t="shared" si="70"/>
        <v>278.38</v>
      </c>
      <c r="R345" s="53">
        <f t="shared" si="70"/>
        <v>312</v>
      </c>
      <c r="S345" s="53">
        <f t="shared" si="70"/>
        <v>281.99</v>
      </c>
      <c r="T345" s="53">
        <f t="shared" si="70"/>
        <v>333.15</v>
      </c>
      <c r="U345" s="53">
        <f t="shared" si="70"/>
        <v>285.7</v>
      </c>
      <c r="V345" s="53">
        <v>1869.32</v>
      </c>
      <c r="W345" s="74">
        <f t="shared" si="69"/>
        <v>1356.3882267900001</v>
      </c>
    </row>
    <row r="346" spans="1:23" s="3" customFormat="1" ht="9" customHeight="1" x14ac:dyDescent="0.2">
      <c r="A346" s="86" t="s">
        <v>535</v>
      </c>
      <c r="B346" s="87"/>
      <c r="C346" s="150" t="s">
        <v>539</v>
      </c>
      <c r="D346" s="151"/>
      <c r="E346" s="151"/>
      <c r="F346" s="151"/>
      <c r="G346" s="152"/>
      <c r="H346" s="1" t="s">
        <v>475</v>
      </c>
      <c r="I346" s="4" t="s">
        <v>480</v>
      </c>
      <c r="J346" s="4" t="s">
        <v>480</v>
      </c>
      <c r="K346" s="4"/>
      <c r="L346" s="53"/>
      <c r="M346" s="53"/>
      <c r="N346" s="53"/>
      <c r="O346" s="53"/>
      <c r="P346" s="53"/>
      <c r="Q346" s="53"/>
      <c r="R346" s="53"/>
      <c r="S346" s="53"/>
      <c r="T346" s="53"/>
      <c r="U346" s="53"/>
      <c r="V346" s="53">
        <f t="shared" si="68"/>
        <v>0</v>
      </c>
      <c r="W346" s="74">
        <f t="shared" si="69"/>
        <v>0</v>
      </c>
    </row>
    <row r="347" spans="1:23" s="3" customFormat="1" ht="8.1" customHeight="1" x14ac:dyDescent="0.2">
      <c r="A347" s="86" t="s">
        <v>536</v>
      </c>
      <c r="B347" s="87"/>
      <c r="C347" s="88" t="s">
        <v>540</v>
      </c>
      <c r="D347" s="89"/>
      <c r="E347" s="89"/>
      <c r="F347" s="89"/>
      <c r="G347" s="90"/>
      <c r="H347" s="1" t="s">
        <v>498</v>
      </c>
      <c r="I347" s="4">
        <v>90.205321999999995</v>
      </c>
      <c r="J347" s="4">
        <f>90.205*1.01</f>
        <v>91.107050000000001</v>
      </c>
      <c r="K347" s="4"/>
      <c r="L347" s="53">
        <v>91.998000000000005</v>
      </c>
      <c r="M347" s="53">
        <v>86.768000000000001</v>
      </c>
      <c r="N347" s="53">
        <f>L347*1.01</f>
        <v>92.91798</v>
      </c>
      <c r="O347" s="53">
        <v>92.918000000000006</v>
      </c>
      <c r="P347" s="53">
        <f>N347*1.01</f>
        <v>93.8471598</v>
      </c>
      <c r="Q347" s="53">
        <v>88.933000000000007</v>
      </c>
      <c r="R347" s="53">
        <f>P347*1.01</f>
        <v>94.785631398000007</v>
      </c>
      <c r="S347" s="53">
        <v>94.81</v>
      </c>
      <c r="T347" s="53">
        <f>R347*1.01</f>
        <v>95.733487711980004</v>
      </c>
      <c r="U347" s="53">
        <v>95.75</v>
      </c>
      <c r="V347" s="53">
        <f t="shared" si="68"/>
        <v>469.28225890997999</v>
      </c>
      <c r="W347" s="74">
        <f t="shared" si="69"/>
        <v>459.17900000000003</v>
      </c>
    </row>
    <row r="348" spans="1:23" s="3" customFormat="1" x14ac:dyDescent="0.2">
      <c r="A348" s="86" t="s">
        <v>537</v>
      </c>
      <c r="B348" s="87"/>
      <c r="C348" s="88" t="s">
        <v>542</v>
      </c>
      <c r="D348" s="89"/>
      <c r="E348" s="89"/>
      <c r="F348" s="89"/>
      <c r="G348" s="90"/>
      <c r="H348" s="1" t="s">
        <v>477</v>
      </c>
      <c r="I348" s="4"/>
      <c r="J348" s="4"/>
      <c r="K348" s="4"/>
      <c r="L348" s="53"/>
      <c r="M348" s="53"/>
      <c r="N348" s="53"/>
      <c r="O348" s="53"/>
      <c r="P348" s="53"/>
      <c r="Q348" s="53"/>
      <c r="R348" s="53"/>
      <c r="S348" s="53"/>
      <c r="T348" s="53"/>
      <c r="U348" s="53"/>
      <c r="V348" s="53">
        <f t="shared" si="68"/>
        <v>0</v>
      </c>
      <c r="W348" s="74">
        <f t="shared" si="69"/>
        <v>0</v>
      </c>
    </row>
    <row r="349" spans="1:23" s="3" customFormat="1" ht="24.75" customHeight="1" x14ac:dyDescent="0.2">
      <c r="A349" s="86" t="s">
        <v>538</v>
      </c>
      <c r="B349" s="87"/>
      <c r="C349" s="88" t="s">
        <v>543</v>
      </c>
      <c r="D349" s="89"/>
      <c r="E349" s="89"/>
      <c r="F349" s="89"/>
      <c r="G349" s="90"/>
      <c r="H349" s="1" t="s">
        <v>5</v>
      </c>
      <c r="I349" s="4">
        <f>339.398-330.806</f>
        <v>8.5920000000000414</v>
      </c>
      <c r="J349" s="4">
        <f>J27-J42</f>
        <v>4.8899999999999864</v>
      </c>
      <c r="K349" s="4">
        <f>K27-K42</f>
        <v>4.2926913216666662</v>
      </c>
      <c r="L349" s="53">
        <v>4.4189999999999996</v>
      </c>
      <c r="M349" s="53">
        <v>7.38</v>
      </c>
      <c r="N349" s="53">
        <f t="shared" ref="N349:U349" si="71">N27-N42</f>
        <v>5</v>
      </c>
      <c r="O349" s="53">
        <f t="shared" si="71"/>
        <v>5</v>
      </c>
      <c r="P349" s="53">
        <f t="shared" si="71"/>
        <v>5.3799999999999955</v>
      </c>
      <c r="Q349" s="53">
        <f t="shared" si="71"/>
        <v>5.3799999999999955</v>
      </c>
      <c r="R349" s="53">
        <f t="shared" si="71"/>
        <v>5.7599999999999909</v>
      </c>
      <c r="S349" s="53">
        <f t="shared" si="71"/>
        <v>5.7599999999999909</v>
      </c>
      <c r="T349" s="53">
        <f t="shared" si="71"/>
        <v>6.1399999999999864</v>
      </c>
      <c r="U349" s="53">
        <f t="shared" si="71"/>
        <v>6.1399999999999864</v>
      </c>
      <c r="V349" s="53">
        <f>V27-V42</f>
        <v>26.980000000000018</v>
      </c>
      <c r="W349" s="74">
        <f t="shared" si="69"/>
        <v>29.659999999999972</v>
      </c>
    </row>
    <row r="350" spans="1:23" s="3" customFormat="1" ht="16.5" customHeight="1" x14ac:dyDescent="0.2">
      <c r="A350" s="86" t="s">
        <v>541</v>
      </c>
      <c r="B350" s="87"/>
      <c r="C350" s="88" t="s">
        <v>544</v>
      </c>
      <c r="D350" s="89"/>
      <c r="E350" s="89"/>
      <c r="F350" s="89"/>
      <c r="G350" s="90"/>
      <c r="H350" s="1" t="s">
        <v>5</v>
      </c>
      <c r="I350" s="2"/>
      <c r="J350" s="2"/>
      <c r="K350" s="2"/>
      <c r="L350" s="53"/>
      <c r="M350" s="53"/>
      <c r="N350" s="53"/>
      <c r="O350" s="53"/>
      <c r="P350" s="53"/>
      <c r="Q350" s="53"/>
      <c r="R350" s="53"/>
      <c r="S350" s="53"/>
      <c r="T350" s="53"/>
      <c r="U350" s="53"/>
      <c r="V350" s="53">
        <f t="shared" si="68"/>
        <v>0</v>
      </c>
      <c r="W350" s="74">
        <f t="shared" si="69"/>
        <v>0</v>
      </c>
    </row>
    <row r="351" spans="1:23" s="3" customFormat="1" ht="9" customHeight="1" x14ac:dyDescent="0.2">
      <c r="A351" s="86" t="s">
        <v>545</v>
      </c>
      <c r="B351" s="87"/>
      <c r="C351" s="150" t="s">
        <v>546</v>
      </c>
      <c r="D351" s="151"/>
      <c r="E351" s="151"/>
      <c r="F351" s="151"/>
      <c r="G351" s="152"/>
      <c r="H351" s="1" t="s">
        <v>475</v>
      </c>
      <c r="I351" s="2" t="s">
        <v>480</v>
      </c>
      <c r="J351" s="2" t="s">
        <v>480</v>
      </c>
      <c r="K351" s="2"/>
      <c r="L351" s="53"/>
      <c r="M351" s="53"/>
      <c r="N351" s="53"/>
      <c r="O351" s="53"/>
      <c r="P351" s="53"/>
      <c r="Q351" s="53"/>
      <c r="R351" s="53"/>
      <c r="S351" s="53"/>
      <c r="T351" s="53"/>
      <c r="U351" s="53"/>
      <c r="V351" s="53">
        <f>L351+N351+P351+R351+T351</f>
        <v>0</v>
      </c>
      <c r="W351" s="74">
        <f t="shared" si="69"/>
        <v>0</v>
      </c>
    </row>
    <row r="352" spans="1:23" s="3" customFormat="1" ht="8.25" customHeight="1" x14ac:dyDescent="0.2">
      <c r="A352" s="86" t="s">
        <v>547</v>
      </c>
      <c r="B352" s="87"/>
      <c r="C352" s="88" t="s">
        <v>551</v>
      </c>
      <c r="D352" s="89"/>
      <c r="E352" s="89"/>
      <c r="F352" s="89"/>
      <c r="G352" s="90"/>
      <c r="H352" s="1" t="s">
        <v>476</v>
      </c>
      <c r="I352" s="2"/>
      <c r="J352" s="2"/>
      <c r="K352" s="2"/>
      <c r="L352" s="53"/>
      <c r="M352" s="53"/>
      <c r="N352" s="53"/>
      <c r="O352" s="53"/>
      <c r="P352" s="53"/>
      <c r="Q352" s="53"/>
      <c r="R352" s="53"/>
      <c r="S352" s="53"/>
      <c r="T352" s="53"/>
      <c r="U352" s="53"/>
      <c r="V352" s="53">
        <f t="shared" si="68"/>
        <v>0</v>
      </c>
      <c r="W352" s="74">
        <f t="shared" si="69"/>
        <v>0</v>
      </c>
    </row>
    <row r="353" spans="1:29" s="3" customFormat="1" ht="24.75" customHeight="1" x14ac:dyDescent="0.2">
      <c r="A353" s="86" t="s">
        <v>548</v>
      </c>
      <c r="B353" s="87"/>
      <c r="C353" s="91" t="s">
        <v>552</v>
      </c>
      <c r="D353" s="92"/>
      <c r="E353" s="92"/>
      <c r="F353" s="92"/>
      <c r="G353" s="93"/>
      <c r="H353" s="1" t="s">
        <v>476</v>
      </c>
      <c r="I353" s="2"/>
      <c r="J353" s="2"/>
      <c r="K353" s="2"/>
      <c r="L353" s="53"/>
      <c r="M353" s="53"/>
      <c r="N353" s="53"/>
      <c r="O353" s="53"/>
      <c r="P353" s="53"/>
      <c r="Q353" s="53"/>
      <c r="R353" s="53"/>
      <c r="S353" s="53"/>
      <c r="T353" s="53"/>
      <c r="U353" s="53"/>
      <c r="V353" s="53">
        <f t="shared" si="68"/>
        <v>0</v>
      </c>
      <c r="W353" s="74">
        <f t="shared" si="69"/>
        <v>0</v>
      </c>
    </row>
    <row r="354" spans="1:29" s="3" customFormat="1" ht="24.75" customHeight="1" x14ac:dyDescent="0.2">
      <c r="A354" s="86" t="s">
        <v>549</v>
      </c>
      <c r="B354" s="87"/>
      <c r="C354" s="91" t="s">
        <v>553</v>
      </c>
      <c r="D354" s="92"/>
      <c r="E354" s="92"/>
      <c r="F354" s="92"/>
      <c r="G354" s="93"/>
      <c r="H354" s="1" t="s">
        <v>476</v>
      </c>
      <c r="I354" s="2"/>
      <c r="J354" s="2"/>
      <c r="K354" s="2"/>
      <c r="L354" s="53"/>
      <c r="M354" s="53"/>
      <c r="N354" s="53"/>
      <c r="O354" s="53"/>
      <c r="P354" s="53"/>
      <c r="Q354" s="53"/>
      <c r="R354" s="53"/>
      <c r="S354" s="53"/>
      <c r="T354" s="53"/>
      <c r="U354" s="53"/>
      <c r="V354" s="53">
        <f t="shared" si="68"/>
        <v>0</v>
      </c>
      <c r="W354" s="74">
        <f t="shared" si="69"/>
        <v>0</v>
      </c>
    </row>
    <row r="355" spans="1:29" s="3" customFormat="1" ht="16.5" customHeight="1" x14ac:dyDescent="0.2">
      <c r="A355" s="86" t="s">
        <v>550</v>
      </c>
      <c r="B355" s="87"/>
      <c r="C355" s="91" t="s">
        <v>554</v>
      </c>
      <c r="D355" s="92"/>
      <c r="E355" s="92"/>
      <c r="F355" s="92"/>
      <c r="G355" s="93"/>
      <c r="H355" s="1" t="s">
        <v>476</v>
      </c>
      <c r="I355" s="2"/>
      <c r="J355" s="2"/>
      <c r="K355" s="2"/>
      <c r="L355" s="53"/>
      <c r="M355" s="53"/>
      <c r="N355" s="53"/>
      <c r="O355" s="53"/>
      <c r="P355" s="53"/>
      <c r="Q355" s="53"/>
      <c r="R355" s="53"/>
      <c r="S355" s="53"/>
      <c r="T355" s="53"/>
      <c r="U355" s="53"/>
      <c r="V355" s="53">
        <f t="shared" si="68"/>
        <v>0</v>
      </c>
      <c r="W355" s="74">
        <f t="shared" si="69"/>
        <v>0</v>
      </c>
    </row>
    <row r="356" spans="1:29" s="3" customFormat="1" ht="8.25" customHeight="1" x14ac:dyDescent="0.2">
      <c r="A356" s="86" t="s">
        <v>555</v>
      </c>
      <c r="B356" s="87"/>
      <c r="C356" s="88" t="s">
        <v>563</v>
      </c>
      <c r="D356" s="89"/>
      <c r="E356" s="89"/>
      <c r="F356" s="89"/>
      <c r="G356" s="90"/>
      <c r="H356" s="1" t="s">
        <v>498</v>
      </c>
      <c r="I356" s="2"/>
      <c r="J356" s="2"/>
      <c r="K356" s="2"/>
      <c r="L356" s="53"/>
      <c r="M356" s="53"/>
      <c r="N356" s="53"/>
      <c r="O356" s="53"/>
      <c r="P356" s="53"/>
      <c r="Q356" s="53"/>
      <c r="R356" s="53"/>
      <c r="S356" s="53"/>
      <c r="T356" s="53"/>
      <c r="U356" s="53"/>
      <c r="V356" s="53">
        <f t="shared" si="68"/>
        <v>0</v>
      </c>
      <c r="W356" s="74">
        <f t="shared" si="69"/>
        <v>0</v>
      </c>
    </row>
    <row r="357" spans="1:29" s="3" customFormat="1" ht="16.5" customHeight="1" x14ac:dyDescent="0.2">
      <c r="A357" s="86" t="s">
        <v>556</v>
      </c>
      <c r="B357" s="87"/>
      <c r="C357" s="91" t="s">
        <v>672</v>
      </c>
      <c r="D357" s="92"/>
      <c r="E357" s="92"/>
      <c r="F357" s="92"/>
      <c r="G357" s="93"/>
      <c r="H357" s="1" t="s">
        <v>498</v>
      </c>
      <c r="I357" s="2"/>
      <c r="J357" s="2"/>
      <c r="K357" s="2"/>
      <c r="L357" s="53"/>
      <c r="M357" s="53"/>
      <c r="N357" s="53"/>
      <c r="O357" s="53"/>
      <c r="P357" s="53"/>
      <c r="Q357" s="53"/>
      <c r="R357" s="53"/>
      <c r="S357" s="53"/>
      <c r="T357" s="53"/>
      <c r="U357" s="53"/>
      <c r="V357" s="53"/>
      <c r="W357" s="74">
        <f t="shared" si="69"/>
        <v>0</v>
      </c>
    </row>
    <row r="358" spans="1:29" s="3" customFormat="1" ht="8.1" customHeight="1" x14ac:dyDescent="0.2">
      <c r="A358" s="86" t="s">
        <v>557</v>
      </c>
      <c r="B358" s="87"/>
      <c r="C358" s="91" t="s">
        <v>564</v>
      </c>
      <c r="D358" s="92"/>
      <c r="E358" s="92"/>
      <c r="F358" s="92"/>
      <c r="G358" s="93"/>
      <c r="H358" s="1" t="s">
        <v>498</v>
      </c>
      <c r="I358" s="2"/>
      <c r="J358" s="2"/>
      <c r="K358" s="2"/>
      <c r="L358" s="53"/>
      <c r="M358" s="53"/>
      <c r="N358" s="53"/>
      <c r="O358" s="53"/>
      <c r="P358" s="53"/>
      <c r="Q358" s="53"/>
      <c r="R358" s="53"/>
      <c r="S358" s="53"/>
      <c r="T358" s="53"/>
      <c r="U358" s="53"/>
      <c r="V358" s="53"/>
      <c r="W358" s="74">
        <f t="shared" si="69"/>
        <v>0</v>
      </c>
    </row>
    <row r="359" spans="1:29" s="3" customFormat="1" ht="16.5" customHeight="1" x14ac:dyDescent="0.2">
      <c r="A359" s="86" t="s">
        <v>558</v>
      </c>
      <c r="B359" s="87"/>
      <c r="C359" s="88" t="s">
        <v>676</v>
      </c>
      <c r="D359" s="89"/>
      <c r="E359" s="89"/>
      <c r="F359" s="89"/>
      <c r="G359" s="90"/>
      <c r="H359" s="1" t="s">
        <v>5</v>
      </c>
      <c r="I359" s="2"/>
      <c r="J359" s="2"/>
      <c r="K359" s="2"/>
      <c r="L359" s="53"/>
      <c r="M359" s="53"/>
      <c r="N359" s="53"/>
      <c r="O359" s="53"/>
      <c r="P359" s="53"/>
      <c r="Q359" s="53"/>
      <c r="R359" s="53"/>
      <c r="S359" s="53"/>
      <c r="T359" s="53"/>
      <c r="U359" s="53"/>
      <c r="V359" s="53"/>
      <c r="W359" s="74">
        <f t="shared" si="69"/>
        <v>0</v>
      </c>
    </row>
    <row r="360" spans="1:29" s="3" customFormat="1" ht="8.1" customHeight="1" x14ac:dyDescent="0.2">
      <c r="A360" s="86" t="s">
        <v>559</v>
      </c>
      <c r="B360" s="87"/>
      <c r="C360" s="91" t="s">
        <v>82</v>
      </c>
      <c r="D360" s="92"/>
      <c r="E360" s="92"/>
      <c r="F360" s="92"/>
      <c r="G360" s="93"/>
      <c r="H360" s="1" t="s">
        <v>5</v>
      </c>
      <c r="I360" s="2"/>
      <c r="J360" s="2"/>
      <c r="K360" s="2"/>
      <c r="L360" s="53"/>
      <c r="M360" s="53"/>
      <c r="N360" s="53"/>
      <c r="O360" s="53"/>
      <c r="P360" s="53"/>
      <c r="Q360" s="53"/>
      <c r="R360" s="53"/>
      <c r="S360" s="53"/>
      <c r="T360" s="53"/>
      <c r="U360" s="53"/>
      <c r="V360" s="53"/>
      <c r="W360" s="74">
        <f t="shared" si="69"/>
        <v>0</v>
      </c>
    </row>
    <row r="361" spans="1:29" s="3" customFormat="1" ht="8.1" customHeight="1" x14ac:dyDescent="0.2">
      <c r="A361" s="86" t="s">
        <v>560</v>
      </c>
      <c r="B361" s="87"/>
      <c r="C361" s="91" t="s">
        <v>83</v>
      </c>
      <c r="D361" s="92"/>
      <c r="E361" s="92"/>
      <c r="F361" s="92"/>
      <c r="G361" s="93"/>
      <c r="H361" s="1" t="s">
        <v>5</v>
      </c>
      <c r="I361" s="2"/>
      <c r="J361" s="2"/>
      <c r="K361" s="2"/>
      <c r="L361" s="53"/>
      <c r="M361" s="53"/>
      <c r="N361" s="53"/>
      <c r="O361" s="53"/>
      <c r="P361" s="53"/>
      <c r="Q361" s="53"/>
      <c r="R361" s="53"/>
      <c r="S361" s="53"/>
      <c r="T361" s="53"/>
      <c r="U361" s="53"/>
      <c r="V361" s="53"/>
      <c r="W361" s="74">
        <f t="shared" si="69"/>
        <v>0</v>
      </c>
    </row>
    <row r="362" spans="1:29" s="3" customFormat="1" ht="9" customHeight="1" thickBot="1" x14ac:dyDescent="0.25">
      <c r="A362" s="146" t="s">
        <v>561</v>
      </c>
      <c r="B362" s="147"/>
      <c r="C362" s="174" t="s">
        <v>565</v>
      </c>
      <c r="D362" s="175"/>
      <c r="E362" s="175"/>
      <c r="F362" s="175"/>
      <c r="G362" s="176"/>
      <c r="H362" s="22" t="s">
        <v>562</v>
      </c>
      <c r="I362" s="23"/>
      <c r="J362" s="23">
        <v>53.5</v>
      </c>
      <c r="K362" s="23"/>
      <c r="L362" s="23">
        <v>64</v>
      </c>
      <c r="M362" s="23">
        <f>L362</f>
        <v>64</v>
      </c>
      <c r="N362" s="23">
        <v>67</v>
      </c>
      <c r="O362" s="23"/>
      <c r="P362" s="23">
        <v>69</v>
      </c>
      <c r="Q362" s="23"/>
      <c r="R362" s="23">
        <v>71</v>
      </c>
      <c r="S362" s="23"/>
      <c r="T362" s="23">
        <v>72</v>
      </c>
      <c r="U362" s="23"/>
      <c r="V362" s="23"/>
      <c r="W362" s="75">
        <f t="shared" si="69"/>
        <v>64</v>
      </c>
    </row>
    <row r="363" spans="1:29" s="3" customFormat="1" ht="13.5" customHeight="1" thickBot="1" x14ac:dyDescent="0.25">
      <c r="A363" s="133" t="s">
        <v>566</v>
      </c>
      <c r="B363" s="134"/>
      <c r="C363" s="134"/>
      <c r="D363" s="134"/>
      <c r="E363" s="134"/>
      <c r="F363" s="134"/>
      <c r="G363" s="134"/>
      <c r="H363" s="134"/>
      <c r="I363" s="134"/>
      <c r="J363" s="134"/>
      <c r="K363" s="134"/>
      <c r="L363" s="134"/>
      <c r="M363" s="134"/>
      <c r="N363" s="134"/>
      <c r="O363" s="134"/>
      <c r="P363" s="134"/>
      <c r="Q363" s="134"/>
      <c r="R363" s="134"/>
      <c r="S363" s="134"/>
      <c r="T363" s="134"/>
      <c r="U363" s="134"/>
      <c r="V363" s="134"/>
      <c r="W363" s="135"/>
    </row>
    <row r="364" spans="1:29" s="28" customFormat="1" ht="18" customHeight="1" x14ac:dyDescent="0.15">
      <c r="A364" s="136" t="s">
        <v>7</v>
      </c>
      <c r="B364" s="137"/>
      <c r="C364" s="140" t="s">
        <v>8</v>
      </c>
      <c r="D364" s="141"/>
      <c r="E364" s="141"/>
      <c r="F364" s="141"/>
      <c r="G364" s="137"/>
      <c r="H364" s="144" t="s">
        <v>1</v>
      </c>
      <c r="I364" s="27">
        <v>2018</v>
      </c>
      <c r="J364" s="115">
        <v>2019</v>
      </c>
      <c r="K364" s="116"/>
      <c r="L364" s="115">
        <v>2020</v>
      </c>
      <c r="M364" s="116"/>
      <c r="N364" s="115">
        <v>2021</v>
      </c>
      <c r="O364" s="149"/>
      <c r="P364" s="149">
        <v>2022</v>
      </c>
      <c r="Q364" s="116"/>
      <c r="R364" s="115">
        <v>2023</v>
      </c>
      <c r="S364" s="116"/>
      <c r="T364" s="115">
        <v>2024</v>
      </c>
      <c r="U364" s="116"/>
      <c r="V364" s="115" t="s">
        <v>9</v>
      </c>
      <c r="W364" s="148"/>
    </row>
    <row r="365" spans="1:29" s="28" customFormat="1" ht="48.75" customHeight="1" x14ac:dyDescent="0.15">
      <c r="A365" s="138"/>
      <c r="B365" s="139"/>
      <c r="C365" s="142"/>
      <c r="D365" s="143"/>
      <c r="E365" s="143"/>
      <c r="F365" s="143"/>
      <c r="G365" s="139"/>
      <c r="H365" s="145"/>
      <c r="I365" s="29" t="s">
        <v>2</v>
      </c>
      <c r="J365" s="29" t="s">
        <v>3</v>
      </c>
      <c r="K365" s="29" t="s">
        <v>6</v>
      </c>
      <c r="L365" s="29" t="s">
        <v>4</v>
      </c>
      <c r="M365" s="29" t="s">
        <v>6</v>
      </c>
      <c r="N365" s="29" t="s">
        <v>4</v>
      </c>
      <c r="O365" s="29" t="s">
        <v>10</v>
      </c>
      <c r="P365" s="29" t="s">
        <v>4</v>
      </c>
      <c r="Q365" s="29" t="s">
        <v>10</v>
      </c>
      <c r="R365" s="29" t="s">
        <v>4</v>
      </c>
      <c r="S365" s="29" t="s">
        <v>10</v>
      </c>
      <c r="T365" s="29" t="s">
        <v>4</v>
      </c>
      <c r="U365" s="29" t="s">
        <v>10</v>
      </c>
      <c r="V365" s="29" t="s">
        <v>4</v>
      </c>
      <c r="W365" s="76" t="s">
        <v>10</v>
      </c>
      <c r="X365" s="3"/>
    </row>
    <row r="366" spans="1:29" s="32" customFormat="1" ht="9" thickBot="1" x14ac:dyDescent="0.25">
      <c r="A366" s="159">
        <v>1</v>
      </c>
      <c r="B366" s="160"/>
      <c r="C366" s="172">
        <v>2</v>
      </c>
      <c r="D366" s="173"/>
      <c r="E366" s="173"/>
      <c r="F366" s="173"/>
      <c r="G366" s="160"/>
      <c r="H366" s="30">
        <v>3</v>
      </c>
      <c r="I366" s="31">
        <v>5</v>
      </c>
      <c r="J366" s="31">
        <v>6</v>
      </c>
      <c r="K366" s="31"/>
      <c r="L366" s="31">
        <v>7</v>
      </c>
      <c r="M366" s="31">
        <v>8</v>
      </c>
      <c r="N366" s="31"/>
      <c r="O366" s="31"/>
      <c r="P366" s="31"/>
      <c r="Q366" s="31"/>
      <c r="R366" s="31">
        <v>9</v>
      </c>
      <c r="S366" s="31">
        <v>10</v>
      </c>
      <c r="T366" s="31">
        <v>11</v>
      </c>
      <c r="U366" s="31">
        <v>12</v>
      </c>
      <c r="V366" s="31">
        <v>13</v>
      </c>
      <c r="W366" s="30">
        <v>14</v>
      </c>
      <c r="X366" s="3"/>
      <c r="Y366" s="3"/>
      <c r="Z366" s="3"/>
      <c r="AA366" s="3"/>
      <c r="AB366" s="3"/>
      <c r="AC366" s="3"/>
    </row>
    <row r="367" spans="1:29" s="3" customFormat="1" ht="21" customHeight="1" x14ac:dyDescent="0.2">
      <c r="A367" s="164" t="s">
        <v>567</v>
      </c>
      <c r="B367" s="165"/>
      <c r="C367" s="165"/>
      <c r="D367" s="165"/>
      <c r="E367" s="165"/>
      <c r="F367" s="165"/>
      <c r="G367" s="166"/>
      <c r="H367" s="1" t="s">
        <v>5</v>
      </c>
      <c r="I367" s="2">
        <v>145.75</v>
      </c>
      <c r="J367" s="2">
        <v>305.22000000000003</v>
      </c>
      <c r="K367" s="4">
        <f>SUM(K368,K425)</f>
        <v>379.90000000000003</v>
      </c>
      <c r="L367" s="50">
        <v>195.10568326092098</v>
      </c>
      <c r="M367" s="50">
        <f>SUM(M368,M425)</f>
        <v>413.066239956</v>
      </c>
      <c r="N367" s="50">
        <v>11.034004016439702</v>
      </c>
      <c r="O367" s="50">
        <f>SUM(O368,O425)</f>
        <v>314.03848077558018</v>
      </c>
      <c r="P367" s="50">
        <v>44.378820889211354</v>
      </c>
      <c r="Q367" s="50">
        <f t="shared" ref="Q367" si="72">Q369+Q393</f>
        <v>153.23697340650233</v>
      </c>
      <c r="R367" s="50">
        <v>57.129820233331742</v>
      </c>
      <c r="S367" s="50">
        <f t="shared" ref="S367" si="73">S369+S393</f>
        <v>153.93527911808957</v>
      </c>
      <c r="T367" s="50">
        <v>62.419594921056955</v>
      </c>
      <c r="U367" s="50">
        <f t="shared" ref="U367" si="74">U369+U393</f>
        <v>195.29205549024351</v>
      </c>
      <c r="V367" s="50">
        <f>L367+N367+P367+R367+T367</f>
        <v>370.06792332096074</v>
      </c>
      <c r="W367" s="61">
        <f>M367+O367+Q367+S367+U367</f>
        <v>1229.5690287464156</v>
      </c>
      <c r="X367" s="37"/>
      <c r="Y367" s="196">
        <v>1229.5690287464158</v>
      </c>
      <c r="Z367" s="196">
        <v>0</v>
      </c>
      <c r="AA367" s="196">
        <v>0</v>
      </c>
      <c r="AB367" s="196">
        <v>306.95821716647129</v>
      </c>
      <c r="AC367" s="196">
        <v>922.61081157994431</v>
      </c>
    </row>
    <row r="368" spans="1:29" s="3" customFormat="1" ht="9" customHeight="1" x14ac:dyDescent="0.2">
      <c r="A368" s="86" t="s">
        <v>25</v>
      </c>
      <c r="B368" s="87"/>
      <c r="C368" s="150" t="s">
        <v>580</v>
      </c>
      <c r="D368" s="151"/>
      <c r="E368" s="151"/>
      <c r="F368" s="151"/>
      <c r="G368" s="152"/>
      <c r="H368" s="1" t="s">
        <v>5</v>
      </c>
      <c r="I368" s="38">
        <v>145.75</v>
      </c>
      <c r="J368" s="38">
        <v>305.22000000000003</v>
      </c>
      <c r="K368" s="38">
        <f>K369+K393+K421+K422</f>
        <v>219.93</v>
      </c>
      <c r="L368" s="50">
        <v>24.467469170921003</v>
      </c>
      <c r="M368" s="50">
        <f>M369+M393+M421+M422</f>
        <v>242.42371583000002</v>
      </c>
      <c r="N368" s="50">
        <v>11.034004016439702</v>
      </c>
      <c r="O368" s="50">
        <f>O369+O393+O421+O422</f>
        <v>314.03848077558018</v>
      </c>
      <c r="P368" s="50">
        <v>44.378820889211354</v>
      </c>
      <c r="Q368" s="50">
        <f>Q369+Q393+Q421+Q422</f>
        <v>153.23697340650233</v>
      </c>
      <c r="R368" s="50">
        <v>57.129820233331742</v>
      </c>
      <c r="S368" s="50">
        <f>S369+S393+S421+S422</f>
        <v>153.93527911808957</v>
      </c>
      <c r="T368" s="50">
        <v>80.781470033913408</v>
      </c>
      <c r="U368" s="50">
        <f>U369+U393+U421+U422</f>
        <v>195.29205549024351</v>
      </c>
      <c r="V368" s="50">
        <v>1000.3160195199084</v>
      </c>
      <c r="W368" s="61">
        <f t="shared" ref="W368:W431" si="75">M368+O368+Q368+S368+U368</f>
        <v>1058.9265046204155</v>
      </c>
      <c r="X368" s="37"/>
      <c r="Y368" s="37"/>
      <c r="Z368" s="37"/>
      <c r="AA368" s="37"/>
      <c r="AB368" s="37"/>
    </row>
    <row r="369" spans="1:23" s="3" customFormat="1" x14ac:dyDescent="0.2">
      <c r="A369" s="86" t="s">
        <v>11</v>
      </c>
      <c r="B369" s="87"/>
      <c r="C369" s="88" t="s">
        <v>613</v>
      </c>
      <c r="D369" s="89"/>
      <c r="E369" s="89"/>
      <c r="F369" s="89"/>
      <c r="G369" s="90"/>
      <c r="H369" s="1" t="s">
        <v>5</v>
      </c>
      <c r="I369" s="38">
        <v>5</v>
      </c>
      <c r="J369" s="38">
        <v>71.53</v>
      </c>
      <c r="K369" s="38">
        <f>K378</f>
        <v>67.900000000000006</v>
      </c>
      <c r="L369" s="50">
        <v>0</v>
      </c>
      <c r="M369" s="50">
        <f t="shared" ref="M369" si="76">M378</f>
        <v>216.88656800000001</v>
      </c>
      <c r="N369" s="50">
        <v>0</v>
      </c>
      <c r="O369" s="50">
        <f>O376+O378</f>
        <v>198.03839099999996</v>
      </c>
      <c r="P369" s="50">
        <v>0</v>
      </c>
      <c r="Q369" s="50">
        <f t="shared" ref="Q369:V369" si="77">Q376+Q378</f>
        <v>108.97796</v>
      </c>
      <c r="R369" s="50">
        <v>0</v>
      </c>
      <c r="S369" s="50">
        <f t="shared" si="77"/>
        <v>96.805458884757812</v>
      </c>
      <c r="T369" s="50">
        <v>0</v>
      </c>
      <c r="U369" s="50">
        <f>U376+U378</f>
        <v>128.37246056918656</v>
      </c>
      <c r="V369" s="50">
        <f t="shared" si="77"/>
        <v>0</v>
      </c>
      <c r="W369" s="61">
        <f>W376+W378</f>
        <v>749.08083845394435</v>
      </c>
    </row>
    <row r="370" spans="1:23" s="3" customFormat="1" ht="16.5" customHeight="1" x14ac:dyDescent="0.2">
      <c r="A370" s="86" t="s">
        <v>12</v>
      </c>
      <c r="B370" s="87"/>
      <c r="C370" s="91" t="s">
        <v>614</v>
      </c>
      <c r="D370" s="92"/>
      <c r="E370" s="92"/>
      <c r="F370" s="92"/>
      <c r="G370" s="93"/>
      <c r="H370" s="1" t="s">
        <v>5</v>
      </c>
      <c r="I370" s="38">
        <v>0</v>
      </c>
      <c r="J370" s="38">
        <v>0</v>
      </c>
      <c r="K370" s="38">
        <v>0</v>
      </c>
      <c r="L370" s="50">
        <v>0</v>
      </c>
      <c r="M370" s="50">
        <v>0</v>
      </c>
      <c r="N370" s="50">
        <v>0</v>
      </c>
      <c r="O370" s="50">
        <v>0</v>
      </c>
      <c r="P370" s="50">
        <v>0</v>
      </c>
      <c r="Q370" s="50">
        <v>0</v>
      </c>
      <c r="R370" s="50">
        <v>0</v>
      </c>
      <c r="S370" s="50">
        <v>0</v>
      </c>
      <c r="T370" s="50">
        <v>0</v>
      </c>
      <c r="U370" s="50">
        <v>0</v>
      </c>
      <c r="V370" s="50">
        <v>0</v>
      </c>
      <c r="W370" s="61">
        <f t="shared" si="75"/>
        <v>0</v>
      </c>
    </row>
    <row r="371" spans="1:23" s="3" customFormat="1" x14ac:dyDescent="0.2">
      <c r="A371" s="86" t="s">
        <v>568</v>
      </c>
      <c r="B371" s="87"/>
      <c r="C371" s="127" t="s">
        <v>615</v>
      </c>
      <c r="D371" s="128"/>
      <c r="E371" s="128"/>
      <c r="F371" s="128"/>
      <c r="G371" s="129"/>
      <c r="H371" s="1" t="s">
        <v>5</v>
      </c>
      <c r="I371" s="38">
        <v>0</v>
      </c>
      <c r="J371" s="38">
        <v>0</v>
      </c>
      <c r="K371" s="38">
        <v>0</v>
      </c>
      <c r="L371" s="50">
        <v>0</v>
      </c>
      <c r="M371" s="50">
        <v>0</v>
      </c>
      <c r="N371" s="50">
        <v>0</v>
      </c>
      <c r="O371" s="50">
        <v>0</v>
      </c>
      <c r="P371" s="50">
        <v>0</v>
      </c>
      <c r="Q371" s="50">
        <v>0</v>
      </c>
      <c r="R371" s="50">
        <v>0</v>
      </c>
      <c r="S371" s="50">
        <v>0</v>
      </c>
      <c r="T371" s="50">
        <v>0</v>
      </c>
      <c r="U371" s="50">
        <v>0</v>
      </c>
      <c r="V371" s="50">
        <v>0</v>
      </c>
      <c r="W371" s="61">
        <f t="shared" si="75"/>
        <v>0</v>
      </c>
    </row>
    <row r="372" spans="1:23" s="3" customFormat="1" ht="16.5" customHeight="1" x14ac:dyDescent="0.2">
      <c r="A372" s="86" t="s">
        <v>569</v>
      </c>
      <c r="B372" s="87"/>
      <c r="C372" s="153" t="s">
        <v>47</v>
      </c>
      <c r="D372" s="154"/>
      <c r="E372" s="154"/>
      <c r="F372" s="154"/>
      <c r="G372" s="155"/>
      <c r="H372" s="1" t="s">
        <v>5</v>
      </c>
      <c r="I372" s="38">
        <v>0</v>
      </c>
      <c r="J372" s="38">
        <v>0</v>
      </c>
      <c r="K372" s="38">
        <v>0</v>
      </c>
      <c r="L372" s="50">
        <v>0</v>
      </c>
      <c r="M372" s="50">
        <v>0</v>
      </c>
      <c r="N372" s="50">
        <v>0</v>
      </c>
      <c r="O372" s="50">
        <v>0</v>
      </c>
      <c r="P372" s="50">
        <v>0</v>
      </c>
      <c r="Q372" s="50">
        <v>0</v>
      </c>
      <c r="R372" s="50">
        <v>0</v>
      </c>
      <c r="S372" s="50">
        <v>0</v>
      </c>
      <c r="T372" s="50">
        <v>0</v>
      </c>
      <c r="U372" s="50">
        <v>0</v>
      </c>
      <c r="V372" s="50">
        <v>0</v>
      </c>
      <c r="W372" s="61">
        <f t="shared" si="75"/>
        <v>0</v>
      </c>
    </row>
    <row r="373" spans="1:23" s="3" customFormat="1" ht="16.5" customHeight="1" x14ac:dyDescent="0.2">
      <c r="A373" s="86" t="s">
        <v>570</v>
      </c>
      <c r="B373" s="87"/>
      <c r="C373" s="153" t="s">
        <v>52</v>
      </c>
      <c r="D373" s="154"/>
      <c r="E373" s="154"/>
      <c r="F373" s="154"/>
      <c r="G373" s="155"/>
      <c r="H373" s="1" t="s">
        <v>5</v>
      </c>
      <c r="I373" s="38">
        <v>0</v>
      </c>
      <c r="J373" s="38">
        <v>0</v>
      </c>
      <c r="K373" s="38">
        <v>0</v>
      </c>
      <c r="L373" s="50">
        <v>0</v>
      </c>
      <c r="M373" s="50">
        <v>0</v>
      </c>
      <c r="N373" s="50">
        <v>0</v>
      </c>
      <c r="O373" s="50">
        <v>0</v>
      </c>
      <c r="P373" s="50">
        <v>0</v>
      </c>
      <c r="Q373" s="50">
        <v>0</v>
      </c>
      <c r="R373" s="50">
        <v>0</v>
      </c>
      <c r="S373" s="50">
        <v>0</v>
      </c>
      <c r="T373" s="50">
        <v>0</v>
      </c>
      <c r="U373" s="50">
        <v>0</v>
      </c>
      <c r="V373" s="50">
        <v>0</v>
      </c>
      <c r="W373" s="61">
        <f t="shared" si="75"/>
        <v>0</v>
      </c>
    </row>
    <row r="374" spans="1:23" s="3" customFormat="1" ht="16.5" customHeight="1" x14ac:dyDescent="0.2">
      <c r="A374" s="86" t="s">
        <v>571</v>
      </c>
      <c r="B374" s="87"/>
      <c r="C374" s="153" t="s">
        <v>53</v>
      </c>
      <c r="D374" s="154"/>
      <c r="E374" s="154"/>
      <c r="F374" s="154"/>
      <c r="G374" s="155"/>
      <c r="H374" s="1" t="s">
        <v>5</v>
      </c>
      <c r="I374" s="38">
        <v>0</v>
      </c>
      <c r="J374" s="38">
        <v>0</v>
      </c>
      <c r="K374" s="38">
        <v>0</v>
      </c>
      <c r="L374" s="50">
        <v>0</v>
      </c>
      <c r="M374" s="50">
        <v>0</v>
      </c>
      <c r="N374" s="50">
        <v>0</v>
      </c>
      <c r="O374" s="50">
        <v>0</v>
      </c>
      <c r="P374" s="50">
        <v>0</v>
      </c>
      <c r="Q374" s="50">
        <v>0</v>
      </c>
      <c r="R374" s="50">
        <v>0</v>
      </c>
      <c r="S374" s="50">
        <v>0</v>
      </c>
      <c r="T374" s="50">
        <v>0</v>
      </c>
      <c r="U374" s="50">
        <v>0</v>
      </c>
      <c r="V374" s="50">
        <v>0</v>
      </c>
      <c r="W374" s="61">
        <f t="shared" si="75"/>
        <v>0</v>
      </c>
    </row>
    <row r="375" spans="1:23" s="3" customFormat="1" x14ac:dyDescent="0.2">
      <c r="A375" s="86" t="s">
        <v>572</v>
      </c>
      <c r="B375" s="87"/>
      <c r="C375" s="127" t="s">
        <v>616</v>
      </c>
      <c r="D375" s="128"/>
      <c r="E375" s="128"/>
      <c r="F375" s="128"/>
      <c r="G375" s="129"/>
      <c r="H375" s="1" t="s">
        <v>5</v>
      </c>
      <c r="I375" s="38">
        <v>0</v>
      </c>
      <c r="J375" s="38">
        <v>0</v>
      </c>
      <c r="K375" s="38">
        <v>0</v>
      </c>
      <c r="L375" s="50">
        <v>0</v>
      </c>
      <c r="M375" s="50">
        <v>0</v>
      </c>
      <c r="N375" s="50">
        <v>0</v>
      </c>
      <c r="O375" s="50">
        <v>0</v>
      </c>
      <c r="P375" s="50">
        <v>0</v>
      </c>
      <c r="Q375" s="50">
        <v>0</v>
      </c>
      <c r="R375" s="50">
        <v>0</v>
      </c>
      <c r="S375" s="50">
        <v>0</v>
      </c>
      <c r="T375" s="50">
        <v>0</v>
      </c>
      <c r="U375" s="50">
        <v>0</v>
      </c>
      <c r="V375" s="50">
        <v>0</v>
      </c>
      <c r="W375" s="61">
        <f t="shared" si="75"/>
        <v>0</v>
      </c>
    </row>
    <row r="376" spans="1:23" s="63" customFormat="1" x14ac:dyDescent="0.2">
      <c r="A376" s="167" t="s">
        <v>573</v>
      </c>
      <c r="B376" s="168"/>
      <c r="C376" s="169" t="s">
        <v>617</v>
      </c>
      <c r="D376" s="170"/>
      <c r="E376" s="170"/>
      <c r="F376" s="170"/>
      <c r="G376" s="171"/>
      <c r="H376" s="62" t="s">
        <v>5</v>
      </c>
      <c r="I376" s="43">
        <v>0</v>
      </c>
      <c r="J376" s="43">
        <v>0</v>
      </c>
      <c r="K376" s="43">
        <v>0</v>
      </c>
      <c r="L376" s="58">
        <v>0</v>
      </c>
      <c r="M376" s="58">
        <v>0</v>
      </c>
      <c r="N376" s="58">
        <v>0</v>
      </c>
      <c r="O376" s="58">
        <v>0</v>
      </c>
      <c r="P376" s="58">
        <v>0</v>
      </c>
      <c r="Q376" s="58">
        <v>0</v>
      </c>
      <c r="R376" s="58">
        <v>0</v>
      </c>
      <c r="S376" s="58">
        <v>0</v>
      </c>
      <c r="T376" s="58">
        <v>0</v>
      </c>
      <c r="U376" s="58">
        <v>0</v>
      </c>
      <c r="V376" s="58">
        <v>0</v>
      </c>
      <c r="W376" s="77">
        <f t="shared" si="75"/>
        <v>0</v>
      </c>
    </row>
    <row r="377" spans="1:23" s="3" customFormat="1" x14ac:dyDescent="0.2">
      <c r="A377" s="86" t="s">
        <v>574</v>
      </c>
      <c r="B377" s="87"/>
      <c r="C377" s="127" t="s">
        <v>618</v>
      </c>
      <c r="D377" s="128"/>
      <c r="E377" s="128"/>
      <c r="F377" s="128"/>
      <c r="G377" s="129"/>
      <c r="H377" s="1" t="s">
        <v>5</v>
      </c>
      <c r="I377" s="38">
        <v>0</v>
      </c>
      <c r="J377" s="38">
        <v>0</v>
      </c>
      <c r="K377" s="38">
        <v>0</v>
      </c>
      <c r="L377" s="50">
        <v>0</v>
      </c>
      <c r="M377" s="50">
        <v>0</v>
      </c>
      <c r="N377" s="50">
        <v>0</v>
      </c>
      <c r="O377" s="50">
        <v>0</v>
      </c>
      <c r="P377" s="50">
        <v>0</v>
      </c>
      <c r="Q377" s="50">
        <v>0</v>
      </c>
      <c r="R377" s="50">
        <v>0</v>
      </c>
      <c r="S377" s="50">
        <v>0</v>
      </c>
      <c r="T377" s="50">
        <v>0</v>
      </c>
      <c r="U377" s="50">
        <v>0</v>
      </c>
      <c r="V377" s="50">
        <v>0</v>
      </c>
      <c r="W377" s="61">
        <f t="shared" si="75"/>
        <v>0</v>
      </c>
    </row>
    <row r="378" spans="1:23" s="3" customFormat="1" x14ac:dyDescent="0.2">
      <c r="A378" s="86" t="s">
        <v>575</v>
      </c>
      <c r="B378" s="87"/>
      <c r="C378" s="127" t="s">
        <v>619</v>
      </c>
      <c r="D378" s="128"/>
      <c r="E378" s="128"/>
      <c r="F378" s="128"/>
      <c r="G378" s="129"/>
      <c r="H378" s="1" t="s">
        <v>5</v>
      </c>
      <c r="I378" s="38">
        <v>5</v>
      </c>
      <c r="J378" s="38">
        <v>71.53</v>
      </c>
      <c r="K378" s="38">
        <v>67.900000000000006</v>
      </c>
      <c r="L378" s="50">
        <v>0</v>
      </c>
      <c r="M378" s="50">
        <f>M381</f>
        <v>216.88656800000001</v>
      </c>
      <c r="N378" s="50">
        <v>0</v>
      </c>
      <c r="O378" s="50">
        <f>O381</f>
        <v>198.03839099999996</v>
      </c>
      <c r="P378" s="50">
        <v>0</v>
      </c>
      <c r="Q378" s="50">
        <f t="shared" ref="Q378:V378" si="78">Q381</f>
        <v>108.97796</v>
      </c>
      <c r="R378" s="50">
        <v>0</v>
      </c>
      <c r="S378" s="50">
        <f t="shared" ref="S378:U378" si="79">S381</f>
        <v>96.805458884757812</v>
      </c>
      <c r="T378" s="50">
        <v>0</v>
      </c>
      <c r="U378" s="50">
        <f t="shared" si="79"/>
        <v>128.37246056918656</v>
      </c>
      <c r="V378" s="50">
        <f t="shared" si="78"/>
        <v>0</v>
      </c>
      <c r="W378" s="61">
        <f t="shared" si="75"/>
        <v>749.08083845394435</v>
      </c>
    </row>
    <row r="379" spans="1:23" s="3" customFormat="1" ht="16.5" customHeight="1" x14ac:dyDescent="0.2">
      <c r="A379" s="86" t="s">
        <v>576</v>
      </c>
      <c r="B379" s="87"/>
      <c r="C379" s="153" t="s">
        <v>620</v>
      </c>
      <c r="D379" s="154"/>
      <c r="E379" s="154"/>
      <c r="F379" s="154"/>
      <c r="G379" s="155"/>
      <c r="H379" s="1" t="s">
        <v>5</v>
      </c>
      <c r="I379" s="38">
        <v>0</v>
      </c>
      <c r="J379" s="38">
        <v>0</v>
      </c>
      <c r="K379" s="38">
        <v>0</v>
      </c>
      <c r="L379" s="50">
        <v>0</v>
      </c>
      <c r="M379" s="50">
        <v>0</v>
      </c>
      <c r="N379" s="50">
        <v>0</v>
      </c>
      <c r="O379" s="50">
        <v>0</v>
      </c>
      <c r="P379" s="50">
        <v>0</v>
      </c>
      <c r="Q379" s="50">
        <v>0</v>
      </c>
      <c r="R379" s="50">
        <v>0</v>
      </c>
      <c r="S379" s="50">
        <v>0</v>
      </c>
      <c r="T379" s="50">
        <v>0</v>
      </c>
      <c r="U379" s="50">
        <v>0</v>
      </c>
      <c r="V379" s="50">
        <v>0</v>
      </c>
      <c r="W379" s="61">
        <f t="shared" si="75"/>
        <v>0</v>
      </c>
    </row>
    <row r="380" spans="1:23" s="3" customFormat="1" x14ac:dyDescent="0.2">
      <c r="A380" s="86" t="s">
        <v>577</v>
      </c>
      <c r="B380" s="87"/>
      <c r="C380" s="156" t="s">
        <v>621</v>
      </c>
      <c r="D380" s="157"/>
      <c r="E380" s="157"/>
      <c r="F380" s="157"/>
      <c r="G380" s="158"/>
      <c r="H380" s="1" t="s">
        <v>5</v>
      </c>
      <c r="I380" s="38">
        <v>0</v>
      </c>
      <c r="J380" s="38">
        <v>0</v>
      </c>
      <c r="K380" s="38">
        <v>0</v>
      </c>
      <c r="L380" s="50">
        <v>0</v>
      </c>
      <c r="M380" s="50">
        <v>0</v>
      </c>
      <c r="N380" s="50">
        <v>0</v>
      </c>
      <c r="O380" s="50">
        <v>0</v>
      </c>
      <c r="P380" s="50">
        <v>0</v>
      </c>
      <c r="Q380" s="50">
        <v>0</v>
      </c>
      <c r="R380" s="50">
        <v>0</v>
      </c>
      <c r="S380" s="50">
        <v>0</v>
      </c>
      <c r="T380" s="50">
        <v>0</v>
      </c>
      <c r="U380" s="50">
        <v>0</v>
      </c>
      <c r="V380" s="50">
        <v>0</v>
      </c>
      <c r="W380" s="61">
        <f t="shared" si="75"/>
        <v>0</v>
      </c>
    </row>
    <row r="381" spans="1:23" s="3" customFormat="1" x14ac:dyDescent="0.2">
      <c r="A381" s="86" t="s">
        <v>578</v>
      </c>
      <c r="B381" s="87"/>
      <c r="C381" s="153" t="s">
        <v>622</v>
      </c>
      <c r="D381" s="154"/>
      <c r="E381" s="154"/>
      <c r="F381" s="154"/>
      <c r="G381" s="155"/>
      <c r="H381" s="1" t="s">
        <v>5</v>
      </c>
      <c r="I381" s="38">
        <v>5</v>
      </c>
      <c r="J381" s="38">
        <v>71.53</v>
      </c>
      <c r="K381" s="38">
        <v>67.900000000000006</v>
      </c>
      <c r="L381" s="50">
        <v>0</v>
      </c>
      <c r="M381" s="50">
        <f>'[5]2'!$AR$21</f>
        <v>216.88656800000001</v>
      </c>
      <c r="N381" s="50">
        <v>0</v>
      </c>
      <c r="O381" s="50">
        <f>'[5]2'!$BB$20</f>
        <v>198.03839099999996</v>
      </c>
      <c r="P381" s="50">
        <v>0</v>
      </c>
      <c r="Q381" s="50">
        <f>'[5]2'!$BL$20</f>
        <v>108.97796</v>
      </c>
      <c r="R381" s="50">
        <v>0</v>
      </c>
      <c r="S381" s="50">
        <f>'[5]2'!$BV$20</f>
        <v>96.805458884757812</v>
      </c>
      <c r="T381" s="50">
        <v>0</v>
      </c>
      <c r="U381" s="50">
        <f>'[5]2'!$CF$21</f>
        <v>128.37246056918656</v>
      </c>
      <c r="V381" s="50">
        <f>L381+N381+P381+R381+T381</f>
        <v>0</v>
      </c>
      <c r="W381" s="61">
        <f t="shared" si="75"/>
        <v>749.08083845394435</v>
      </c>
    </row>
    <row r="382" spans="1:23" s="3" customFormat="1" x14ac:dyDescent="0.2">
      <c r="A382" s="86" t="s">
        <v>579</v>
      </c>
      <c r="B382" s="87"/>
      <c r="C382" s="156" t="s">
        <v>621</v>
      </c>
      <c r="D382" s="157"/>
      <c r="E382" s="157"/>
      <c r="F382" s="157"/>
      <c r="G382" s="158"/>
      <c r="H382" s="1" t="s">
        <v>5</v>
      </c>
      <c r="I382" s="38">
        <v>0</v>
      </c>
      <c r="J382" s="38">
        <v>0</v>
      </c>
      <c r="K382" s="38">
        <v>0</v>
      </c>
      <c r="L382" s="50">
        <v>0</v>
      </c>
      <c r="M382" s="50">
        <v>0</v>
      </c>
      <c r="N382" s="50">
        <v>0</v>
      </c>
      <c r="O382" s="50">
        <v>0</v>
      </c>
      <c r="P382" s="50">
        <v>0</v>
      </c>
      <c r="Q382" s="50">
        <v>0</v>
      </c>
      <c r="R382" s="50">
        <v>0</v>
      </c>
      <c r="S382" s="50">
        <v>0</v>
      </c>
      <c r="T382" s="50">
        <v>0</v>
      </c>
      <c r="U382" s="50">
        <v>0</v>
      </c>
      <c r="V382" s="50">
        <v>0</v>
      </c>
      <c r="W382" s="61">
        <f t="shared" si="75"/>
        <v>0</v>
      </c>
    </row>
    <row r="383" spans="1:23" s="3" customFormat="1" x14ac:dyDescent="0.2">
      <c r="A383" s="86" t="s">
        <v>581</v>
      </c>
      <c r="B383" s="87"/>
      <c r="C383" s="127" t="s">
        <v>623</v>
      </c>
      <c r="D383" s="128"/>
      <c r="E383" s="128"/>
      <c r="F383" s="128"/>
      <c r="G383" s="129"/>
      <c r="H383" s="1" t="s">
        <v>5</v>
      </c>
      <c r="I383" s="38">
        <v>0</v>
      </c>
      <c r="J383" s="38">
        <v>0</v>
      </c>
      <c r="K383" s="38">
        <v>0</v>
      </c>
      <c r="L383" s="50">
        <v>0</v>
      </c>
      <c r="M383" s="50">
        <v>0</v>
      </c>
      <c r="N383" s="50">
        <v>0</v>
      </c>
      <c r="O383" s="50">
        <v>0</v>
      </c>
      <c r="P383" s="50">
        <v>0</v>
      </c>
      <c r="Q383" s="50">
        <v>0</v>
      </c>
      <c r="R383" s="50">
        <v>0</v>
      </c>
      <c r="S383" s="50">
        <v>0</v>
      </c>
      <c r="T383" s="50">
        <v>0</v>
      </c>
      <c r="U383" s="50">
        <v>0</v>
      </c>
      <c r="V383" s="50">
        <v>0</v>
      </c>
      <c r="W383" s="61">
        <f t="shared" si="75"/>
        <v>0</v>
      </c>
    </row>
    <row r="384" spans="1:23" s="3" customFormat="1" x14ac:dyDescent="0.2">
      <c r="A384" s="86" t="s">
        <v>582</v>
      </c>
      <c r="B384" s="87"/>
      <c r="C384" s="127" t="s">
        <v>423</v>
      </c>
      <c r="D384" s="128"/>
      <c r="E384" s="128"/>
      <c r="F384" s="128"/>
      <c r="G384" s="129"/>
      <c r="H384" s="1" t="s">
        <v>5</v>
      </c>
      <c r="I384" s="38">
        <v>0</v>
      </c>
      <c r="J384" s="38">
        <v>0</v>
      </c>
      <c r="K384" s="38">
        <v>0</v>
      </c>
      <c r="L384" s="50">
        <v>0</v>
      </c>
      <c r="M384" s="50">
        <v>0</v>
      </c>
      <c r="N384" s="50">
        <v>0</v>
      </c>
      <c r="O384" s="50">
        <v>0</v>
      </c>
      <c r="P384" s="50">
        <v>0</v>
      </c>
      <c r="Q384" s="50">
        <v>0</v>
      </c>
      <c r="R384" s="50">
        <v>0</v>
      </c>
      <c r="S384" s="50">
        <v>0</v>
      </c>
      <c r="T384" s="50">
        <v>0</v>
      </c>
      <c r="U384" s="50">
        <v>0</v>
      </c>
      <c r="V384" s="50">
        <v>0</v>
      </c>
      <c r="W384" s="61">
        <f t="shared" si="75"/>
        <v>0</v>
      </c>
    </row>
    <row r="385" spans="1:23" s="3" customFormat="1" ht="16.5" customHeight="1" x14ac:dyDescent="0.2">
      <c r="A385" s="86" t="s">
        <v>583</v>
      </c>
      <c r="B385" s="87"/>
      <c r="C385" s="127" t="s">
        <v>624</v>
      </c>
      <c r="D385" s="128"/>
      <c r="E385" s="128"/>
      <c r="F385" s="128"/>
      <c r="G385" s="129"/>
      <c r="H385" s="1" t="s">
        <v>5</v>
      </c>
      <c r="I385" s="38">
        <v>0</v>
      </c>
      <c r="J385" s="38">
        <v>0</v>
      </c>
      <c r="K385" s="38">
        <v>0</v>
      </c>
      <c r="L385" s="50">
        <v>0</v>
      </c>
      <c r="M385" s="50">
        <v>0</v>
      </c>
      <c r="N385" s="50">
        <v>0</v>
      </c>
      <c r="O385" s="50">
        <v>0</v>
      </c>
      <c r="P385" s="50">
        <v>0</v>
      </c>
      <c r="Q385" s="50">
        <v>0</v>
      </c>
      <c r="R385" s="50">
        <v>0</v>
      </c>
      <c r="S385" s="50">
        <v>0</v>
      </c>
      <c r="T385" s="50">
        <v>0</v>
      </c>
      <c r="U385" s="50">
        <v>0</v>
      </c>
      <c r="V385" s="50">
        <v>0</v>
      </c>
      <c r="W385" s="61">
        <f t="shared" si="75"/>
        <v>0</v>
      </c>
    </row>
    <row r="386" spans="1:23" s="3" customFormat="1" x14ac:dyDescent="0.2">
      <c r="A386" s="86" t="s">
        <v>584</v>
      </c>
      <c r="B386" s="87"/>
      <c r="C386" s="153" t="s">
        <v>82</v>
      </c>
      <c r="D386" s="154"/>
      <c r="E386" s="154"/>
      <c r="F386" s="154"/>
      <c r="G386" s="155"/>
      <c r="H386" s="1" t="s">
        <v>5</v>
      </c>
      <c r="I386" s="38">
        <v>0</v>
      </c>
      <c r="J386" s="38">
        <v>0</v>
      </c>
      <c r="K386" s="38">
        <v>0</v>
      </c>
      <c r="L386" s="50">
        <v>0</v>
      </c>
      <c r="M386" s="50">
        <v>0</v>
      </c>
      <c r="N386" s="50">
        <v>0</v>
      </c>
      <c r="O386" s="50">
        <v>0</v>
      </c>
      <c r="P386" s="50">
        <v>0</v>
      </c>
      <c r="Q386" s="50">
        <v>0</v>
      </c>
      <c r="R386" s="50">
        <v>0</v>
      </c>
      <c r="S386" s="50">
        <v>0</v>
      </c>
      <c r="T386" s="50">
        <v>0</v>
      </c>
      <c r="U386" s="50">
        <v>0</v>
      </c>
      <c r="V386" s="50">
        <v>0</v>
      </c>
      <c r="W386" s="61">
        <f t="shared" si="75"/>
        <v>0</v>
      </c>
    </row>
    <row r="387" spans="1:23" s="3" customFormat="1" x14ac:dyDescent="0.2">
      <c r="A387" s="86" t="s">
        <v>585</v>
      </c>
      <c r="B387" s="87"/>
      <c r="C387" s="153" t="s">
        <v>83</v>
      </c>
      <c r="D387" s="154"/>
      <c r="E387" s="154"/>
      <c r="F387" s="154"/>
      <c r="G387" s="155"/>
      <c r="H387" s="1" t="s">
        <v>5</v>
      </c>
      <c r="I387" s="38">
        <v>0</v>
      </c>
      <c r="J387" s="38">
        <v>0</v>
      </c>
      <c r="K387" s="38">
        <v>0</v>
      </c>
      <c r="L387" s="50">
        <v>0</v>
      </c>
      <c r="M387" s="50">
        <v>0</v>
      </c>
      <c r="N387" s="50">
        <v>0</v>
      </c>
      <c r="O387" s="50">
        <v>0</v>
      </c>
      <c r="P387" s="50">
        <v>0</v>
      </c>
      <c r="Q387" s="50">
        <v>0</v>
      </c>
      <c r="R387" s="50">
        <v>0</v>
      </c>
      <c r="S387" s="50">
        <v>0</v>
      </c>
      <c r="T387" s="50">
        <v>0</v>
      </c>
      <c r="U387" s="50">
        <v>0</v>
      </c>
      <c r="V387" s="50">
        <v>0</v>
      </c>
      <c r="W387" s="61">
        <f t="shared" si="75"/>
        <v>0</v>
      </c>
    </row>
    <row r="388" spans="1:23" s="3" customFormat="1" ht="16.5" customHeight="1" x14ac:dyDescent="0.2">
      <c r="A388" s="86" t="s">
        <v>13</v>
      </c>
      <c r="B388" s="87"/>
      <c r="C388" s="91" t="s">
        <v>677</v>
      </c>
      <c r="D388" s="92"/>
      <c r="E388" s="92"/>
      <c r="F388" s="92"/>
      <c r="G388" s="93"/>
      <c r="H388" s="1" t="s">
        <v>5</v>
      </c>
      <c r="I388" s="38">
        <v>0</v>
      </c>
      <c r="J388" s="38">
        <v>0</v>
      </c>
      <c r="K388" s="38">
        <v>0</v>
      </c>
      <c r="L388" s="50">
        <v>0</v>
      </c>
      <c r="M388" s="50">
        <v>0</v>
      </c>
      <c r="N388" s="50">
        <v>0</v>
      </c>
      <c r="O388" s="50">
        <v>0</v>
      </c>
      <c r="P388" s="50">
        <v>0</v>
      </c>
      <c r="Q388" s="50">
        <v>0</v>
      </c>
      <c r="R388" s="50">
        <v>0</v>
      </c>
      <c r="S388" s="50">
        <v>0</v>
      </c>
      <c r="T388" s="50">
        <v>0</v>
      </c>
      <c r="U388" s="50">
        <v>0</v>
      </c>
      <c r="V388" s="50">
        <v>0</v>
      </c>
      <c r="W388" s="61">
        <f t="shared" si="75"/>
        <v>0</v>
      </c>
    </row>
    <row r="389" spans="1:23" s="3" customFormat="1" ht="16.5" customHeight="1" x14ac:dyDescent="0.2">
      <c r="A389" s="86" t="s">
        <v>586</v>
      </c>
      <c r="B389" s="87"/>
      <c r="C389" s="127" t="s">
        <v>47</v>
      </c>
      <c r="D389" s="128"/>
      <c r="E389" s="128"/>
      <c r="F389" s="128"/>
      <c r="G389" s="129"/>
      <c r="H389" s="1" t="s">
        <v>5</v>
      </c>
      <c r="I389" s="38">
        <v>0</v>
      </c>
      <c r="J389" s="38">
        <v>0</v>
      </c>
      <c r="K389" s="38">
        <v>0</v>
      </c>
      <c r="L389" s="50">
        <v>0</v>
      </c>
      <c r="M389" s="50">
        <v>0</v>
      </c>
      <c r="N389" s="50">
        <v>0</v>
      </c>
      <c r="O389" s="50">
        <v>0</v>
      </c>
      <c r="P389" s="50">
        <v>0</v>
      </c>
      <c r="Q389" s="50">
        <v>0</v>
      </c>
      <c r="R389" s="50">
        <v>0</v>
      </c>
      <c r="S389" s="50">
        <v>0</v>
      </c>
      <c r="T389" s="50">
        <v>0</v>
      </c>
      <c r="U389" s="50">
        <v>0</v>
      </c>
      <c r="V389" s="50">
        <v>0</v>
      </c>
      <c r="W389" s="61">
        <f t="shared" si="75"/>
        <v>0</v>
      </c>
    </row>
    <row r="390" spans="1:23" s="3" customFormat="1" ht="16.5" customHeight="1" x14ac:dyDescent="0.2">
      <c r="A390" s="86" t="s">
        <v>587</v>
      </c>
      <c r="B390" s="87"/>
      <c r="C390" s="127" t="s">
        <v>52</v>
      </c>
      <c r="D390" s="128"/>
      <c r="E390" s="128"/>
      <c r="F390" s="128"/>
      <c r="G390" s="129"/>
      <c r="H390" s="1" t="s">
        <v>5</v>
      </c>
      <c r="I390" s="38">
        <v>0</v>
      </c>
      <c r="J390" s="38">
        <v>0</v>
      </c>
      <c r="K390" s="38">
        <v>0</v>
      </c>
      <c r="L390" s="50">
        <v>0</v>
      </c>
      <c r="M390" s="50">
        <v>0</v>
      </c>
      <c r="N390" s="50">
        <v>0</v>
      </c>
      <c r="O390" s="50">
        <v>0</v>
      </c>
      <c r="P390" s="50">
        <v>0</v>
      </c>
      <c r="Q390" s="50">
        <v>0</v>
      </c>
      <c r="R390" s="50">
        <v>0</v>
      </c>
      <c r="S390" s="50">
        <v>0</v>
      </c>
      <c r="T390" s="50">
        <v>0</v>
      </c>
      <c r="U390" s="50">
        <v>0</v>
      </c>
      <c r="V390" s="50">
        <v>0</v>
      </c>
      <c r="W390" s="61">
        <f t="shared" si="75"/>
        <v>0</v>
      </c>
    </row>
    <row r="391" spans="1:23" s="3" customFormat="1" ht="16.5" customHeight="1" x14ac:dyDescent="0.2">
      <c r="A391" s="86" t="s">
        <v>588</v>
      </c>
      <c r="B391" s="87"/>
      <c r="C391" s="127" t="s">
        <v>53</v>
      </c>
      <c r="D391" s="128"/>
      <c r="E391" s="128"/>
      <c r="F391" s="128"/>
      <c r="G391" s="129"/>
      <c r="H391" s="1" t="s">
        <v>5</v>
      </c>
      <c r="I391" s="38">
        <v>0</v>
      </c>
      <c r="J391" s="38">
        <v>0</v>
      </c>
      <c r="K391" s="38">
        <v>0</v>
      </c>
      <c r="L391" s="50">
        <v>0</v>
      </c>
      <c r="M391" s="50">
        <v>0</v>
      </c>
      <c r="N391" s="50">
        <v>0</v>
      </c>
      <c r="O391" s="50">
        <v>0</v>
      </c>
      <c r="P391" s="50">
        <v>0</v>
      </c>
      <c r="Q391" s="50">
        <v>0</v>
      </c>
      <c r="R391" s="50">
        <v>0</v>
      </c>
      <c r="S391" s="50">
        <v>0</v>
      </c>
      <c r="T391" s="50">
        <v>0</v>
      </c>
      <c r="U391" s="50">
        <v>0</v>
      </c>
      <c r="V391" s="50">
        <v>0</v>
      </c>
      <c r="W391" s="61">
        <f t="shared" si="75"/>
        <v>0</v>
      </c>
    </row>
    <row r="392" spans="1:23" s="3" customFormat="1" x14ac:dyDescent="0.2">
      <c r="A392" s="86" t="s">
        <v>14</v>
      </c>
      <c r="B392" s="87"/>
      <c r="C392" s="91" t="s">
        <v>625</v>
      </c>
      <c r="D392" s="92"/>
      <c r="E392" s="92"/>
      <c r="F392" s="92"/>
      <c r="G392" s="93"/>
      <c r="H392" s="1" t="s">
        <v>5</v>
      </c>
      <c r="I392" s="38">
        <v>0</v>
      </c>
      <c r="J392" s="38">
        <v>0</v>
      </c>
      <c r="K392" s="38">
        <v>0</v>
      </c>
      <c r="L392" s="50">
        <v>0</v>
      </c>
      <c r="M392" s="50">
        <v>0</v>
      </c>
      <c r="N392" s="50">
        <v>0</v>
      </c>
      <c r="O392" s="50">
        <v>0</v>
      </c>
      <c r="P392" s="50">
        <v>0</v>
      </c>
      <c r="Q392" s="50">
        <v>0</v>
      </c>
      <c r="R392" s="50">
        <v>0</v>
      </c>
      <c r="S392" s="50">
        <v>0</v>
      </c>
      <c r="T392" s="50">
        <v>0</v>
      </c>
      <c r="U392" s="50">
        <v>0</v>
      </c>
      <c r="V392" s="50">
        <v>0</v>
      </c>
      <c r="W392" s="61">
        <f t="shared" si="75"/>
        <v>0</v>
      </c>
    </row>
    <row r="393" spans="1:23" s="3" customFormat="1" x14ac:dyDescent="0.2">
      <c r="A393" s="86" t="s">
        <v>15</v>
      </c>
      <c r="B393" s="87"/>
      <c r="C393" s="88" t="s">
        <v>626</v>
      </c>
      <c r="D393" s="89"/>
      <c r="E393" s="89"/>
      <c r="F393" s="89"/>
      <c r="G393" s="90"/>
      <c r="H393" s="1" t="s">
        <v>5</v>
      </c>
      <c r="I393" s="38">
        <v>94.27</v>
      </c>
      <c r="J393" s="38">
        <v>92.43</v>
      </c>
      <c r="K393" s="38">
        <v>98.61</v>
      </c>
      <c r="L393" s="50">
        <v>24.467469170921003</v>
      </c>
      <c r="M393" s="50">
        <f>M394</f>
        <v>22.649698829999998</v>
      </c>
      <c r="N393" s="50">
        <v>11.034004016439702</v>
      </c>
      <c r="O393" s="50">
        <f>O394</f>
        <v>116.00008977558025</v>
      </c>
      <c r="P393" s="50">
        <v>44.378820889211354</v>
      </c>
      <c r="Q393" s="50">
        <f>Q394</f>
        <v>44.259013406502326</v>
      </c>
      <c r="R393" s="50">
        <v>57.129820233331742</v>
      </c>
      <c r="S393" s="50">
        <f>S394</f>
        <v>57.129820233331742</v>
      </c>
      <c r="T393" s="50">
        <v>62.419594921056955</v>
      </c>
      <c r="U393" s="50">
        <f>U394</f>
        <v>66.919594921056955</v>
      </c>
      <c r="V393" s="50">
        <f t="shared" ref="V393" si="80">V394</f>
        <v>199.42970923096075</v>
      </c>
      <c r="W393" s="61">
        <f t="shared" si="75"/>
        <v>306.95821716647129</v>
      </c>
    </row>
    <row r="394" spans="1:23" s="3" customFormat="1" x14ac:dyDescent="0.2">
      <c r="A394" s="86" t="s">
        <v>589</v>
      </c>
      <c r="B394" s="87"/>
      <c r="C394" s="91" t="s">
        <v>627</v>
      </c>
      <c r="D394" s="92"/>
      <c r="E394" s="92"/>
      <c r="F394" s="92"/>
      <c r="G394" s="93"/>
      <c r="H394" s="1" t="s">
        <v>5</v>
      </c>
      <c r="I394" s="38">
        <v>94.27</v>
      </c>
      <c r="J394" s="38">
        <v>92.43</v>
      </c>
      <c r="K394" s="38">
        <v>92.43</v>
      </c>
      <c r="L394" s="50">
        <v>24.467469170921003</v>
      </c>
      <c r="M394" s="50">
        <f>M400</f>
        <v>22.649698829999998</v>
      </c>
      <c r="N394" s="50">
        <v>11.034004016439702</v>
      </c>
      <c r="O394" s="50">
        <f>O400</f>
        <v>116.00008977558025</v>
      </c>
      <c r="P394" s="50">
        <v>44.378820889211354</v>
      </c>
      <c r="Q394" s="50">
        <f>Q400</f>
        <v>44.259013406502326</v>
      </c>
      <c r="R394" s="50">
        <v>57.129820233331742</v>
      </c>
      <c r="S394" s="50">
        <v>57.129820233331742</v>
      </c>
      <c r="T394" s="50">
        <v>62.419594921056955</v>
      </c>
      <c r="U394" s="50">
        <f>U400</f>
        <v>66.919594921056955</v>
      </c>
      <c r="V394" s="50">
        <f t="shared" ref="V394" si="81">V400</f>
        <v>199.42970923096075</v>
      </c>
      <c r="W394" s="61">
        <f>M394+O394+Q394+S394+U394</f>
        <v>306.95821716647129</v>
      </c>
    </row>
    <row r="395" spans="1:23" s="3" customFormat="1" x14ac:dyDescent="0.2">
      <c r="A395" s="86" t="s">
        <v>590</v>
      </c>
      <c r="B395" s="87"/>
      <c r="C395" s="127" t="s">
        <v>628</v>
      </c>
      <c r="D395" s="128"/>
      <c r="E395" s="128"/>
      <c r="F395" s="128"/>
      <c r="G395" s="129"/>
      <c r="H395" s="1" t="s">
        <v>5</v>
      </c>
      <c r="I395" s="38">
        <v>0</v>
      </c>
      <c r="J395" s="38">
        <v>0</v>
      </c>
      <c r="K395" s="38">
        <v>0</v>
      </c>
      <c r="L395" s="50">
        <v>0</v>
      </c>
      <c r="M395" s="50">
        <v>0</v>
      </c>
      <c r="N395" s="50">
        <v>0</v>
      </c>
      <c r="O395" s="50">
        <v>0</v>
      </c>
      <c r="P395" s="50">
        <v>0</v>
      </c>
      <c r="Q395" s="50">
        <v>0</v>
      </c>
      <c r="R395" s="50">
        <v>0</v>
      </c>
      <c r="S395" s="50">
        <v>0</v>
      </c>
      <c r="T395" s="50">
        <v>0</v>
      </c>
      <c r="U395" s="50">
        <v>0</v>
      </c>
      <c r="V395" s="50">
        <v>0</v>
      </c>
      <c r="W395" s="61">
        <f t="shared" si="75"/>
        <v>0</v>
      </c>
    </row>
    <row r="396" spans="1:23" s="3" customFormat="1" ht="16.5" customHeight="1" x14ac:dyDescent="0.2">
      <c r="A396" s="86" t="s">
        <v>591</v>
      </c>
      <c r="B396" s="87"/>
      <c r="C396" s="127" t="s">
        <v>47</v>
      </c>
      <c r="D396" s="128"/>
      <c r="E396" s="128"/>
      <c r="F396" s="128"/>
      <c r="G396" s="129"/>
      <c r="H396" s="1" t="s">
        <v>5</v>
      </c>
      <c r="I396" s="38">
        <v>0</v>
      </c>
      <c r="J396" s="38">
        <v>0</v>
      </c>
      <c r="K396" s="38">
        <v>0</v>
      </c>
      <c r="L396" s="50">
        <v>0</v>
      </c>
      <c r="M396" s="50">
        <v>0</v>
      </c>
      <c r="N396" s="50">
        <v>0</v>
      </c>
      <c r="O396" s="50">
        <v>0</v>
      </c>
      <c r="P396" s="50">
        <v>0</v>
      </c>
      <c r="Q396" s="50">
        <v>0</v>
      </c>
      <c r="R396" s="50">
        <v>0</v>
      </c>
      <c r="S396" s="50">
        <v>0</v>
      </c>
      <c r="T396" s="50">
        <v>0</v>
      </c>
      <c r="U396" s="50">
        <v>0</v>
      </c>
      <c r="V396" s="50">
        <v>0</v>
      </c>
      <c r="W396" s="61">
        <f t="shared" si="75"/>
        <v>0</v>
      </c>
    </row>
    <row r="397" spans="1:23" s="3" customFormat="1" ht="16.5" customHeight="1" x14ac:dyDescent="0.2">
      <c r="A397" s="86" t="s">
        <v>592</v>
      </c>
      <c r="B397" s="87"/>
      <c r="C397" s="127" t="s">
        <v>52</v>
      </c>
      <c r="D397" s="128"/>
      <c r="E397" s="128"/>
      <c r="F397" s="128"/>
      <c r="G397" s="129"/>
      <c r="H397" s="1" t="s">
        <v>5</v>
      </c>
      <c r="I397" s="38">
        <v>0</v>
      </c>
      <c r="J397" s="38">
        <v>0</v>
      </c>
      <c r="K397" s="38">
        <v>0</v>
      </c>
      <c r="L397" s="50">
        <v>0</v>
      </c>
      <c r="M397" s="50">
        <v>0</v>
      </c>
      <c r="N397" s="50">
        <v>0</v>
      </c>
      <c r="O397" s="50">
        <v>0</v>
      </c>
      <c r="P397" s="50">
        <v>0</v>
      </c>
      <c r="Q397" s="50">
        <v>0</v>
      </c>
      <c r="R397" s="50">
        <v>0</v>
      </c>
      <c r="S397" s="50">
        <v>0</v>
      </c>
      <c r="T397" s="50">
        <v>0</v>
      </c>
      <c r="U397" s="50">
        <v>0</v>
      </c>
      <c r="V397" s="50">
        <v>0</v>
      </c>
      <c r="W397" s="61">
        <f t="shared" si="75"/>
        <v>0</v>
      </c>
    </row>
    <row r="398" spans="1:23" s="3" customFormat="1" ht="16.5" customHeight="1" x14ac:dyDescent="0.2">
      <c r="A398" s="86" t="s">
        <v>593</v>
      </c>
      <c r="B398" s="87"/>
      <c r="C398" s="127" t="s">
        <v>53</v>
      </c>
      <c r="D398" s="128"/>
      <c r="E398" s="128"/>
      <c r="F398" s="128"/>
      <c r="G398" s="129"/>
      <c r="H398" s="1" t="s">
        <v>5</v>
      </c>
      <c r="I398" s="38">
        <v>0</v>
      </c>
      <c r="J398" s="38">
        <v>0</v>
      </c>
      <c r="K398" s="38">
        <v>0</v>
      </c>
      <c r="L398" s="50">
        <v>0</v>
      </c>
      <c r="M398" s="50">
        <v>0</v>
      </c>
      <c r="N398" s="50">
        <v>0</v>
      </c>
      <c r="O398" s="50">
        <v>0</v>
      </c>
      <c r="P398" s="50">
        <v>0</v>
      </c>
      <c r="Q398" s="50">
        <v>0</v>
      </c>
      <c r="R398" s="50">
        <v>0</v>
      </c>
      <c r="S398" s="50">
        <v>0</v>
      </c>
      <c r="T398" s="50">
        <v>0</v>
      </c>
      <c r="U398" s="50">
        <v>0</v>
      </c>
      <c r="V398" s="50">
        <v>0</v>
      </c>
      <c r="W398" s="61">
        <f t="shared" si="75"/>
        <v>0</v>
      </c>
    </row>
    <row r="399" spans="1:23" s="3" customFormat="1" ht="15" customHeight="1" x14ac:dyDescent="0.2">
      <c r="A399" s="86" t="s">
        <v>594</v>
      </c>
      <c r="B399" s="87"/>
      <c r="C399" s="127" t="s">
        <v>418</v>
      </c>
      <c r="D399" s="128"/>
      <c r="E399" s="128"/>
      <c r="F399" s="128"/>
      <c r="G399" s="129"/>
      <c r="H399" s="1" t="s">
        <v>5</v>
      </c>
      <c r="I399" s="38">
        <v>0</v>
      </c>
      <c r="J399" s="38">
        <v>0</v>
      </c>
      <c r="K399" s="38">
        <v>0</v>
      </c>
      <c r="L399" s="50">
        <v>0</v>
      </c>
      <c r="M399" s="50">
        <v>0</v>
      </c>
      <c r="N399" s="50">
        <v>0</v>
      </c>
      <c r="O399" s="50">
        <v>0</v>
      </c>
      <c r="P399" s="50">
        <v>0</v>
      </c>
      <c r="Q399" s="50">
        <v>0</v>
      </c>
      <c r="R399" s="50">
        <v>0</v>
      </c>
      <c r="S399" s="50">
        <v>0</v>
      </c>
      <c r="T399" s="50">
        <v>0</v>
      </c>
      <c r="U399" s="50">
        <v>0</v>
      </c>
      <c r="V399" s="50">
        <v>0</v>
      </c>
      <c r="W399" s="61">
        <f t="shared" si="75"/>
        <v>0</v>
      </c>
    </row>
    <row r="400" spans="1:23" s="3" customFormat="1" ht="13.5" customHeight="1" x14ac:dyDescent="0.2">
      <c r="A400" s="86" t="s">
        <v>595</v>
      </c>
      <c r="B400" s="87"/>
      <c r="C400" s="127" t="s">
        <v>419</v>
      </c>
      <c r="D400" s="128"/>
      <c r="E400" s="128"/>
      <c r="F400" s="128"/>
      <c r="G400" s="129"/>
      <c r="H400" s="1" t="s">
        <v>5</v>
      </c>
      <c r="I400" s="38">
        <v>94.27</v>
      </c>
      <c r="J400" s="38">
        <v>92.43</v>
      </c>
      <c r="K400" s="38">
        <v>98.61</v>
      </c>
      <c r="L400" s="50">
        <v>24.467469170921003</v>
      </c>
      <c r="M400" s="50">
        <f>'[5]2'!$AQ$20</f>
        <v>22.649698829999998</v>
      </c>
      <c r="N400" s="50">
        <v>11.034004016439702</v>
      </c>
      <c r="O400" s="50">
        <f>'[5]2'!$BA$20</f>
        <v>116.00008977558025</v>
      </c>
      <c r="P400" s="50">
        <v>44.378820889211354</v>
      </c>
      <c r="Q400" s="50">
        <f>'[5]2'!$BK$20</f>
        <v>44.259013406502326</v>
      </c>
      <c r="R400" s="50">
        <v>57.129820233331742</v>
      </c>
      <c r="S400" s="50">
        <f>'[5]2'!$BU$20</f>
        <v>57.129820233331742</v>
      </c>
      <c r="T400" s="50">
        <v>62.419594921056955</v>
      </c>
      <c r="U400" s="50">
        <f>'[5]2'!$CE$20</f>
        <v>66.919594921056955</v>
      </c>
      <c r="V400" s="50">
        <f>L400+N400+P400+R400+T400</f>
        <v>199.42970923096075</v>
      </c>
      <c r="W400" s="61">
        <f t="shared" si="75"/>
        <v>306.95821716647129</v>
      </c>
    </row>
    <row r="401" spans="1:23" s="3" customFormat="1" x14ac:dyDescent="0.2">
      <c r="A401" s="86" t="s">
        <v>596</v>
      </c>
      <c r="B401" s="87"/>
      <c r="C401" s="127" t="s">
        <v>420</v>
      </c>
      <c r="D401" s="128"/>
      <c r="E401" s="128"/>
      <c r="F401" s="128"/>
      <c r="G401" s="129"/>
      <c r="H401" s="1" t="s">
        <v>5</v>
      </c>
      <c r="I401" s="38">
        <v>0</v>
      </c>
      <c r="J401" s="38">
        <v>0</v>
      </c>
      <c r="K401" s="38">
        <v>0</v>
      </c>
      <c r="L401" s="50">
        <v>0</v>
      </c>
      <c r="M401" s="50">
        <v>0</v>
      </c>
      <c r="N401" s="50">
        <v>0</v>
      </c>
      <c r="O401" s="50">
        <v>0</v>
      </c>
      <c r="P401" s="50">
        <v>0</v>
      </c>
      <c r="Q401" s="50">
        <v>0</v>
      </c>
      <c r="R401" s="50">
        <v>0</v>
      </c>
      <c r="S401" s="50">
        <v>0</v>
      </c>
      <c r="T401" s="50">
        <v>0</v>
      </c>
      <c r="U401" s="50">
        <v>0</v>
      </c>
      <c r="V401" s="50">
        <v>0</v>
      </c>
      <c r="W401" s="61">
        <f t="shared" si="75"/>
        <v>0</v>
      </c>
    </row>
    <row r="402" spans="1:23" s="3" customFormat="1" x14ac:dyDescent="0.2">
      <c r="A402" s="86" t="s">
        <v>597</v>
      </c>
      <c r="B402" s="87"/>
      <c r="C402" s="127" t="s">
        <v>422</v>
      </c>
      <c r="D402" s="128"/>
      <c r="E402" s="128"/>
      <c r="F402" s="128"/>
      <c r="G402" s="129"/>
      <c r="H402" s="1" t="s">
        <v>5</v>
      </c>
      <c r="I402" s="38">
        <v>0</v>
      </c>
      <c r="J402" s="38">
        <v>0</v>
      </c>
      <c r="K402" s="38">
        <v>0</v>
      </c>
      <c r="L402" s="50">
        <v>0</v>
      </c>
      <c r="M402" s="50">
        <v>0</v>
      </c>
      <c r="N402" s="50">
        <v>0</v>
      </c>
      <c r="O402" s="50">
        <v>0</v>
      </c>
      <c r="P402" s="50">
        <v>0</v>
      </c>
      <c r="Q402" s="50">
        <v>0</v>
      </c>
      <c r="R402" s="50">
        <v>0</v>
      </c>
      <c r="S402" s="50">
        <v>0</v>
      </c>
      <c r="T402" s="50">
        <v>0</v>
      </c>
      <c r="U402" s="50">
        <v>0</v>
      </c>
      <c r="V402" s="50">
        <v>0</v>
      </c>
      <c r="W402" s="61">
        <f t="shared" si="75"/>
        <v>0</v>
      </c>
    </row>
    <row r="403" spans="1:23" s="3" customFormat="1" x14ac:dyDescent="0.2">
      <c r="A403" s="86" t="s">
        <v>598</v>
      </c>
      <c r="B403" s="87"/>
      <c r="C403" s="127" t="s">
        <v>423</v>
      </c>
      <c r="D403" s="128"/>
      <c r="E403" s="128"/>
      <c r="F403" s="128"/>
      <c r="G403" s="129"/>
      <c r="H403" s="1" t="s">
        <v>5</v>
      </c>
      <c r="I403" s="38">
        <v>0</v>
      </c>
      <c r="J403" s="38">
        <v>0</v>
      </c>
      <c r="K403" s="38">
        <v>0</v>
      </c>
      <c r="L403" s="50">
        <v>0</v>
      </c>
      <c r="M403" s="50">
        <v>0</v>
      </c>
      <c r="N403" s="50">
        <v>0</v>
      </c>
      <c r="O403" s="50">
        <v>0</v>
      </c>
      <c r="P403" s="50">
        <v>0</v>
      </c>
      <c r="Q403" s="50">
        <v>0</v>
      </c>
      <c r="R403" s="50">
        <v>0</v>
      </c>
      <c r="S403" s="50">
        <v>0</v>
      </c>
      <c r="T403" s="50">
        <v>0</v>
      </c>
      <c r="U403" s="50">
        <v>0</v>
      </c>
      <c r="V403" s="50">
        <v>0</v>
      </c>
      <c r="W403" s="61">
        <f t="shared" si="75"/>
        <v>0</v>
      </c>
    </row>
    <row r="404" spans="1:23" s="3" customFormat="1" ht="16.5" customHeight="1" x14ac:dyDescent="0.2">
      <c r="A404" s="86" t="s">
        <v>599</v>
      </c>
      <c r="B404" s="87"/>
      <c r="C404" s="127" t="s">
        <v>424</v>
      </c>
      <c r="D404" s="128"/>
      <c r="E404" s="128"/>
      <c r="F404" s="128"/>
      <c r="G404" s="129"/>
      <c r="H404" s="1" t="s">
        <v>5</v>
      </c>
      <c r="I404" s="38">
        <v>0</v>
      </c>
      <c r="J404" s="38">
        <v>0</v>
      </c>
      <c r="K404" s="38">
        <v>0</v>
      </c>
      <c r="L404" s="50">
        <v>0</v>
      </c>
      <c r="M404" s="50">
        <v>0</v>
      </c>
      <c r="N404" s="50">
        <v>0</v>
      </c>
      <c r="O404" s="50">
        <v>0</v>
      </c>
      <c r="P404" s="50">
        <v>0</v>
      </c>
      <c r="Q404" s="50">
        <v>0</v>
      </c>
      <c r="R404" s="50">
        <v>0</v>
      </c>
      <c r="S404" s="50">
        <v>0</v>
      </c>
      <c r="T404" s="50">
        <v>0</v>
      </c>
      <c r="U404" s="50">
        <v>0</v>
      </c>
      <c r="V404" s="50">
        <v>0</v>
      </c>
      <c r="W404" s="61">
        <f t="shared" si="75"/>
        <v>0</v>
      </c>
    </row>
    <row r="405" spans="1:23" s="3" customFormat="1" x14ac:dyDescent="0.2">
      <c r="A405" s="86" t="s">
        <v>600</v>
      </c>
      <c r="B405" s="87"/>
      <c r="C405" s="153" t="s">
        <v>82</v>
      </c>
      <c r="D405" s="154"/>
      <c r="E405" s="154"/>
      <c r="F405" s="154"/>
      <c r="G405" s="155"/>
      <c r="H405" s="1" t="s">
        <v>5</v>
      </c>
      <c r="I405" s="38">
        <v>0</v>
      </c>
      <c r="J405" s="38">
        <v>0</v>
      </c>
      <c r="K405" s="38">
        <v>0</v>
      </c>
      <c r="L405" s="50">
        <v>0</v>
      </c>
      <c r="M405" s="50">
        <v>0</v>
      </c>
      <c r="N405" s="50">
        <v>0</v>
      </c>
      <c r="O405" s="50">
        <v>0</v>
      </c>
      <c r="P405" s="50">
        <v>0</v>
      </c>
      <c r="Q405" s="50">
        <v>0</v>
      </c>
      <c r="R405" s="50">
        <v>0</v>
      </c>
      <c r="S405" s="50">
        <v>0</v>
      </c>
      <c r="T405" s="50">
        <v>0</v>
      </c>
      <c r="U405" s="50">
        <v>0</v>
      </c>
      <c r="V405" s="50">
        <v>0</v>
      </c>
      <c r="W405" s="61">
        <f t="shared" si="75"/>
        <v>0</v>
      </c>
    </row>
    <row r="406" spans="1:23" s="3" customFormat="1" x14ac:dyDescent="0.2">
      <c r="A406" s="86" t="s">
        <v>601</v>
      </c>
      <c r="B406" s="87"/>
      <c r="C406" s="153" t="s">
        <v>83</v>
      </c>
      <c r="D406" s="154"/>
      <c r="E406" s="154"/>
      <c r="F406" s="154"/>
      <c r="G406" s="155"/>
      <c r="H406" s="1" t="s">
        <v>5</v>
      </c>
      <c r="I406" s="38">
        <v>0</v>
      </c>
      <c r="J406" s="38">
        <v>0</v>
      </c>
      <c r="K406" s="38">
        <v>0</v>
      </c>
      <c r="L406" s="50">
        <v>0</v>
      </c>
      <c r="M406" s="50">
        <v>0</v>
      </c>
      <c r="N406" s="50">
        <v>0</v>
      </c>
      <c r="O406" s="50">
        <v>0</v>
      </c>
      <c r="P406" s="50">
        <v>0</v>
      </c>
      <c r="Q406" s="50">
        <v>0</v>
      </c>
      <c r="R406" s="50">
        <v>0</v>
      </c>
      <c r="S406" s="50">
        <v>0</v>
      </c>
      <c r="T406" s="50">
        <v>0</v>
      </c>
      <c r="U406" s="50">
        <v>0</v>
      </c>
      <c r="V406" s="50">
        <v>0</v>
      </c>
      <c r="W406" s="61">
        <f t="shared" si="75"/>
        <v>0</v>
      </c>
    </row>
    <row r="407" spans="1:23" s="3" customFormat="1" x14ac:dyDescent="0.2">
      <c r="A407" s="86" t="s">
        <v>602</v>
      </c>
      <c r="B407" s="87"/>
      <c r="C407" s="91" t="s">
        <v>629</v>
      </c>
      <c r="D407" s="92"/>
      <c r="E407" s="92"/>
      <c r="F407" s="92"/>
      <c r="G407" s="93"/>
      <c r="H407" s="1" t="s">
        <v>5</v>
      </c>
      <c r="I407" s="38">
        <v>0</v>
      </c>
      <c r="J407" s="38">
        <v>0</v>
      </c>
      <c r="K407" s="38">
        <v>0</v>
      </c>
      <c r="L407" s="50">
        <v>0</v>
      </c>
      <c r="M407" s="50">
        <v>0</v>
      </c>
      <c r="N407" s="50">
        <v>0</v>
      </c>
      <c r="O407" s="50">
        <v>0</v>
      </c>
      <c r="P407" s="50">
        <v>0</v>
      </c>
      <c r="Q407" s="50">
        <v>0</v>
      </c>
      <c r="R407" s="50">
        <v>0</v>
      </c>
      <c r="S407" s="50">
        <v>0</v>
      </c>
      <c r="T407" s="50">
        <v>0</v>
      </c>
      <c r="U407" s="50">
        <v>0</v>
      </c>
      <c r="V407" s="50">
        <v>0</v>
      </c>
      <c r="W407" s="61">
        <f t="shared" si="75"/>
        <v>0</v>
      </c>
    </row>
    <row r="408" spans="1:23" s="3" customFormat="1" x14ac:dyDescent="0.2">
      <c r="A408" s="86" t="s">
        <v>603</v>
      </c>
      <c r="B408" s="87"/>
      <c r="C408" s="91" t="s">
        <v>630</v>
      </c>
      <c r="D408" s="92"/>
      <c r="E408" s="92"/>
      <c r="F408" s="92"/>
      <c r="G408" s="93"/>
      <c r="H408" s="1" t="s">
        <v>5</v>
      </c>
      <c r="I408" s="38">
        <v>0</v>
      </c>
      <c r="J408" s="38">
        <v>0</v>
      </c>
      <c r="K408" s="38">
        <v>0</v>
      </c>
      <c r="L408" s="50">
        <v>0</v>
      </c>
      <c r="M408" s="50">
        <v>0</v>
      </c>
      <c r="N408" s="50">
        <v>0</v>
      </c>
      <c r="O408" s="50">
        <v>0</v>
      </c>
      <c r="P408" s="50">
        <v>0</v>
      </c>
      <c r="Q408" s="50">
        <v>0</v>
      </c>
      <c r="R408" s="50">
        <v>0</v>
      </c>
      <c r="S408" s="50">
        <v>0</v>
      </c>
      <c r="T408" s="50">
        <v>0</v>
      </c>
      <c r="U408" s="50">
        <v>0</v>
      </c>
      <c r="V408" s="50">
        <v>0</v>
      </c>
      <c r="W408" s="61">
        <f t="shared" si="75"/>
        <v>0</v>
      </c>
    </row>
    <row r="409" spans="1:23" s="3" customFormat="1" x14ac:dyDescent="0.2">
      <c r="A409" s="86" t="s">
        <v>604</v>
      </c>
      <c r="B409" s="87"/>
      <c r="C409" s="127" t="s">
        <v>628</v>
      </c>
      <c r="D409" s="128"/>
      <c r="E409" s="128"/>
      <c r="F409" s="128"/>
      <c r="G409" s="129"/>
      <c r="H409" s="1" t="s">
        <v>5</v>
      </c>
      <c r="I409" s="38">
        <v>0</v>
      </c>
      <c r="J409" s="38">
        <v>0</v>
      </c>
      <c r="K409" s="38">
        <v>0</v>
      </c>
      <c r="L409" s="50">
        <v>0</v>
      </c>
      <c r="M409" s="50">
        <v>0</v>
      </c>
      <c r="N409" s="50">
        <v>0</v>
      </c>
      <c r="O409" s="50">
        <v>0</v>
      </c>
      <c r="P409" s="50">
        <v>0</v>
      </c>
      <c r="Q409" s="50">
        <v>0</v>
      </c>
      <c r="R409" s="50">
        <v>0</v>
      </c>
      <c r="S409" s="50">
        <v>0</v>
      </c>
      <c r="T409" s="50">
        <v>0</v>
      </c>
      <c r="U409" s="50">
        <v>0</v>
      </c>
      <c r="V409" s="50">
        <v>0</v>
      </c>
      <c r="W409" s="61">
        <f t="shared" si="75"/>
        <v>0</v>
      </c>
    </row>
    <row r="410" spans="1:23" s="3" customFormat="1" ht="16.5" customHeight="1" x14ac:dyDescent="0.2">
      <c r="A410" s="86" t="s">
        <v>605</v>
      </c>
      <c r="B410" s="87"/>
      <c r="C410" s="127" t="s">
        <v>47</v>
      </c>
      <c r="D410" s="128"/>
      <c r="E410" s="128"/>
      <c r="F410" s="128"/>
      <c r="G410" s="129"/>
      <c r="H410" s="1" t="s">
        <v>5</v>
      </c>
      <c r="I410" s="38">
        <v>0</v>
      </c>
      <c r="J410" s="38">
        <v>0</v>
      </c>
      <c r="K410" s="38">
        <v>0</v>
      </c>
      <c r="L410" s="50">
        <v>0</v>
      </c>
      <c r="M410" s="50">
        <v>0</v>
      </c>
      <c r="N410" s="50">
        <v>0</v>
      </c>
      <c r="O410" s="50">
        <v>0</v>
      </c>
      <c r="P410" s="50">
        <v>0</v>
      </c>
      <c r="Q410" s="50">
        <v>0</v>
      </c>
      <c r="R410" s="50">
        <v>0</v>
      </c>
      <c r="S410" s="50">
        <v>0</v>
      </c>
      <c r="T410" s="50">
        <v>0</v>
      </c>
      <c r="U410" s="50">
        <v>0</v>
      </c>
      <c r="V410" s="50">
        <v>0</v>
      </c>
      <c r="W410" s="61">
        <f t="shared" si="75"/>
        <v>0</v>
      </c>
    </row>
    <row r="411" spans="1:23" s="3" customFormat="1" ht="16.5" customHeight="1" x14ac:dyDescent="0.2">
      <c r="A411" s="86" t="s">
        <v>606</v>
      </c>
      <c r="B411" s="87"/>
      <c r="C411" s="127" t="s">
        <v>52</v>
      </c>
      <c r="D411" s="128"/>
      <c r="E411" s="128"/>
      <c r="F411" s="128"/>
      <c r="G411" s="129"/>
      <c r="H411" s="1" t="s">
        <v>5</v>
      </c>
      <c r="I411" s="38">
        <v>0</v>
      </c>
      <c r="J411" s="38">
        <v>0</v>
      </c>
      <c r="K411" s="38">
        <v>0</v>
      </c>
      <c r="L411" s="50">
        <v>0</v>
      </c>
      <c r="M411" s="50">
        <v>0</v>
      </c>
      <c r="N411" s="50">
        <v>0</v>
      </c>
      <c r="O411" s="50">
        <v>0</v>
      </c>
      <c r="P411" s="50">
        <v>0</v>
      </c>
      <c r="Q411" s="50">
        <v>0</v>
      </c>
      <c r="R411" s="50">
        <v>0</v>
      </c>
      <c r="S411" s="50">
        <v>0</v>
      </c>
      <c r="T411" s="50">
        <v>0</v>
      </c>
      <c r="U411" s="50">
        <v>0</v>
      </c>
      <c r="V411" s="50">
        <v>0</v>
      </c>
      <c r="W411" s="61">
        <f t="shared" si="75"/>
        <v>0</v>
      </c>
    </row>
    <row r="412" spans="1:23" s="3" customFormat="1" ht="16.5" customHeight="1" x14ac:dyDescent="0.2">
      <c r="A412" s="86" t="s">
        <v>606</v>
      </c>
      <c r="B412" s="87"/>
      <c r="C412" s="127" t="s">
        <v>53</v>
      </c>
      <c r="D412" s="128"/>
      <c r="E412" s="128"/>
      <c r="F412" s="128"/>
      <c r="G412" s="129"/>
      <c r="H412" s="1" t="s">
        <v>5</v>
      </c>
      <c r="I412" s="38">
        <v>0</v>
      </c>
      <c r="J412" s="38">
        <v>0</v>
      </c>
      <c r="K412" s="38">
        <v>0</v>
      </c>
      <c r="L412" s="50">
        <v>0</v>
      </c>
      <c r="M412" s="50">
        <v>0</v>
      </c>
      <c r="N412" s="50">
        <v>0</v>
      </c>
      <c r="O412" s="50">
        <v>0</v>
      </c>
      <c r="P412" s="50">
        <v>0</v>
      </c>
      <c r="Q412" s="50">
        <v>0</v>
      </c>
      <c r="R412" s="50">
        <v>0</v>
      </c>
      <c r="S412" s="50">
        <v>0</v>
      </c>
      <c r="T412" s="50">
        <v>0</v>
      </c>
      <c r="U412" s="50">
        <v>0</v>
      </c>
      <c r="V412" s="50">
        <v>0</v>
      </c>
      <c r="W412" s="61">
        <f t="shared" si="75"/>
        <v>0</v>
      </c>
    </row>
    <row r="413" spans="1:23" s="3" customFormat="1" x14ac:dyDescent="0.2">
      <c r="A413" s="86" t="s">
        <v>607</v>
      </c>
      <c r="B413" s="87"/>
      <c r="C413" s="127" t="s">
        <v>418</v>
      </c>
      <c r="D413" s="128"/>
      <c r="E413" s="128"/>
      <c r="F413" s="128"/>
      <c r="G413" s="129"/>
      <c r="H413" s="1" t="s">
        <v>5</v>
      </c>
      <c r="I413" s="38">
        <v>0</v>
      </c>
      <c r="J413" s="38">
        <v>0</v>
      </c>
      <c r="K413" s="38">
        <v>0</v>
      </c>
      <c r="L413" s="50">
        <v>0</v>
      </c>
      <c r="M413" s="50">
        <v>0</v>
      </c>
      <c r="N413" s="50">
        <v>0</v>
      </c>
      <c r="O413" s="50">
        <v>0</v>
      </c>
      <c r="P413" s="50">
        <v>0</v>
      </c>
      <c r="Q413" s="50">
        <v>0</v>
      </c>
      <c r="R413" s="50">
        <v>0</v>
      </c>
      <c r="S413" s="50">
        <v>0</v>
      </c>
      <c r="T413" s="50">
        <v>0</v>
      </c>
      <c r="U413" s="50">
        <v>0</v>
      </c>
      <c r="V413" s="50">
        <v>0</v>
      </c>
      <c r="W413" s="61">
        <f t="shared" si="75"/>
        <v>0</v>
      </c>
    </row>
    <row r="414" spans="1:23" s="3" customFormat="1" x14ac:dyDescent="0.2">
      <c r="A414" s="86" t="s">
        <v>608</v>
      </c>
      <c r="B414" s="87"/>
      <c r="C414" s="127" t="s">
        <v>419</v>
      </c>
      <c r="D414" s="128"/>
      <c r="E414" s="128"/>
      <c r="F414" s="128"/>
      <c r="G414" s="129"/>
      <c r="H414" s="1" t="s">
        <v>5</v>
      </c>
      <c r="I414" s="38">
        <v>0</v>
      </c>
      <c r="J414" s="38">
        <v>0</v>
      </c>
      <c r="K414" s="38">
        <v>0</v>
      </c>
      <c r="L414" s="50">
        <v>0</v>
      </c>
      <c r="M414" s="50">
        <v>0</v>
      </c>
      <c r="N414" s="50">
        <v>0</v>
      </c>
      <c r="O414" s="50">
        <v>0</v>
      </c>
      <c r="P414" s="50">
        <v>0</v>
      </c>
      <c r="Q414" s="50">
        <v>0</v>
      </c>
      <c r="R414" s="50">
        <v>0</v>
      </c>
      <c r="S414" s="50">
        <v>0</v>
      </c>
      <c r="T414" s="50">
        <v>0</v>
      </c>
      <c r="U414" s="50">
        <v>0</v>
      </c>
      <c r="V414" s="50">
        <v>0</v>
      </c>
      <c r="W414" s="61">
        <f t="shared" si="75"/>
        <v>0</v>
      </c>
    </row>
    <row r="415" spans="1:23" s="3" customFormat="1" x14ac:dyDescent="0.2">
      <c r="A415" s="86" t="s">
        <v>609</v>
      </c>
      <c r="B415" s="87"/>
      <c r="C415" s="127" t="s">
        <v>420</v>
      </c>
      <c r="D415" s="128"/>
      <c r="E415" s="128"/>
      <c r="F415" s="128"/>
      <c r="G415" s="129"/>
      <c r="H415" s="1" t="s">
        <v>5</v>
      </c>
      <c r="I415" s="38">
        <v>0</v>
      </c>
      <c r="J415" s="38">
        <v>0</v>
      </c>
      <c r="K415" s="38">
        <v>0</v>
      </c>
      <c r="L415" s="50">
        <v>0</v>
      </c>
      <c r="M415" s="50">
        <v>0</v>
      </c>
      <c r="N415" s="50">
        <v>0</v>
      </c>
      <c r="O415" s="50">
        <v>0</v>
      </c>
      <c r="P415" s="50">
        <v>0</v>
      </c>
      <c r="Q415" s="50">
        <v>0</v>
      </c>
      <c r="R415" s="50">
        <v>0</v>
      </c>
      <c r="S415" s="50">
        <v>0</v>
      </c>
      <c r="T415" s="50">
        <v>0</v>
      </c>
      <c r="U415" s="50">
        <v>0</v>
      </c>
      <c r="V415" s="50">
        <v>0</v>
      </c>
      <c r="W415" s="61">
        <f t="shared" si="75"/>
        <v>0</v>
      </c>
    </row>
    <row r="416" spans="1:23" s="3" customFormat="1" x14ac:dyDescent="0.2">
      <c r="A416" s="86" t="s">
        <v>610</v>
      </c>
      <c r="B416" s="87"/>
      <c r="C416" s="127" t="s">
        <v>422</v>
      </c>
      <c r="D416" s="128"/>
      <c r="E416" s="128"/>
      <c r="F416" s="128"/>
      <c r="G416" s="129"/>
      <c r="H416" s="1" t="s">
        <v>5</v>
      </c>
      <c r="I416" s="38">
        <v>0</v>
      </c>
      <c r="J416" s="38">
        <v>0</v>
      </c>
      <c r="K416" s="38">
        <v>0</v>
      </c>
      <c r="L416" s="50">
        <v>0</v>
      </c>
      <c r="M416" s="50">
        <v>0</v>
      </c>
      <c r="N416" s="50">
        <v>0</v>
      </c>
      <c r="O416" s="50">
        <v>0</v>
      </c>
      <c r="P416" s="50">
        <v>0</v>
      </c>
      <c r="Q416" s="50">
        <v>0</v>
      </c>
      <c r="R416" s="50">
        <v>0</v>
      </c>
      <c r="S416" s="50">
        <v>0</v>
      </c>
      <c r="T416" s="50">
        <v>0</v>
      </c>
      <c r="U416" s="50">
        <v>0</v>
      </c>
      <c r="V416" s="50">
        <v>0</v>
      </c>
      <c r="W416" s="61">
        <f t="shared" si="75"/>
        <v>0</v>
      </c>
    </row>
    <row r="417" spans="1:23" s="3" customFormat="1" x14ac:dyDescent="0.2">
      <c r="A417" s="86" t="s">
        <v>611</v>
      </c>
      <c r="B417" s="87"/>
      <c r="C417" s="127" t="s">
        <v>423</v>
      </c>
      <c r="D417" s="128"/>
      <c r="E417" s="128"/>
      <c r="F417" s="128"/>
      <c r="G417" s="129"/>
      <c r="H417" s="1" t="s">
        <v>5</v>
      </c>
      <c r="I417" s="38">
        <v>0</v>
      </c>
      <c r="J417" s="38">
        <v>0</v>
      </c>
      <c r="K417" s="38">
        <v>0</v>
      </c>
      <c r="L417" s="50">
        <v>0</v>
      </c>
      <c r="M417" s="50">
        <v>0</v>
      </c>
      <c r="N417" s="50">
        <v>0</v>
      </c>
      <c r="O417" s="50">
        <v>0</v>
      </c>
      <c r="P417" s="50">
        <v>0</v>
      </c>
      <c r="Q417" s="50">
        <v>0</v>
      </c>
      <c r="R417" s="50">
        <v>0</v>
      </c>
      <c r="S417" s="50">
        <v>0</v>
      </c>
      <c r="T417" s="50">
        <v>0</v>
      </c>
      <c r="U417" s="50">
        <v>0</v>
      </c>
      <c r="V417" s="50">
        <v>0</v>
      </c>
      <c r="W417" s="61">
        <f t="shared" si="75"/>
        <v>0</v>
      </c>
    </row>
    <row r="418" spans="1:23" s="3" customFormat="1" ht="16.5" customHeight="1" x14ac:dyDescent="0.2">
      <c r="A418" s="86" t="s">
        <v>612</v>
      </c>
      <c r="B418" s="87"/>
      <c r="C418" s="127" t="s">
        <v>424</v>
      </c>
      <c r="D418" s="128"/>
      <c r="E418" s="128"/>
      <c r="F418" s="128"/>
      <c r="G418" s="129"/>
      <c r="H418" s="1" t="s">
        <v>5</v>
      </c>
      <c r="I418" s="38">
        <v>0</v>
      </c>
      <c r="J418" s="38">
        <v>0</v>
      </c>
      <c r="K418" s="38">
        <v>0</v>
      </c>
      <c r="L418" s="50">
        <v>0</v>
      </c>
      <c r="M418" s="50">
        <v>0</v>
      </c>
      <c r="N418" s="50">
        <v>0</v>
      </c>
      <c r="O418" s="50">
        <v>0</v>
      </c>
      <c r="P418" s="50">
        <v>0</v>
      </c>
      <c r="Q418" s="50">
        <v>0</v>
      </c>
      <c r="R418" s="50">
        <v>0</v>
      </c>
      <c r="S418" s="50">
        <v>0</v>
      </c>
      <c r="T418" s="50">
        <v>0</v>
      </c>
      <c r="U418" s="50">
        <v>0</v>
      </c>
      <c r="V418" s="50">
        <v>0</v>
      </c>
      <c r="W418" s="61">
        <f t="shared" si="75"/>
        <v>0</v>
      </c>
    </row>
    <row r="419" spans="1:23" s="3" customFormat="1" x14ac:dyDescent="0.2">
      <c r="A419" s="86" t="s">
        <v>631</v>
      </c>
      <c r="B419" s="87"/>
      <c r="C419" s="153" t="s">
        <v>82</v>
      </c>
      <c r="D419" s="154"/>
      <c r="E419" s="154"/>
      <c r="F419" s="154"/>
      <c r="G419" s="155"/>
      <c r="H419" s="1" t="s">
        <v>5</v>
      </c>
      <c r="I419" s="38">
        <v>0</v>
      </c>
      <c r="J419" s="38">
        <v>0</v>
      </c>
      <c r="K419" s="38">
        <v>0</v>
      </c>
      <c r="L419" s="50">
        <v>0</v>
      </c>
      <c r="M419" s="50">
        <v>0</v>
      </c>
      <c r="N419" s="50">
        <v>0</v>
      </c>
      <c r="O419" s="50">
        <v>0</v>
      </c>
      <c r="P419" s="50">
        <v>0</v>
      </c>
      <c r="Q419" s="50">
        <v>0</v>
      </c>
      <c r="R419" s="50">
        <v>0</v>
      </c>
      <c r="S419" s="50">
        <v>0</v>
      </c>
      <c r="T419" s="50">
        <v>0</v>
      </c>
      <c r="U419" s="50">
        <v>0</v>
      </c>
      <c r="V419" s="50">
        <v>0</v>
      </c>
      <c r="W419" s="61">
        <f t="shared" si="75"/>
        <v>0</v>
      </c>
    </row>
    <row r="420" spans="1:23" s="3" customFormat="1" x14ac:dyDescent="0.2">
      <c r="A420" s="86" t="s">
        <v>632</v>
      </c>
      <c r="B420" s="87"/>
      <c r="C420" s="153" t="s">
        <v>83</v>
      </c>
      <c r="D420" s="154"/>
      <c r="E420" s="154"/>
      <c r="F420" s="154"/>
      <c r="G420" s="155"/>
      <c r="H420" s="1" t="s">
        <v>5</v>
      </c>
      <c r="I420" s="38">
        <v>0</v>
      </c>
      <c r="J420" s="38">
        <v>0</v>
      </c>
      <c r="K420" s="38">
        <v>0</v>
      </c>
      <c r="L420" s="50">
        <v>0</v>
      </c>
      <c r="M420" s="50">
        <v>0</v>
      </c>
      <c r="N420" s="50">
        <v>0</v>
      </c>
      <c r="O420" s="50">
        <v>0</v>
      </c>
      <c r="P420" s="50">
        <v>0</v>
      </c>
      <c r="Q420" s="50">
        <v>0</v>
      </c>
      <c r="R420" s="50">
        <v>0</v>
      </c>
      <c r="S420" s="50">
        <v>0</v>
      </c>
      <c r="T420" s="50">
        <v>0</v>
      </c>
      <c r="U420" s="50">
        <v>0</v>
      </c>
      <c r="V420" s="50">
        <v>0</v>
      </c>
      <c r="W420" s="61">
        <f t="shared" si="75"/>
        <v>0</v>
      </c>
    </row>
    <row r="421" spans="1:23" s="3" customFormat="1" x14ac:dyDescent="0.2">
      <c r="A421" s="86" t="s">
        <v>16</v>
      </c>
      <c r="B421" s="87"/>
      <c r="C421" s="88" t="s">
        <v>635</v>
      </c>
      <c r="D421" s="89"/>
      <c r="E421" s="89"/>
      <c r="F421" s="89"/>
      <c r="G421" s="90"/>
      <c r="H421" s="1" t="s">
        <v>5</v>
      </c>
      <c r="I421" s="38">
        <v>0</v>
      </c>
      <c r="J421" s="38">
        <v>33</v>
      </c>
      <c r="K421" s="38">
        <v>53.42</v>
      </c>
      <c r="L421" s="50">
        <v>0</v>
      </c>
      <c r="M421" s="50">
        <f>'[5]2'!$AR$22+'[5]2'!$AR$24</f>
        <v>2.8874490000000002</v>
      </c>
      <c r="N421" s="50">
        <v>0</v>
      </c>
      <c r="O421" s="50">
        <v>0</v>
      </c>
      <c r="P421" s="50">
        <v>0</v>
      </c>
      <c r="Q421" s="50">
        <v>0</v>
      </c>
      <c r="R421" s="50">
        <v>0</v>
      </c>
      <c r="S421" s="50">
        <v>0</v>
      </c>
      <c r="T421" s="50">
        <v>0</v>
      </c>
      <c r="U421" s="50">
        <v>0</v>
      </c>
      <c r="V421" s="50">
        <v>0</v>
      </c>
      <c r="W421" s="61">
        <f t="shared" si="75"/>
        <v>2.8874490000000002</v>
      </c>
    </row>
    <row r="422" spans="1:23" s="3" customFormat="1" x14ac:dyDescent="0.2">
      <c r="A422" s="86" t="s">
        <v>17</v>
      </c>
      <c r="B422" s="87"/>
      <c r="C422" s="88" t="s">
        <v>636</v>
      </c>
      <c r="D422" s="89"/>
      <c r="E422" s="89"/>
      <c r="F422" s="89"/>
      <c r="G422" s="90"/>
      <c r="H422" s="1" t="s">
        <v>5</v>
      </c>
      <c r="I422" s="38">
        <v>0</v>
      </c>
      <c r="J422" s="38">
        <v>8.26</v>
      </c>
      <c r="K422" s="38">
        <v>0</v>
      </c>
      <c r="L422" s="50">
        <v>0</v>
      </c>
      <c r="M422" s="50">
        <v>0</v>
      </c>
      <c r="N422" s="50">
        <v>0</v>
      </c>
      <c r="O422" s="50">
        <v>0</v>
      </c>
      <c r="P422" s="50">
        <v>0</v>
      </c>
      <c r="Q422" s="50">
        <v>0</v>
      </c>
      <c r="R422" s="50">
        <v>0</v>
      </c>
      <c r="S422" s="50">
        <v>0</v>
      </c>
      <c r="T422" s="50">
        <v>0</v>
      </c>
      <c r="U422" s="50">
        <v>0</v>
      </c>
      <c r="V422" s="50">
        <v>0</v>
      </c>
      <c r="W422" s="61">
        <f t="shared" si="75"/>
        <v>0</v>
      </c>
    </row>
    <row r="423" spans="1:23" s="3" customFormat="1" x14ac:dyDescent="0.2">
      <c r="A423" s="86" t="s">
        <v>633</v>
      </c>
      <c r="B423" s="87"/>
      <c r="C423" s="91" t="s">
        <v>637</v>
      </c>
      <c r="D423" s="92"/>
      <c r="E423" s="92"/>
      <c r="F423" s="92"/>
      <c r="G423" s="93"/>
      <c r="H423" s="1" t="s">
        <v>5</v>
      </c>
      <c r="I423" s="38">
        <v>0</v>
      </c>
      <c r="J423" s="38">
        <v>0</v>
      </c>
      <c r="K423" s="38">
        <v>0</v>
      </c>
      <c r="L423" s="50">
        <v>0</v>
      </c>
      <c r="M423" s="50">
        <v>0</v>
      </c>
      <c r="N423" s="50">
        <v>0</v>
      </c>
      <c r="O423" s="50">
        <v>0</v>
      </c>
      <c r="P423" s="50">
        <v>0</v>
      </c>
      <c r="Q423" s="50">
        <v>0</v>
      </c>
      <c r="R423" s="50">
        <v>0</v>
      </c>
      <c r="S423" s="50">
        <v>0</v>
      </c>
      <c r="T423" s="50">
        <v>0</v>
      </c>
      <c r="U423" s="50">
        <v>0</v>
      </c>
      <c r="V423" s="50">
        <v>0</v>
      </c>
      <c r="W423" s="61">
        <f t="shared" si="75"/>
        <v>0</v>
      </c>
    </row>
    <row r="424" spans="1:23" s="3" customFormat="1" x14ac:dyDescent="0.2">
      <c r="A424" s="86" t="s">
        <v>634</v>
      </c>
      <c r="B424" s="87"/>
      <c r="C424" s="91" t="s">
        <v>638</v>
      </c>
      <c r="D424" s="92"/>
      <c r="E424" s="92"/>
      <c r="F424" s="92"/>
      <c r="G424" s="93"/>
      <c r="H424" s="1" t="s">
        <v>5</v>
      </c>
      <c r="I424" s="38">
        <v>0</v>
      </c>
      <c r="J424" s="38">
        <v>0</v>
      </c>
      <c r="K424" s="38">
        <v>0</v>
      </c>
      <c r="L424" s="50">
        <v>0</v>
      </c>
      <c r="M424" s="50">
        <v>0</v>
      </c>
      <c r="N424" s="50">
        <v>0</v>
      </c>
      <c r="O424" s="50">
        <v>0</v>
      </c>
      <c r="P424" s="50">
        <v>0</v>
      </c>
      <c r="Q424" s="50">
        <v>0</v>
      </c>
      <c r="R424" s="50">
        <v>0</v>
      </c>
      <c r="S424" s="50">
        <v>0</v>
      </c>
      <c r="T424" s="50">
        <v>0</v>
      </c>
      <c r="U424" s="50">
        <v>0</v>
      </c>
      <c r="V424" s="50">
        <v>0</v>
      </c>
      <c r="W424" s="61">
        <f t="shared" si="75"/>
        <v>0</v>
      </c>
    </row>
    <row r="425" spans="1:23" s="3" customFormat="1" ht="9" customHeight="1" x14ac:dyDescent="0.2">
      <c r="A425" s="86" t="s">
        <v>26</v>
      </c>
      <c r="B425" s="87"/>
      <c r="C425" s="150" t="s">
        <v>639</v>
      </c>
      <c r="D425" s="151"/>
      <c r="E425" s="151"/>
      <c r="F425" s="151"/>
      <c r="G425" s="152"/>
      <c r="H425" s="1" t="s">
        <v>5</v>
      </c>
      <c r="I425" s="38">
        <v>46.48</v>
      </c>
      <c r="J425" s="38">
        <v>100</v>
      </c>
      <c r="K425" s="38">
        <f>SUM(K426:K430,K435:K436)</f>
        <v>159.97000000000003</v>
      </c>
      <c r="L425" s="50">
        <v>170.63821408999999</v>
      </c>
      <c r="M425" s="50">
        <f>SUM(M426:M430,M435:M436)</f>
        <v>170.64252412600001</v>
      </c>
      <c r="N425" s="50">
        <v>0</v>
      </c>
      <c r="O425" s="50">
        <v>0</v>
      </c>
      <c r="P425" s="50">
        <v>0</v>
      </c>
      <c r="Q425" s="50">
        <v>0</v>
      </c>
      <c r="R425" s="50">
        <v>0</v>
      </c>
      <c r="S425" s="50">
        <v>0</v>
      </c>
      <c r="T425" s="50">
        <v>0</v>
      </c>
      <c r="U425" s="50">
        <v>0</v>
      </c>
      <c r="V425" s="50">
        <v>0</v>
      </c>
      <c r="W425" s="61">
        <f t="shared" si="75"/>
        <v>170.64252412600001</v>
      </c>
    </row>
    <row r="426" spans="1:23" s="3" customFormat="1" x14ac:dyDescent="0.2">
      <c r="A426" s="86" t="s">
        <v>28</v>
      </c>
      <c r="B426" s="87"/>
      <c r="C426" s="88" t="s">
        <v>642</v>
      </c>
      <c r="D426" s="89"/>
      <c r="E426" s="89"/>
      <c r="F426" s="89"/>
      <c r="G426" s="90"/>
      <c r="H426" s="1" t="s">
        <v>5</v>
      </c>
      <c r="I426" s="38">
        <v>46.48</v>
      </c>
      <c r="J426" s="38">
        <v>100</v>
      </c>
      <c r="K426" s="38">
        <v>53.52</v>
      </c>
      <c r="L426" s="50">
        <v>0</v>
      </c>
      <c r="M426" s="50">
        <v>0</v>
      </c>
      <c r="N426" s="50">
        <v>0</v>
      </c>
      <c r="O426" s="50">
        <v>0</v>
      </c>
      <c r="P426" s="50">
        <v>0</v>
      </c>
      <c r="Q426" s="50">
        <v>0</v>
      </c>
      <c r="R426" s="50">
        <v>0</v>
      </c>
      <c r="S426" s="50">
        <v>0</v>
      </c>
      <c r="T426" s="50">
        <v>0</v>
      </c>
      <c r="U426" s="50">
        <v>0</v>
      </c>
      <c r="V426" s="50">
        <v>0</v>
      </c>
      <c r="W426" s="61">
        <f t="shared" si="75"/>
        <v>0</v>
      </c>
    </row>
    <row r="427" spans="1:23" s="3" customFormat="1" x14ac:dyDescent="0.2">
      <c r="A427" s="86" t="s">
        <v>31</v>
      </c>
      <c r="B427" s="87"/>
      <c r="C427" s="88" t="s">
        <v>643</v>
      </c>
      <c r="D427" s="89"/>
      <c r="E427" s="89"/>
      <c r="F427" s="89"/>
      <c r="G427" s="90"/>
      <c r="H427" s="1" t="s">
        <v>5</v>
      </c>
      <c r="I427" s="38">
        <v>0</v>
      </c>
      <c r="J427" s="38">
        <v>0</v>
      </c>
      <c r="K427" s="38">
        <v>0</v>
      </c>
      <c r="L427" s="50">
        <v>0</v>
      </c>
      <c r="M427" s="50">
        <v>0</v>
      </c>
      <c r="N427" s="50">
        <v>0</v>
      </c>
      <c r="O427" s="50">
        <v>0</v>
      </c>
      <c r="P427" s="50">
        <v>0</v>
      </c>
      <c r="Q427" s="50">
        <v>0</v>
      </c>
      <c r="R427" s="50">
        <v>0</v>
      </c>
      <c r="S427" s="50">
        <v>0</v>
      </c>
      <c r="T427" s="50">
        <v>0</v>
      </c>
      <c r="U427" s="50">
        <v>0</v>
      </c>
      <c r="V427" s="50">
        <v>0</v>
      </c>
      <c r="W427" s="61">
        <f t="shared" si="75"/>
        <v>0</v>
      </c>
    </row>
    <row r="428" spans="1:23" s="3" customFormat="1" ht="12" customHeight="1" x14ac:dyDescent="0.2">
      <c r="A428" s="86" t="s">
        <v>32</v>
      </c>
      <c r="B428" s="87"/>
      <c r="C428" s="88" t="s">
        <v>644</v>
      </c>
      <c r="D428" s="89"/>
      <c r="E428" s="89"/>
      <c r="F428" s="89"/>
      <c r="G428" s="90"/>
      <c r="H428" s="1" t="s">
        <v>5</v>
      </c>
      <c r="I428" s="38">
        <v>0</v>
      </c>
      <c r="J428" s="38">
        <v>0</v>
      </c>
      <c r="K428" s="38">
        <v>0</v>
      </c>
      <c r="L428" s="50">
        <v>0</v>
      </c>
      <c r="M428" s="50">
        <v>0</v>
      </c>
      <c r="N428" s="50">
        <v>0</v>
      </c>
      <c r="O428" s="50">
        <v>0</v>
      </c>
      <c r="P428" s="50">
        <v>0</v>
      </c>
      <c r="Q428" s="50">
        <v>0</v>
      </c>
      <c r="R428" s="50">
        <v>0</v>
      </c>
      <c r="S428" s="50">
        <v>0</v>
      </c>
      <c r="T428" s="50">
        <v>0</v>
      </c>
      <c r="U428" s="50">
        <v>0</v>
      </c>
      <c r="V428" s="50">
        <v>0</v>
      </c>
      <c r="W428" s="61">
        <f t="shared" si="75"/>
        <v>0</v>
      </c>
    </row>
    <row r="429" spans="1:23" s="3" customFormat="1" ht="11.45" customHeight="1" x14ac:dyDescent="0.2">
      <c r="A429" s="86" t="s">
        <v>33</v>
      </c>
      <c r="B429" s="87"/>
      <c r="C429" s="88" t="s">
        <v>645</v>
      </c>
      <c r="D429" s="89"/>
      <c r="E429" s="89"/>
      <c r="F429" s="89"/>
      <c r="G429" s="90"/>
      <c r="H429" s="1" t="s">
        <v>5</v>
      </c>
      <c r="I429" s="38">
        <v>0</v>
      </c>
      <c r="J429" s="38">
        <v>0</v>
      </c>
      <c r="K429" s="38">
        <v>28.8</v>
      </c>
      <c r="L429" s="50">
        <v>170.63821408999999</v>
      </c>
      <c r="M429" s="50">
        <f>'[5]2'!$AR$97</f>
        <v>170.64252412600001</v>
      </c>
      <c r="N429" s="50">
        <v>0</v>
      </c>
      <c r="O429" s="50">
        <v>0</v>
      </c>
      <c r="P429" s="50">
        <v>0</v>
      </c>
      <c r="Q429" s="50">
        <v>0</v>
      </c>
      <c r="R429" s="50">
        <v>0</v>
      </c>
      <c r="S429" s="50">
        <v>0</v>
      </c>
      <c r="T429" s="50">
        <v>0</v>
      </c>
      <c r="U429" s="50">
        <v>0</v>
      </c>
      <c r="V429" s="50">
        <v>0</v>
      </c>
      <c r="W429" s="61">
        <f t="shared" si="75"/>
        <v>170.64252412600001</v>
      </c>
    </row>
    <row r="430" spans="1:23" s="3" customFormat="1" ht="11.45" customHeight="1" x14ac:dyDescent="0.2">
      <c r="A430" s="86" t="s">
        <v>34</v>
      </c>
      <c r="B430" s="87"/>
      <c r="C430" s="88" t="s">
        <v>646</v>
      </c>
      <c r="D430" s="89"/>
      <c r="E430" s="89"/>
      <c r="F430" s="89"/>
      <c r="G430" s="90"/>
      <c r="H430" s="1" t="s">
        <v>5</v>
      </c>
      <c r="I430" s="38">
        <v>0</v>
      </c>
      <c r="J430" s="38">
        <v>0</v>
      </c>
      <c r="K430" s="38">
        <v>0</v>
      </c>
      <c r="L430" s="50">
        <v>0</v>
      </c>
      <c r="M430" s="50">
        <v>0</v>
      </c>
      <c r="N430" s="50">
        <v>0</v>
      </c>
      <c r="O430" s="50">
        <v>0</v>
      </c>
      <c r="P430" s="50">
        <v>0</v>
      </c>
      <c r="Q430" s="50">
        <v>0</v>
      </c>
      <c r="R430" s="50">
        <v>0</v>
      </c>
      <c r="S430" s="50">
        <v>0</v>
      </c>
      <c r="T430" s="50">
        <v>0</v>
      </c>
      <c r="U430" s="50">
        <v>0</v>
      </c>
      <c r="V430" s="50">
        <v>0</v>
      </c>
      <c r="W430" s="61">
        <f t="shared" si="75"/>
        <v>0</v>
      </c>
    </row>
    <row r="431" spans="1:23" s="3" customFormat="1" ht="12.6" customHeight="1" x14ac:dyDescent="0.2">
      <c r="A431" s="86" t="s">
        <v>66</v>
      </c>
      <c r="B431" s="87"/>
      <c r="C431" s="91" t="s">
        <v>297</v>
      </c>
      <c r="D431" s="92"/>
      <c r="E431" s="92"/>
      <c r="F431" s="92"/>
      <c r="G431" s="93"/>
      <c r="H431" s="1" t="s">
        <v>5</v>
      </c>
      <c r="I431" s="38">
        <v>0</v>
      </c>
      <c r="J431" s="38">
        <v>0</v>
      </c>
      <c r="K431" s="38">
        <v>0</v>
      </c>
      <c r="L431" s="50">
        <v>0</v>
      </c>
      <c r="M431" s="50">
        <v>0</v>
      </c>
      <c r="N431" s="50">
        <v>0</v>
      </c>
      <c r="O431" s="50">
        <v>0</v>
      </c>
      <c r="P431" s="50">
        <v>0</v>
      </c>
      <c r="Q431" s="50">
        <v>0</v>
      </c>
      <c r="R431" s="50">
        <v>0</v>
      </c>
      <c r="S431" s="50">
        <v>0</v>
      </c>
      <c r="T431" s="50">
        <v>0</v>
      </c>
      <c r="U431" s="50">
        <v>0</v>
      </c>
      <c r="V431" s="50">
        <v>0</v>
      </c>
      <c r="W431" s="61">
        <f t="shared" si="75"/>
        <v>0</v>
      </c>
    </row>
    <row r="432" spans="1:23" s="3" customFormat="1" ht="16.5" customHeight="1" x14ac:dyDescent="0.2">
      <c r="A432" s="86" t="s">
        <v>640</v>
      </c>
      <c r="B432" s="87"/>
      <c r="C432" s="127" t="s">
        <v>647</v>
      </c>
      <c r="D432" s="128"/>
      <c r="E432" s="128"/>
      <c r="F432" s="128"/>
      <c r="G432" s="129"/>
      <c r="H432" s="1" t="s">
        <v>5</v>
      </c>
      <c r="I432" s="38">
        <v>0</v>
      </c>
      <c r="J432" s="38">
        <v>0</v>
      </c>
      <c r="K432" s="38">
        <v>0</v>
      </c>
      <c r="L432" s="50">
        <v>0</v>
      </c>
      <c r="M432" s="50">
        <v>0</v>
      </c>
      <c r="N432" s="50">
        <v>0</v>
      </c>
      <c r="O432" s="50">
        <v>0</v>
      </c>
      <c r="P432" s="50">
        <v>0</v>
      </c>
      <c r="Q432" s="50">
        <v>0</v>
      </c>
      <c r="R432" s="50">
        <v>0</v>
      </c>
      <c r="S432" s="50">
        <v>0</v>
      </c>
      <c r="T432" s="50">
        <v>0</v>
      </c>
      <c r="U432" s="50">
        <v>0</v>
      </c>
      <c r="V432" s="50">
        <v>0</v>
      </c>
      <c r="W432" s="61">
        <f t="shared" ref="W432:W444" si="82">M432+O432+Q432+S432+U432</f>
        <v>0</v>
      </c>
    </row>
    <row r="433" spans="1:23" s="3" customFormat="1" ht="11.45" customHeight="1" x14ac:dyDescent="0.2">
      <c r="A433" s="86" t="s">
        <v>67</v>
      </c>
      <c r="B433" s="87"/>
      <c r="C433" s="91" t="s">
        <v>298</v>
      </c>
      <c r="D433" s="92"/>
      <c r="E433" s="92"/>
      <c r="F433" s="92"/>
      <c r="G433" s="93"/>
      <c r="H433" s="1" t="s">
        <v>5</v>
      </c>
      <c r="I433" s="38">
        <v>0</v>
      </c>
      <c r="J433" s="38">
        <v>0</v>
      </c>
      <c r="K433" s="38">
        <v>0</v>
      </c>
      <c r="L433" s="50">
        <v>0</v>
      </c>
      <c r="M433" s="50">
        <v>0</v>
      </c>
      <c r="N433" s="50">
        <v>0</v>
      </c>
      <c r="O433" s="50">
        <v>0</v>
      </c>
      <c r="P433" s="50">
        <v>0</v>
      </c>
      <c r="Q433" s="50">
        <v>0</v>
      </c>
      <c r="R433" s="50">
        <v>0</v>
      </c>
      <c r="S433" s="50">
        <v>0</v>
      </c>
      <c r="T433" s="50">
        <v>0</v>
      </c>
      <c r="U433" s="50">
        <v>0</v>
      </c>
      <c r="V433" s="50">
        <v>0</v>
      </c>
      <c r="W433" s="61">
        <f t="shared" si="82"/>
        <v>0</v>
      </c>
    </row>
    <row r="434" spans="1:23" s="3" customFormat="1" ht="16.5" customHeight="1" x14ac:dyDescent="0.2">
      <c r="A434" s="86" t="s">
        <v>641</v>
      </c>
      <c r="B434" s="87"/>
      <c r="C434" s="127" t="s">
        <v>648</v>
      </c>
      <c r="D434" s="128"/>
      <c r="E434" s="128"/>
      <c r="F434" s="128"/>
      <c r="G434" s="129"/>
      <c r="H434" s="1" t="s">
        <v>5</v>
      </c>
      <c r="I434" s="38">
        <v>0</v>
      </c>
      <c r="J434" s="38">
        <v>0</v>
      </c>
      <c r="K434" s="38">
        <v>0</v>
      </c>
      <c r="L434" s="50">
        <v>0</v>
      </c>
      <c r="M434" s="50">
        <v>0</v>
      </c>
      <c r="N434" s="50">
        <v>0</v>
      </c>
      <c r="O434" s="50">
        <v>0</v>
      </c>
      <c r="P434" s="50">
        <v>0</v>
      </c>
      <c r="Q434" s="50">
        <v>0</v>
      </c>
      <c r="R434" s="50">
        <v>0</v>
      </c>
      <c r="S434" s="50">
        <v>0</v>
      </c>
      <c r="T434" s="50">
        <v>0</v>
      </c>
      <c r="U434" s="50">
        <v>0</v>
      </c>
      <c r="V434" s="50">
        <v>0</v>
      </c>
      <c r="W434" s="61">
        <f t="shared" si="82"/>
        <v>0</v>
      </c>
    </row>
    <row r="435" spans="1:23" s="3" customFormat="1" ht="11.45" customHeight="1" x14ac:dyDescent="0.2">
      <c r="A435" s="86" t="s">
        <v>35</v>
      </c>
      <c r="B435" s="87"/>
      <c r="C435" s="88" t="s">
        <v>649</v>
      </c>
      <c r="D435" s="89"/>
      <c r="E435" s="89"/>
      <c r="F435" s="89"/>
      <c r="G435" s="90"/>
      <c r="H435" s="1" t="s">
        <v>5</v>
      </c>
      <c r="I435" s="38">
        <v>0</v>
      </c>
      <c r="J435" s="38">
        <v>0</v>
      </c>
      <c r="K435" s="38">
        <v>47.23</v>
      </c>
      <c r="L435" s="50">
        <v>0</v>
      </c>
      <c r="M435" s="50">
        <v>0</v>
      </c>
      <c r="N435" s="50">
        <v>0</v>
      </c>
      <c r="O435" s="50">
        <v>0</v>
      </c>
      <c r="P435" s="50">
        <v>0</v>
      </c>
      <c r="Q435" s="50">
        <v>0</v>
      </c>
      <c r="R435" s="50">
        <v>0</v>
      </c>
      <c r="S435" s="50">
        <v>0</v>
      </c>
      <c r="T435" s="50">
        <v>0</v>
      </c>
      <c r="U435" s="50">
        <v>0</v>
      </c>
      <c r="V435" s="50">
        <v>0</v>
      </c>
      <c r="W435" s="61">
        <f t="shared" si="82"/>
        <v>0</v>
      </c>
    </row>
    <row r="436" spans="1:23" s="3" customFormat="1" ht="12.6" customHeight="1" thickBot="1" x14ac:dyDescent="0.25">
      <c r="A436" s="117" t="s">
        <v>36</v>
      </c>
      <c r="B436" s="118"/>
      <c r="C436" s="119" t="s">
        <v>650</v>
      </c>
      <c r="D436" s="120"/>
      <c r="E436" s="120"/>
      <c r="F436" s="120"/>
      <c r="G436" s="121"/>
      <c r="H436" s="24" t="s">
        <v>5</v>
      </c>
      <c r="I436" s="38">
        <v>0</v>
      </c>
      <c r="J436" s="38">
        <v>0</v>
      </c>
      <c r="K436" s="38">
        <v>30.42</v>
      </c>
      <c r="L436" s="52"/>
      <c r="M436" s="52"/>
      <c r="N436" s="52">
        <v>0</v>
      </c>
      <c r="O436" s="52">
        <v>0</v>
      </c>
      <c r="P436" s="52">
        <v>0</v>
      </c>
      <c r="Q436" s="52">
        <v>0</v>
      </c>
      <c r="R436" s="52">
        <v>0</v>
      </c>
      <c r="S436" s="52">
        <v>0</v>
      </c>
      <c r="T436" s="52">
        <v>0</v>
      </c>
      <c r="U436" s="52">
        <v>0</v>
      </c>
      <c r="V436" s="52">
        <v>0</v>
      </c>
      <c r="W436" s="69">
        <f t="shared" si="82"/>
        <v>0</v>
      </c>
    </row>
    <row r="437" spans="1:23" s="3" customFormat="1" ht="15" customHeight="1" x14ac:dyDescent="0.2">
      <c r="A437" s="122" t="s">
        <v>114</v>
      </c>
      <c r="B437" s="123"/>
      <c r="C437" s="124" t="s">
        <v>110</v>
      </c>
      <c r="D437" s="125"/>
      <c r="E437" s="125"/>
      <c r="F437" s="125"/>
      <c r="G437" s="126"/>
      <c r="H437" s="25" t="s">
        <v>475</v>
      </c>
      <c r="I437" s="38">
        <v>0</v>
      </c>
      <c r="J437" s="38">
        <v>0</v>
      </c>
      <c r="K437" s="38">
        <v>0</v>
      </c>
      <c r="L437" s="60">
        <v>0</v>
      </c>
      <c r="M437" s="60">
        <v>0</v>
      </c>
      <c r="N437" s="60">
        <v>0</v>
      </c>
      <c r="O437" s="60">
        <v>0</v>
      </c>
      <c r="P437" s="60">
        <v>0</v>
      </c>
      <c r="Q437" s="60">
        <v>0</v>
      </c>
      <c r="R437" s="60">
        <v>0</v>
      </c>
      <c r="S437" s="60">
        <v>0</v>
      </c>
      <c r="T437" s="60">
        <v>0</v>
      </c>
      <c r="U437" s="60">
        <v>0</v>
      </c>
      <c r="V437" s="60">
        <v>0</v>
      </c>
      <c r="W437" s="70">
        <f t="shared" si="82"/>
        <v>0</v>
      </c>
    </row>
    <row r="438" spans="1:23" s="3" customFormat="1" ht="24.75" customHeight="1" x14ac:dyDescent="0.2">
      <c r="A438" s="86" t="s">
        <v>116</v>
      </c>
      <c r="B438" s="87"/>
      <c r="C438" s="88" t="s">
        <v>654</v>
      </c>
      <c r="D438" s="89"/>
      <c r="E438" s="89"/>
      <c r="F438" s="89"/>
      <c r="G438" s="90"/>
      <c r="H438" s="1" t="s">
        <v>5</v>
      </c>
      <c r="I438" s="38">
        <v>0</v>
      </c>
      <c r="J438" s="38">
        <v>2.0880000000000001</v>
      </c>
      <c r="K438" s="38">
        <v>0</v>
      </c>
      <c r="L438" s="50">
        <v>0</v>
      </c>
      <c r="M438" s="50">
        <v>0</v>
      </c>
      <c r="N438" s="50">
        <v>0</v>
      </c>
      <c r="O438" s="50">
        <v>0</v>
      </c>
      <c r="P438" s="50">
        <v>0</v>
      </c>
      <c r="Q438" s="50">
        <v>0</v>
      </c>
      <c r="R438" s="50">
        <v>0</v>
      </c>
      <c r="S438" s="50">
        <v>0</v>
      </c>
      <c r="T438" s="50">
        <v>0</v>
      </c>
      <c r="U438" s="50">
        <v>0</v>
      </c>
      <c r="V438" s="50">
        <v>8.76</v>
      </c>
      <c r="W438" s="61">
        <f t="shared" si="82"/>
        <v>0</v>
      </c>
    </row>
    <row r="439" spans="1:23" s="3" customFormat="1" ht="13.9" customHeight="1" x14ac:dyDescent="0.2">
      <c r="A439" s="86" t="s">
        <v>117</v>
      </c>
      <c r="B439" s="87"/>
      <c r="C439" s="91" t="s">
        <v>655</v>
      </c>
      <c r="D439" s="92"/>
      <c r="E439" s="92"/>
      <c r="F439" s="92"/>
      <c r="G439" s="93"/>
      <c r="H439" s="1" t="s">
        <v>5</v>
      </c>
      <c r="I439" s="38">
        <v>0</v>
      </c>
      <c r="J439" s="38">
        <v>0</v>
      </c>
      <c r="K439" s="38">
        <v>0</v>
      </c>
      <c r="L439" s="50">
        <v>0</v>
      </c>
      <c r="M439" s="50">
        <v>0</v>
      </c>
      <c r="N439" s="50">
        <v>0</v>
      </c>
      <c r="O439" s="50">
        <v>0</v>
      </c>
      <c r="P439" s="50">
        <v>0</v>
      </c>
      <c r="Q439" s="50">
        <v>0</v>
      </c>
      <c r="R439" s="50">
        <v>0</v>
      </c>
      <c r="S439" s="50">
        <v>0</v>
      </c>
      <c r="T439" s="50">
        <v>0</v>
      </c>
      <c r="U439" s="50">
        <v>0</v>
      </c>
      <c r="V439" s="50">
        <v>9.0399999999999991</v>
      </c>
      <c r="W439" s="61">
        <f t="shared" si="82"/>
        <v>0</v>
      </c>
    </row>
    <row r="440" spans="1:23" s="3" customFormat="1" ht="16.5" customHeight="1" x14ac:dyDescent="0.2">
      <c r="A440" s="86" t="s">
        <v>118</v>
      </c>
      <c r="B440" s="87"/>
      <c r="C440" s="91" t="s">
        <v>673</v>
      </c>
      <c r="D440" s="92"/>
      <c r="E440" s="92"/>
      <c r="F440" s="92"/>
      <c r="G440" s="93"/>
      <c r="H440" s="1" t="s">
        <v>5</v>
      </c>
      <c r="I440" s="38">
        <v>0</v>
      </c>
      <c r="J440" s="38">
        <v>0</v>
      </c>
      <c r="K440" s="38">
        <v>0</v>
      </c>
      <c r="L440" s="50">
        <v>0</v>
      </c>
      <c r="M440" s="50">
        <v>0</v>
      </c>
      <c r="N440" s="50">
        <v>0</v>
      </c>
      <c r="O440" s="50">
        <v>0</v>
      </c>
      <c r="P440" s="50">
        <v>0</v>
      </c>
      <c r="Q440" s="50">
        <v>0</v>
      </c>
      <c r="R440" s="50">
        <v>0</v>
      </c>
      <c r="S440" s="50">
        <v>0</v>
      </c>
      <c r="T440" s="50">
        <v>0</v>
      </c>
      <c r="U440" s="50">
        <v>0</v>
      </c>
      <c r="V440" s="50">
        <v>0</v>
      </c>
      <c r="W440" s="61">
        <f t="shared" si="82"/>
        <v>0</v>
      </c>
    </row>
    <row r="441" spans="1:23" s="3" customFormat="1" ht="13.15" customHeight="1" x14ac:dyDescent="0.2">
      <c r="A441" s="86" t="s">
        <v>119</v>
      </c>
      <c r="B441" s="87"/>
      <c r="C441" s="91" t="s">
        <v>656</v>
      </c>
      <c r="D441" s="92"/>
      <c r="E441" s="92"/>
      <c r="F441" s="92"/>
      <c r="G441" s="93"/>
      <c r="H441" s="1" t="s">
        <v>5</v>
      </c>
      <c r="I441" s="38">
        <v>0</v>
      </c>
      <c r="J441" s="38">
        <v>0</v>
      </c>
      <c r="K441" s="38">
        <v>0</v>
      </c>
      <c r="L441" s="50">
        <v>0</v>
      </c>
      <c r="M441" s="50">
        <v>0</v>
      </c>
      <c r="N441" s="50">
        <v>0</v>
      </c>
      <c r="O441" s="50">
        <v>0</v>
      </c>
      <c r="P441" s="50">
        <v>0</v>
      </c>
      <c r="Q441" s="50">
        <v>0</v>
      </c>
      <c r="R441" s="50">
        <v>0</v>
      </c>
      <c r="S441" s="50">
        <v>0</v>
      </c>
      <c r="T441" s="50">
        <v>0</v>
      </c>
      <c r="U441" s="50">
        <v>0</v>
      </c>
      <c r="V441" s="50">
        <v>0</v>
      </c>
      <c r="W441" s="61">
        <f t="shared" si="82"/>
        <v>0</v>
      </c>
    </row>
    <row r="442" spans="1:23" s="3" customFormat="1" ht="17.25" customHeight="1" x14ac:dyDescent="0.2">
      <c r="A442" s="86" t="s">
        <v>120</v>
      </c>
      <c r="B442" s="87"/>
      <c r="C442" s="88" t="s">
        <v>657</v>
      </c>
      <c r="D442" s="89"/>
      <c r="E442" s="89"/>
      <c r="F442" s="89"/>
      <c r="G442" s="90"/>
      <c r="H442" s="1" t="s">
        <v>475</v>
      </c>
      <c r="I442" s="38">
        <v>0</v>
      </c>
      <c r="J442" s="38">
        <v>0</v>
      </c>
      <c r="K442" s="38">
        <v>0</v>
      </c>
      <c r="L442" s="50">
        <v>0</v>
      </c>
      <c r="M442" s="50">
        <v>0</v>
      </c>
      <c r="N442" s="50">
        <v>0</v>
      </c>
      <c r="O442" s="50">
        <v>0</v>
      </c>
      <c r="P442" s="50">
        <v>0</v>
      </c>
      <c r="Q442" s="50">
        <v>0</v>
      </c>
      <c r="R442" s="50">
        <v>0</v>
      </c>
      <c r="S442" s="50">
        <v>0</v>
      </c>
      <c r="T442" s="50">
        <v>0</v>
      </c>
      <c r="U442" s="50">
        <v>0</v>
      </c>
      <c r="V442" s="50">
        <v>0</v>
      </c>
      <c r="W442" s="61">
        <f t="shared" si="82"/>
        <v>0</v>
      </c>
    </row>
    <row r="443" spans="1:23" s="3" customFormat="1" ht="13.15" customHeight="1" x14ac:dyDescent="0.2">
      <c r="A443" s="86" t="s">
        <v>651</v>
      </c>
      <c r="B443" s="87"/>
      <c r="C443" s="91" t="s">
        <v>658</v>
      </c>
      <c r="D443" s="92"/>
      <c r="E443" s="92"/>
      <c r="F443" s="92"/>
      <c r="G443" s="93"/>
      <c r="H443" s="1" t="s">
        <v>5</v>
      </c>
      <c r="I443" s="38">
        <v>0</v>
      </c>
      <c r="J443" s="38">
        <v>0</v>
      </c>
      <c r="K443" s="38">
        <v>0</v>
      </c>
      <c r="L443" s="50">
        <v>0</v>
      </c>
      <c r="M443" s="50">
        <v>0</v>
      </c>
      <c r="N443" s="50">
        <v>0</v>
      </c>
      <c r="O443" s="50">
        <v>0</v>
      </c>
      <c r="P443" s="50">
        <v>0</v>
      </c>
      <c r="Q443" s="50">
        <v>0</v>
      </c>
      <c r="R443" s="50">
        <v>0</v>
      </c>
      <c r="S443" s="50">
        <v>0</v>
      </c>
      <c r="T443" s="50">
        <v>0</v>
      </c>
      <c r="U443" s="50">
        <v>0</v>
      </c>
      <c r="V443" s="50">
        <v>0</v>
      </c>
      <c r="W443" s="61">
        <f t="shared" si="82"/>
        <v>0</v>
      </c>
    </row>
    <row r="444" spans="1:23" s="3" customFormat="1" ht="13.15" customHeight="1" x14ac:dyDescent="0.2">
      <c r="A444" s="86" t="s">
        <v>652</v>
      </c>
      <c r="B444" s="87"/>
      <c r="C444" s="91" t="s">
        <v>659</v>
      </c>
      <c r="D444" s="92"/>
      <c r="E444" s="92"/>
      <c r="F444" s="92"/>
      <c r="G444" s="93"/>
      <c r="H444" s="1" t="s">
        <v>5</v>
      </c>
      <c r="I444" s="38">
        <v>0</v>
      </c>
      <c r="J444" s="38">
        <v>0</v>
      </c>
      <c r="K444" s="38">
        <v>0</v>
      </c>
      <c r="L444" s="50">
        <v>0</v>
      </c>
      <c r="M444" s="50">
        <v>0</v>
      </c>
      <c r="N444" s="50">
        <v>0</v>
      </c>
      <c r="O444" s="50">
        <v>0</v>
      </c>
      <c r="P444" s="50">
        <v>0</v>
      </c>
      <c r="Q444" s="50">
        <v>0</v>
      </c>
      <c r="R444" s="50">
        <v>0</v>
      </c>
      <c r="S444" s="50">
        <v>0</v>
      </c>
      <c r="T444" s="50">
        <v>0</v>
      </c>
      <c r="U444" s="50">
        <v>0</v>
      </c>
      <c r="V444" s="50">
        <v>0</v>
      </c>
      <c r="W444" s="61">
        <f t="shared" si="82"/>
        <v>0</v>
      </c>
    </row>
    <row r="445" spans="1:23" s="3" customFormat="1" ht="14.45" customHeight="1" thickBot="1" x14ac:dyDescent="0.25">
      <c r="A445" s="117" t="s">
        <v>653</v>
      </c>
      <c r="B445" s="118"/>
      <c r="C445" s="130" t="s">
        <v>660</v>
      </c>
      <c r="D445" s="131"/>
      <c r="E445" s="131"/>
      <c r="F445" s="131"/>
      <c r="G445" s="132"/>
      <c r="H445" s="33" t="s">
        <v>5</v>
      </c>
      <c r="I445" s="41">
        <v>0</v>
      </c>
      <c r="J445" s="41">
        <v>0</v>
      </c>
      <c r="K445" s="41">
        <v>0</v>
      </c>
      <c r="L445" s="52">
        <v>0</v>
      </c>
      <c r="M445" s="52">
        <v>0</v>
      </c>
      <c r="N445" s="52">
        <v>0</v>
      </c>
      <c r="O445" s="52">
        <v>0</v>
      </c>
      <c r="P445" s="52">
        <v>0</v>
      </c>
      <c r="Q445" s="52">
        <v>0</v>
      </c>
      <c r="R445" s="52">
        <v>0</v>
      </c>
      <c r="S445" s="52">
        <v>0</v>
      </c>
      <c r="T445" s="52">
        <v>0</v>
      </c>
      <c r="U445" s="52">
        <v>0</v>
      </c>
      <c r="V445" s="52">
        <v>0</v>
      </c>
      <c r="W445" s="69">
        <f>M445+O445+Q445+S445+U445</f>
        <v>0</v>
      </c>
    </row>
    <row r="446" spans="1:23" s="34" customFormat="1" ht="12" customHeight="1" x14ac:dyDescent="0.15">
      <c r="A446" s="66"/>
      <c r="B446" s="66"/>
      <c r="C446" s="66"/>
    </row>
    <row r="447" spans="1:23" s="35" customFormat="1" ht="9.75" x14ac:dyDescent="0.2">
      <c r="A447" s="35" t="s">
        <v>674</v>
      </c>
    </row>
    <row r="448" spans="1:23" s="35" customFormat="1" ht="9" customHeight="1" x14ac:dyDescent="0.15">
      <c r="A448" s="35" t="s">
        <v>682</v>
      </c>
    </row>
    <row r="449" spans="1:1" s="35" customFormat="1" ht="9" customHeight="1" x14ac:dyDescent="0.15">
      <c r="A449" s="35" t="s">
        <v>683</v>
      </c>
    </row>
    <row r="450" spans="1:1" s="35" customFormat="1" ht="9" customHeight="1" x14ac:dyDescent="0.15">
      <c r="A450" s="35" t="s">
        <v>684</v>
      </c>
    </row>
    <row r="451" spans="1:1" s="35" customFormat="1" ht="9" customHeight="1" x14ac:dyDescent="0.15">
      <c r="A451" s="35" t="s">
        <v>685</v>
      </c>
    </row>
    <row r="452" spans="1:1" s="35" customFormat="1" ht="9" customHeight="1" x14ac:dyDescent="0.15">
      <c r="A452" s="35" t="s">
        <v>686</v>
      </c>
    </row>
    <row r="453" spans="1:1" s="35" customFormat="1" x14ac:dyDescent="0.15">
      <c r="A453" s="35" t="s">
        <v>687</v>
      </c>
    </row>
    <row r="454" spans="1:1" s="35" customFormat="1" x14ac:dyDescent="0.15">
      <c r="A454" s="35" t="s">
        <v>688</v>
      </c>
    </row>
    <row r="455" spans="1:1" s="35" customFormat="1" x14ac:dyDescent="0.15">
      <c r="A455" s="35" t="s">
        <v>689</v>
      </c>
    </row>
  </sheetData>
  <mergeCells count="879">
    <mergeCell ref="A5:N5"/>
    <mergeCell ref="A11:N11"/>
    <mergeCell ref="A7:N7"/>
    <mergeCell ref="A8:N8"/>
    <mergeCell ref="A9:N9"/>
    <mergeCell ref="A10:N10"/>
    <mergeCell ref="A12:N12"/>
    <mergeCell ref="C107:G107"/>
    <mergeCell ref="C108:G108"/>
    <mergeCell ref="A18:B18"/>
    <mergeCell ref="A19:B19"/>
    <mergeCell ref="A20:B20"/>
    <mergeCell ref="A21:B21"/>
    <mergeCell ref="A16:B16"/>
    <mergeCell ref="A13:W13"/>
    <mergeCell ref="A22:B22"/>
    <mergeCell ref="A23:B23"/>
    <mergeCell ref="C18:G18"/>
    <mergeCell ref="C19:G19"/>
    <mergeCell ref="C20:G20"/>
    <mergeCell ref="C21:G21"/>
    <mergeCell ref="N14:O14"/>
    <mergeCell ref="P14:Q14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53:B53"/>
    <mergeCell ref="A54:B54"/>
    <mergeCell ref="A55:B55"/>
    <mergeCell ref="A56:B56"/>
    <mergeCell ref="A57:B57"/>
    <mergeCell ref="A58:B58"/>
    <mergeCell ref="A59:B59"/>
    <mergeCell ref="A60:B60"/>
    <mergeCell ref="A61:B61"/>
    <mergeCell ref="A62:B62"/>
    <mergeCell ref="A63:B63"/>
    <mergeCell ref="A64:B64"/>
    <mergeCell ref="A65:B65"/>
    <mergeCell ref="A66:B66"/>
    <mergeCell ref="A67:B67"/>
    <mergeCell ref="A68:B68"/>
    <mergeCell ref="A69:B69"/>
    <mergeCell ref="A70:B70"/>
    <mergeCell ref="A71:B71"/>
    <mergeCell ref="A72:B72"/>
    <mergeCell ref="A73:B73"/>
    <mergeCell ref="A74:B74"/>
    <mergeCell ref="A75:B75"/>
    <mergeCell ref="A76:B76"/>
    <mergeCell ref="A77:B77"/>
    <mergeCell ref="A78:B78"/>
    <mergeCell ref="A79:B79"/>
    <mergeCell ref="A80:B80"/>
    <mergeCell ref="A81:B81"/>
    <mergeCell ref="A82:B82"/>
    <mergeCell ref="A83:B83"/>
    <mergeCell ref="A84:B84"/>
    <mergeCell ref="A85:B85"/>
    <mergeCell ref="A86:B86"/>
    <mergeCell ref="A87:B87"/>
    <mergeCell ref="A88:B88"/>
    <mergeCell ref="A89:B89"/>
    <mergeCell ref="A90:B90"/>
    <mergeCell ref="A91:B91"/>
    <mergeCell ref="A92:B92"/>
    <mergeCell ref="A93:B93"/>
    <mergeCell ref="A94:B94"/>
    <mergeCell ref="A95:B95"/>
    <mergeCell ref="A96:B96"/>
    <mergeCell ref="A97:B97"/>
    <mergeCell ref="A98:B98"/>
    <mergeCell ref="A99:B99"/>
    <mergeCell ref="A100:B100"/>
    <mergeCell ref="A101:B101"/>
    <mergeCell ref="A102:B102"/>
    <mergeCell ref="A103:B103"/>
    <mergeCell ref="A104:B104"/>
    <mergeCell ref="A105:B105"/>
    <mergeCell ref="A106:B106"/>
    <mergeCell ref="A107:B107"/>
    <mergeCell ref="A108:B108"/>
    <mergeCell ref="A109:B109"/>
    <mergeCell ref="A110:B110"/>
    <mergeCell ref="A111:B111"/>
    <mergeCell ref="A112:B112"/>
    <mergeCell ref="A113:B113"/>
    <mergeCell ref="A114:B114"/>
    <mergeCell ref="A115:B115"/>
    <mergeCell ref="A116:B116"/>
    <mergeCell ref="A117:B117"/>
    <mergeCell ref="A118:B118"/>
    <mergeCell ref="A119:B119"/>
    <mergeCell ref="A120:B120"/>
    <mergeCell ref="A121:B121"/>
    <mergeCell ref="A122:B122"/>
    <mergeCell ref="A123:B123"/>
    <mergeCell ref="A124:B124"/>
    <mergeCell ref="A125:B125"/>
    <mergeCell ref="A126:B126"/>
    <mergeCell ref="A127:B127"/>
    <mergeCell ref="A128:B128"/>
    <mergeCell ref="A129:B129"/>
    <mergeCell ref="A130:B130"/>
    <mergeCell ref="A131:B131"/>
    <mergeCell ref="A132:B132"/>
    <mergeCell ref="A133:B133"/>
    <mergeCell ref="A134:B134"/>
    <mergeCell ref="A135:B135"/>
    <mergeCell ref="A136:B136"/>
    <mergeCell ref="A137:B137"/>
    <mergeCell ref="A138:B138"/>
    <mergeCell ref="A139:B139"/>
    <mergeCell ref="A140:B140"/>
    <mergeCell ref="A141:B141"/>
    <mergeCell ref="A142:B142"/>
    <mergeCell ref="A143:B143"/>
    <mergeCell ref="A144:B144"/>
    <mergeCell ref="A145:B145"/>
    <mergeCell ref="A146:B146"/>
    <mergeCell ref="A147:B147"/>
    <mergeCell ref="A148:B148"/>
    <mergeCell ref="A149:B149"/>
    <mergeCell ref="A150:B150"/>
    <mergeCell ref="A151:B151"/>
    <mergeCell ref="A152:B152"/>
    <mergeCell ref="A153:B153"/>
    <mergeCell ref="A154:B154"/>
    <mergeCell ref="A155:B155"/>
    <mergeCell ref="A156:B156"/>
    <mergeCell ref="A157:B157"/>
    <mergeCell ref="A163:B163"/>
    <mergeCell ref="A164:B164"/>
    <mergeCell ref="A165:B165"/>
    <mergeCell ref="A166:B166"/>
    <mergeCell ref="A162:B162"/>
    <mergeCell ref="A167:B167"/>
    <mergeCell ref="A168:B168"/>
    <mergeCell ref="A169:B169"/>
    <mergeCell ref="A170:B170"/>
    <mergeCell ref="A171:B171"/>
    <mergeCell ref="A172:B172"/>
    <mergeCell ref="A173:B173"/>
    <mergeCell ref="A174:B174"/>
    <mergeCell ref="A175:B175"/>
    <mergeCell ref="A176:B176"/>
    <mergeCell ref="A177:B177"/>
    <mergeCell ref="A178:B178"/>
    <mergeCell ref="A179:B179"/>
    <mergeCell ref="A180:B180"/>
    <mergeCell ref="A181:B181"/>
    <mergeCell ref="A182:B182"/>
    <mergeCell ref="A183:B183"/>
    <mergeCell ref="A184:B184"/>
    <mergeCell ref="A185:B185"/>
    <mergeCell ref="A186:B186"/>
    <mergeCell ref="A187:B187"/>
    <mergeCell ref="A188:B188"/>
    <mergeCell ref="A189:B189"/>
    <mergeCell ref="A190:B190"/>
    <mergeCell ref="A191:B191"/>
    <mergeCell ref="A192:B192"/>
    <mergeCell ref="A193:B193"/>
    <mergeCell ref="A194:B194"/>
    <mergeCell ref="A195:B195"/>
    <mergeCell ref="A196:B196"/>
    <mergeCell ref="A197:B197"/>
    <mergeCell ref="A198:B198"/>
    <mergeCell ref="A199:B199"/>
    <mergeCell ref="A200:B200"/>
    <mergeCell ref="A201:B201"/>
    <mergeCell ref="A202:B202"/>
    <mergeCell ref="A203:B203"/>
    <mergeCell ref="A204:B204"/>
    <mergeCell ref="A205:B205"/>
    <mergeCell ref="A206:B206"/>
    <mergeCell ref="A207:B207"/>
    <mergeCell ref="A208:B208"/>
    <mergeCell ref="A209:B209"/>
    <mergeCell ref="A210:B210"/>
    <mergeCell ref="A211:B211"/>
    <mergeCell ref="A212:B212"/>
    <mergeCell ref="A213:B213"/>
    <mergeCell ref="A214:B214"/>
    <mergeCell ref="A215:B215"/>
    <mergeCell ref="A216:B216"/>
    <mergeCell ref="A217:B217"/>
    <mergeCell ref="A218:B218"/>
    <mergeCell ref="A219:B219"/>
    <mergeCell ref="A220:B220"/>
    <mergeCell ref="A221:B221"/>
    <mergeCell ref="A222:B222"/>
    <mergeCell ref="A223:B223"/>
    <mergeCell ref="A224:B224"/>
    <mergeCell ref="A225:B225"/>
    <mergeCell ref="A226:B226"/>
    <mergeCell ref="A227:B227"/>
    <mergeCell ref="A228:B228"/>
    <mergeCell ref="A229:B229"/>
    <mergeCell ref="A230:B230"/>
    <mergeCell ref="A231:B231"/>
    <mergeCell ref="A232:B232"/>
    <mergeCell ref="A380:B380"/>
    <mergeCell ref="C380:G380"/>
    <mergeCell ref="A239:B239"/>
    <mergeCell ref="A252:B252"/>
    <mergeCell ref="A245:B245"/>
    <mergeCell ref="A246:B246"/>
    <mergeCell ref="A247:B247"/>
    <mergeCell ref="A248:B248"/>
    <mergeCell ref="A253:B253"/>
    <mergeCell ref="A254:B254"/>
    <mergeCell ref="A255:B255"/>
    <mergeCell ref="A256:B256"/>
    <mergeCell ref="A257:B257"/>
    <mergeCell ref="A258:B258"/>
    <mergeCell ref="A259:B259"/>
    <mergeCell ref="A260:B260"/>
    <mergeCell ref="A261:B261"/>
    <mergeCell ref="A262:B262"/>
    <mergeCell ref="A263:B263"/>
    <mergeCell ref="A264:B264"/>
    <mergeCell ref="A265:B265"/>
    <mergeCell ref="C22:G22"/>
    <mergeCell ref="C23:G23"/>
    <mergeCell ref="C24:G24"/>
    <mergeCell ref="C25:G25"/>
    <mergeCell ref="C26:G26"/>
    <mergeCell ref="C27:G27"/>
    <mergeCell ref="C28:G28"/>
    <mergeCell ref="C29:G29"/>
    <mergeCell ref="C30:G30"/>
    <mergeCell ref="C31:G31"/>
    <mergeCell ref="C32:G32"/>
    <mergeCell ref="C33:G33"/>
    <mergeCell ref="C34:G34"/>
    <mergeCell ref="C35:G35"/>
    <mergeCell ref="C36:G36"/>
    <mergeCell ref="C37:G37"/>
    <mergeCell ref="C38:G38"/>
    <mergeCell ref="C39:G39"/>
    <mergeCell ref="C40:G40"/>
    <mergeCell ref="C41:G41"/>
    <mergeCell ref="C42:G42"/>
    <mergeCell ref="C43:G43"/>
    <mergeCell ref="C44:G44"/>
    <mergeCell ref="C45:G45"/>
    <mergeCell ref="C46:G46"/>
    <mergeCell ref="C47:G47"/>
    <mergeCell ref="C48:G48"/>
    <mergeCell ref="C49:G49"/>
    <mergeCell ref="C50:G50"/>
    <mergeCell ref="C51:G51"/>
    <mergeCell ref="C52:G52"/>
    <mergeCell ref="C53:G53"/>
    <mergeCell ref="C54:G54"/>
    <mergeCell ref="C55:G55"/>
    <mergeCell ref="C56:G56"/>
    <mergeCell ref="C57:G57"/>
    <mergeCell ref="C58:G58"/>
    <mergeCell ref="C59:G59"/>
    <mergeCell ref="C60:G60"/>
    <mergeCell ref="C61:G61"/>
    <mergeCell ref="C62:G62"/>
    <mergeCell ref="C63:G63"/>
    <mergeCell ref="C64:G64"/>
    <mergeCell ref="C65:G65"/>
    <mergeCell ref="C66:G66"/>
    <mergeCell ref="C67:G67"/>
    <mergeCell ref="C68:G68"/>
    <mergeCell ref="C69:G69"/>
    <mergeCell ref="C70:G70"/>
    <mergeCell ref="C71:G71"/>
    <mergeCell ref="C72:G72"/>
    <mergeCell ref="C73:G73"/>
    <mergeCell ref="C74:G74"/>
    <mergeCell ref="C75:G75"/>
    <mergeCell ref="C76:G76"/>
    <mergeCell ref="C77:G77"/>
    <mergeCell ref="C78:G78"/>
    <mergeCell ref="C79:G79"/>
    <mergeCell ref="C80:G80"/>
    <mergeCell ref="C81:G81"/>
    <mergeCell ref="C82:G82"/>
    <mergeCell ref="C83:G83"/>
    <mergeCell ref="C84:G84"/>
    <mergeCell ref="C85:G85"/>
    <mergeCell ref="C86:G86"/>
    <mergeCell ref="C87:G87"/>
    <mergeCell ref="C88:G88"/>
    <mergeCell ref="C89:G89"/>
    <mergeCell ref="C90:G90"/>
    <mergeCell ref="C91:G91"/>
    <mergeCell ref="C92:G92"/>
    <mergeCell ref="C93:G93"/>
    <mergeCell ref="C94:G94"/>
    <mergeCell ref="C95:G95"/>
    <mergeCell ref="C96:G96"/>
    <mergeCell ref="C97:G97"/>
    <mergeCell ref="C98:G98"/>
    <mergeCell ref="C99:G99"/>
    <mergeCell ref="C100:G100"/>
    <mergeCell ref="C101:G101"/>
    <mergeCell ref="C102:G102"/>
    <mergeCell ref="C103:G103"/>
    <mergeCell ref="C104:G104"/>
    <mergeCell ref="C105:G105"/>
    <mergeCell ref="C106:G106"/>
    <mergeCell ref="C111:G111"/>
    <mergeCell ref="C112:G112"/>
    <mergeCell ref="C113:G113"/>
    <mergeCell ref="C110:G110"/>
    <mergeCell ref="C109:G109"/>
    <mergeCell ref="C114:G114"/>
    <mergeCell ref="C115:G115"/>
    <mergeCell ref="C116:G116"/>
    <mergeCell ref="C117:G117"/>
    <mergeCell ref="C118:G118"/>
    <mergeCell ref="C119:G119"/>
    <mergeCell ref="C120:G120"/>
    <mergeCell ref="C121:G121"/>
    <mergeCell ref="C122:G122"/>
    <mergeCell ref="C123:G123"/>
    <mergeCell ref="C124:G124"/>
    <mergeCell ref="C125:G125"/>
    <mergeCell ref="C126:G126"/>
    <mergeCell ref="C127:G127"/>
    <mergeCell ref="C128:G128"/>
    <mergeCell ref="C129:G129"/>
    <mergeCell ref="C130:G130"/>
    <mergeCell ref="C131:G131"/>
    <mergeCell ref="C132:G132"/>
    <mergeCell ref="C133:G133"/>
    <mergeCell ref="C134:G134"/>
    <mergeCell ref="C135:G135"/>
    <mergeCell ref="C136:G136"/>
    <mergeCell ref="C137:G137"/>
    <mergeCell ref="C138:G138"/>
    <mergeCell ref="C139:G139"/>
    <mergeCell ref="C140:G140"/>
    <mergeCell ref="C141:G141"/>
    <mergeCell ref="C142:G142"/>
    <mergeCell ref="C143:G143"/>
    <mergeCell ref="C144:G144"/>
    <mergeCell ref="C145:G145"/>
    <mergeCell ref="C146:G146"/>
    <mergeCell ref="C147:G147"/>
    <mergeCell ref="C148:G148"/>
    <mergeCell ref="C149:G149"/>
    <mergeCell ref="C150:G150"/>
    <mergeCell ref="C151:G151"/>
    <mergeCell ref="C152:G152"/>
    <mergeCell ref="C153:G153"/>
    <mergeCell ref="C154:G154"/>
    <mergeCell ref="C155:G155"/>
    <mergeCell ref="C156:G156"/>
    <mergeCell ref="C157:G157"/>
    <mergeCell ref="C158:G158"/>
    <mergeCell ref="C159:G159"/>
    <mergeCell ref="C160:G160"/>
    <mergeCell ref="C162:G162"/>
    <mergeCell ref="A161:W161"/>
    <mergeCell ref="A158:B158"/>
    <mergeCell ref="A159:B159"/>
    <mergeCell ref="A160:B160"/>
    <mergeCell ref="C163:G163"/>
    <mergeCell ref="C164:G164"/>
    <mergeCell ref="C165:G165"/>
    <mergeCell ref="C166:G166"/>
    <mergeCell ref="C167:G167"/>
    <mergeCell ref="C168:G168"/>
    <mergeCell ref="C169:G169"/>
    <mergeCell ref="C170:G170"/>
    <mergeCell ref="C171:G171"/>
    <mergeCell ref="C172:G172"/>
    <mergeCell ref="C173:G173"/>
    <mergeCell ref="C174:G174"/>
    <mergeCell ref="C175:G175"/>
    <mergeCell ref="C176:G176"/>
    <mergeCell ref="C177:G177"/>
    <mergeCell ref="C178:G178"/>
    <mergeCell ref="C179:G179"/>
    <mergeCell ref="C180:G180"/>
    <mergeCell ref="C181:G181"/>
    <mergeCell ref="C182:G182"/>
    <mergeCell ref="C183:G183"/>
    <mergeCell ref="C184:G184"/>
    <mergeCell ref="C185:G185"/>
    <mergeCell ref="C186:G186"/>
    <mergeCell ref="C187:G187"/>
    <mergeCell ref="C188:G188"/>
    <mergeCell ref="C189:G189"/>
    <mergeCell ref="C190:G190"/>
    <mergeCell ref="C191:G191"/>
    <mergeCell ref="C192:G192"/>
    <mergeCell ref="C193:G193"/>
    <mergeCell ref="C194:G194"/>
    <mergeCell ref="C195:G195"/>
    <mergeCell ref="C196:G196"/>
    <mergeCell ref="C197:G197"/>
    <mergeCell ref="C198:G198"/>
    <mergeCell ref="C199:G199"/>
    <mergeCell ref="C200:G200"/>
    <mergeCell ref="C201:G201"/>
    <mergeCell ref="C202:G202"/>
    <mergeCell ref="C203:G203"/>
    <mergeCell ref="C204:G204"/>
    <mergeCell ref="C205:G205"/>
    <mergeCell ref="C206:G206"/>
    <mergeCell ref="C207:G207"/>
    <mergeCell ref="C208:G208"/>
    <mergeCell ref="C209:G209"/>
    <mergeCell ref="C210:G210"/>
    <mergeCell ref="C211:G211"/>
    <mergeCell ref="C212:G212"/>
    <mergeCell ref="C213:G213"/>
    <mergeCell ref="C214:G214"/>
    <mergeCell ref="C215:G215"/>
    <mergeCell ref="C216:G216"/>
    <mergeCell ref="C217:G217"/>
    <mergeCell ref="C218:G218"/>
    <mergeCell ref="C219:G219"/>
    <mergeCell ref="C220:G220"/>
    <mergeCell ref="C221:G221"/>
    <mergeCell ref="C222:G222"/>
    <mergeCell ref="C223:G223"/>
    <mergeCell ref="C240:G240"/>
    <mergeCell ref="C224:G224"/>
    <mergeCell ref="C225:G225"/>
    <mergeCell ref="C226:G226"/>
    <mergeCell ref="C227:G227"/>
    <mergeCell ref="C228:G228"/>
    <mergeCell ref="C229:G229"/>
    <mergeCell ref="C230:G230"/>
    <mergeCell ref="C239:G239"/>
    <mergeCell ref="C235:G235"/>
    <mergeCell ref="C236:G236"/>
    <mergeCell ref="C237:G237"/>
    <mergeCell ref="C238:G238"/>
    <mergeCell ref="C231:G231"/>
    <mergeCell ref="C232:G232"/>
    <mergeCell ref="C233:G233"/>
    <mergeCell ref="C234:G234"/>
    <mergeCell ref="A266:B266"/>
    <mergeCell ref="A267:B267"/>
    <mergeCell ref="A268:B268"/>
    <mergeCell ref="A269:B269"/>
    <mergeCell ref="A270:B270"/>
    <mergeCell ref="A271:B271"/>
    <mergeCell ref="A272:B272"/>
    <mergeCell ref="A273:B273"/>
    <mergeCell ref="A274:B274"/>
    <mergeCell ref="A275:B275"/>
    <mergeCell ref="A276:B276"/>
    <mergeCell ref="A277:B277"/>
    <mergeCell ref="A278:B278"/>
    <mergeCell ref="A279:B279"/>
    <mergeCell ref="A280:B280"/>
    <mergeCell ref="A281:B281"/>
    <mergeCell ref="A282:B282"/>
    <mergeCell ref="A283:B283"/>
    <mergeCell ref="A284:B284"/>
    <mergeCell ref="A285:B285"/>
    <mergeCell ref="A286:B286"/>
    <mergeCell ref="A287:B287"/>
    <mergeCell ref="A288:B288"/>
    <mergeCell ref="A289:B289"/>
    <mergeCell ref="A290:B290"/>
    <mergeCell ref="A291:B291"/>
    <mergeCell ref="A292:B292"/>
    <mergeCell ref="A293:B293"/>
    <mergeCell ref="A294:B294"/>
    <mergeCell ref="A295:B295"/>
    <mergeCell ref="A296:B296"/>
    <mergeCell ref="A297:B297"/>
    <mergeCell ref="A298:B298"/>
    <mergeCell ref="A299:B299"/>
    <mergeCell ref="A300:B300"/>
    <mergeCell ref="A301:B301"/>
    <mergeCell ref="A302:B302"/>
    <mergeCell ref="A313:W313"/>
    <mergeCell ref="C314:G314"/>
    <mergeCell ref="C315:G315"/>
    <mergeCell ref="C316:G316"/>
    <mergeCell ref="A303:B303"/>
    <mergeCell ref="A304:B304"/>
    <mergeCell ref="A305:B305"/>
    <mergeCell ref="A306:B306"/>
    <mergeCell ref="A307:B307"/>
    <mergeCell ref="A308:B308"/>
    <mergeCell ref="C304:G304"/>
    <mergeCell ref="C305:G305"/>
    <mergeCell ref="C306:G306"/>
    <mergeCell ref="C307:G307"/>
    <mergeCell ref="C308:G308"/>
    <mergeCell ref="C309:G309"/>
    <mergeCell ref="C310:G310"/>
    <mergeCell ref="C311:G311"/>
    <mergeCell ref="C312:G312"/>
    <mergeCell ref="A324:B324"/>
    <mergeCell ref="A309:B309"/>
    <mergeCell ref="A310:B310"/>
    <mergeCell ref="A311:B311"/>
    <mergeCell ref="A312:B312"/>
    <mergeCell ref="A317:B317"/>
    <mergeCell ref="A316:B316"/>
    <mergeCell ref="A314:B314"/>
    <mergeCell ref="A315:B315"/>
    <mergeCell ref="A325:B325"/>
    <mergeCell ref="A326:B326"/>
    <mergeCell ref="A327:B327"/>
    <mergeCell ref="A328:B328"/>
    <mergeCell ref="A329:B329"/>
    <mergeCell ref="A330:B330"/>
    <mergeCell ref="A331:B331"/>
    <mergeCell ref="A332:B332"/>
    <mergeCell ref="A333:B333"/>
    <mergeCell ref="A334:B334"/>
    <mergeCell ref="A335:B335"/>
    <mergeCell ref="A336:B336"/>
    <mergeCell ref="A337:B337"/>
    <mergeCell ref="A339:B339"/>
    <mergeCell ref="A340:B340"/>
    <mergeCell ref="A341:B341"/>
    <mergeCell ref="A338:B338"/>
    <mergeCell ref="A342:B342"/>
    <mergeCell ref="A343:B343"/>
    <mergeCell ref="A344:B344"/>
    <mergeCell ref="A345:B345"/>
    <mergeCell ref="A346:B346"/>
    <mergeCell ref="A347:B347"/>
    <mergeCell ref="A348:B348"/>
    <mergeCell ref="A349:B349"/>
    <mergeCell ref="A350:B350"/>
    <mergeCell ref="A351:B351"/>
    <mergeCell ref="A352:B352"/>
    <mergeCell ref="A353:B353"/>
    <mergeCell ref="A354:B354"/>
    <mergeCell ref="A355:B355"/>
    <mergeCell ref="A356:B356"/>
    <mergeCell ref="A357:B357"/>
    <mergeCell ref="A359:B359"/>
    <mergeCell ref="A360:B360"/>
    <mergeCell ref="A378:B378"/>
    <mergeCell ref="A367:G367"/>
    <mergeCell ref="C370:G370"/>
    <mergeCell ref="C360:G360"/>
    <mergeCell ref="C361:G361"/>
    <mergeCell ref="A376:B376"/>
    <mergeCell ref="A377:B377"/>
    <mergeCell ref="C376:G376"/>
    <mergeCell ref="C377:G377"/>
    <mergeCell ref="C366:G366"/>
    <mergeCell ref="C368:G368"/>
    <mergeCell ref="C369:G369"/>
    <mergeCell ref="A373:B373"/>
    <mergeCell ref="A374:B374"/>
    <mergeCell ref="A370:B370"/>
    <mergeCell ref="C362:G362"/>
    <mergeCell ref="C241:G241"/>
    <mergeCell ref="C242:G242"/>
    <mergeCell ref="C243:G243"/>
    <mergeCell ref="C244:G244"/>
    <mergeCell ref="C245:G245"/>
    <mergeCell ref="C246:G246"/>
    <mergeCell ref="C247:G247"/>
    <mergeCell ref="C248:G248"/>
    <mergeCell ref="C249:G249"/>
    <mergeCell ref="C250:G250"/>
    <mergeCell ref="C251:G251"/>
    <mergeCell ref="C252:G252"/>
    <mergeCell ref="C253:G253"/>
    <mergeCell ref="C254:G254"/>
    <mergeCell ref="C255:G255"/>
    <mergeCell ref="C256:G256"/>
    <mergeCell ref="C257:G257"/>
    <mergeCell ref="C258:G258"/>
    <mergeCell ref="C259:G259"/>
    <mergeCell ref="C260:G260"/>
    <mergeCell ref="C261:G261"/>
    <mergeCell ref="C262:G262"/>
    <mergeCell ref="C263:G263"/>
    <mergeCell ref="C264:G264"/>
    <mergeCell ref="C265:G265"/>
    <mergeCell ref="C266:G266"/>
    <mergeCell ref="C267:G267"/>
    <mergeCell ref="C268:G268"/>
    <mergeCell ref="C269:G269"/>
    <mergeCell ref="C270:G270"/>
    <mergeCell ref="C271:G271"/>
    <mergeCell ref="C272:G272"/>
    <mergeCell ref="C273:G273"/>
    <mergeCell ref="C274:G274"/>
    <mergeCell ref="C275:G275"/>
    <mergeCell ref="C276:G276"/>
    <mergeCell ref="C277:G277"/>
    <mergeCell ref="C278:G278"/>
    <mergeCell ref="C279:G279"/>
    <mergeCell ref="C280:G280"/>
    <mergeCell ref="C281:G281"/>
    <mergeCell ref="C282:G282"/>
    <mergeCell ref="C283:G283"/>
    <mergeCell ref="C284:G284"/>
    <mergeCell ref="C285:G285"/>
    <mergeCell ref="C286:G286"/>
    <mergeCell ref="C287:G287"/>
    <mergeCell ref="C288:G288"/>
    <mergeCell ref="C289:G289"/>
    <mergeCell ref="C290:G290"/>
    <mergeCell ref="C291:G291"/>
    <mergeCell ref="C292:G292"/>
    <mergeCell ref="C293:G293"/>
    <mergeCell ref="C294:G294"/>
    <mergeCell ref="C295:G295"/>
    <mergeCell ref="C296:G296"/>
    <mergeCell ref="C297:G297"/>
    <mergeCell ref="C298:G298"/>
    <mergeCell ref="C299:G299"/>
    <mergeCell ref="C300:G300"/>
    <mergeCell ref="C301:G301"/>
    <mergeCell ref="C302:G302"/>
    <mergeCell ref="C303:G303"/>
    <mergeCell ref="C317:G317"/>
    <mergeCell ref="C318:G318"/>
    <mergeCell ref="C319:G319"/>
    <mergeCell ref="A319:B319"/>
    <mergeCell ref="A318:B318"/>
    <mergeCell ref="C320:G320"/>
    <mergeCell ref="C321:G321"/>
    <mergeCell ref="C322:G322"/>
    <mergeCell ref="C323:G323"/>
    <mergeCell ref="A320:B320"/>
    <mergeCell ref="A321:B321"/>
    <mergeCell ref="A322:B322"/>
    <mergeCell ref="A323:B323"/>
    <mergeCell ref="C324:G324"/>
    <mergeCell ref="C325:G325"/>
    <mergeCell ref="C326:G326"/>
    <mergeCell ref="C327:G327"/>
    <mergeCell ref="C328:G328"/>
    <mergeCell ref="C329:G329"/>
    <mergeCell ref="C330:G330"/>
    <mergeCell ref="C331:G331"/>
    <mergeCell ref="C332:G332"/>
    <mergeCell ref="C345:G345"/>
    <mergeCell ref="C346:G346"/>
    <mergeCell ref="C347:G347"/>
    <mergeCell ref="C348:G348"/>
    <mergeCell ref="C349:G349"/>
    <mergeCell ref="C350:G350"/>
    <mergeCell ref="C333:G333"/>
    <mergeCell ref="C334:G334"/>
    <mergeCell ref="C335:G335"/>
    <mergeCell ref="C336:G336"/>
    <mergeCell ref="C337:G337"/>
    <mergeCell ref="C339:G339"/>
    <mergeCell ref="C340:G340"/>
    <mergeCell ref="C341:G341"/>
    <mergeCell ref="C338:G338"/>
    <mergeCell ref="A244:B244"/>
    <mergeCell ref="A358:B358"/>
    <mergeCell ref="T364:U364"/>
    <mergeCell ref="L364:M364"/>
    <mergeCell ref="R364:S364"/>
    <mergeCell ref="A371:B371"/>
    <mergeCell ref="A372:B372"/>
    <mergeCell ref="A366:B366"/>
    <mergeCell ref="A368:B368"/>
    <mergeCell ref="A369:B369"/>
    <mergeCell ref="C371:G371"/>
    <mergeCell ref="C372:G372"/>
    <mergeCell ref="C351:G351"/>
    <mergeCell ref="C352:G352"/>
    <mergeCell ref="C353:G353"/>
    <mergeCell ref="C354:G354"/>
    <mergeCell ref="C355:G355"/>
    <mergeCell ref="C356:G356"/>
    <mergeCell ref="C357:G357"/>
    <mergeCell ref="C358:G358"/>
    <mergeCell ref="C359:G359"/>
    <mergeCell ref="C342:G342"/>
    <mergeCell ref="C343:G343"/>
    <mergeCell ref="C344:G344"/>
    <mergeCell ref="A233:B233"/>
    <mergeCell ref="A234:B234"/>
    <mergeCell ref="A236:B236"/>
    <mergeCell ref="A238:B238"/>
    <mergeCell ref="A235:B235"/>
    <mergeCell ref="A237:B237"/>
    <mergeCell ref="A381:B381"/>
    <mergeCell ref="C381:G381"/>
    <mergeCell ref="A382:B382"/>
    <mergeCell ref="C374:G374"/>
    <mergeCell ref="C375:G375"/>
    <mergeCell ref="A375:B375"/>
    <mergeCell ref="C378:G378"/>
    <mergeCell ref="C379:G379"/>
    <mergeCell ref="C382:G382"/>
    <mergeCell ref="A379:B379"/>
    <mergeCell ref="C373:G373"/>
    <mergeCell ref="A240:B240"/>
    <mergeCell ref="A241:B241"/>
    <mergeCell ref="A243:B243"/>
    <mergeCell ref="A251:B251"/>
    <mergeCell ref="A249:B249"/>
    <mergeCell ref="A250:B250"/>
    <mergeCell ref="A242:B242"/>
    <mergeCell ref="A383:B383"/>
    <mergeCell ref="C383:G383"/>
    <mergeCell ref="A384:B384"/>
    <mergeCell ref="C384:G384"/>
    <mergeCell ref="A385:B385"/>
    <mergeCell ref="C385:G385"/>
    <mergeCell ref="A386:B386"/>
    <mergeCell ref="C386:G386"/>
    <mergeCell ref="A387:B387"/>
    <mergeCell ref="C387:G387"/>
    <mergeCell ref="A388:B388"/>
    <mergeCell ref="C388:G388"/>
    <mergeCell ref="A391:B391"/>
    <mergeCell ref="A392:B392"/>
    <mergeCell ref="C392:G392"/>
    <mergeCell ref="A389:B389"/>
    <mergeCell ref="A390:B390"/>
    <mergeCell ref="C389:G389"/>
    <mergeCell ref="C390:G390"/>
    <mergeCell ref="C391:G391"/>
    <mergeCell ref="A393:B393"/>
    <mergeCell ref="C393:G393"/>
    <mergeCell ref="A394:B394"/>
    <mergeCell ref="C394:G394"/>
    <mergeCell ref="A397:B397"/>
    <mergeCell ref="A398:B398"/>
    <mergeCell ref="A395:B395"/>
    <mergeCell ref="C395:G395"/>
    <mergeCell ref="A396:B396"/>
    <mergeCell ref="C397:G397"/>
    <mergeCell ref="C398:G398"/>
    <mergeCell ref="A399:B399"/>
    <mergeCell ref="C399:G399"/>
    <mergeCell ref="A400:B400"/>
    <mergeCell ref="C400:G400"/>
    <mergeCell ref="A401:B401"/>
    <mergeCell ref="C401:G401"/>
    <mergeCell ref="A402:B402"/>
    <mergeCell ref="C402:G402"/>
    <mergeCell ref="A405:B405"/>
    <mergeCell ref="A406:B406"/>
    <mergeCell ref="C406:G406"/>
    <mergeCell ref="A403:B403"/>
    <mergeCell ref="C403:G403"/>
    <mergeCell ref="A404:B404"/>
    <mergeCell ref="C404:G404"/>
    <mergeCell ref="C405:G405"/>
    <mergeCell ref="A407:B407"/>
    <mergeCell ref="C407:G407"/>
    <mergeCell ref="A408:B408"/>
    <mergeCell ref="C408:G408"/>
    <mergeCell ref="A409:B409"/>
    <mergeCell ref="C409:G409"/>
    <mergeCell ref="A410:B410"/>
    <mergeCell ref="C410:G410"/>
    <mergeCell ref="A411:B411"/>
    <mergeCell ref="C411:G411"/>
    <mergeCell ref="A412:B412"/>
    <mergeCell ref="C412:G412"/>
    <mergeCell ref="A413:B413"/>
    <mergeCell ref="C413:G413"/>
    <mergeCell ref="A414:B414"/>
    <mergeCell ref="C414:G414"/>
    <mergeCell ref="A415:B415"/>
    <mergeCell ref="C415:G415"/>
    <mergeCell ref="A416:B416"/>
    <mergeCell ref="C416:G416"/>
    <mergeCell ref="A417:B417"/>
    <mergeCell ref="C417:G417"/>
    <mergeCell ref="C424:G424"/>
    <mergeCell ref="A425:B425"/>
    <mergeCell ref="C425:G425"/>
    <mergeCell ref="A426:B426"/>
    <mergeCell ref="C426:G426"/>
    <mergeCell ref="A427:B427"/>
    <mergeCell ref="C427:G427"/>
    <mergeCell ref="A418:B418"/>
    <mergeCell ref="C418:G418"/>
    <mergeCell ref="A419:B419"/>
    <mergeCell ref="C419:G419"/>
    <mergeCell ref="A420:B420"/>
    <mergeCell ref="C420:G420"/>
    <mergeCell ref="A421:B421"/>
    <mergeCell ref="C421:G421"/>
    <mergeCell ref="A422:B422"/>
    <mergeCell ref="C422:G422"/>
    <mergeCell ref="A433:B433"/>
    <mergeCell ref="C433:G433"/>
    <mergeCell ref="A361:B361"/>
    <mergeCell ref="A363:W363"/>
    <mergeCell ref="A364:B365"/>
    <mergeCell ref="C364:G365"/>
    <mergeCell ref="H364:H365"/>
    <mergeCell ref="A362:B362"/>
    <mergeCell ref="V364:W364"/>
    <mergeCell ref="N364:O364"/>
    <mergeCell ref="P364:Q364"/>
    <mergeCell ref="A428:B428"/>
    <mergeCell ref="C428:G428"/>
    <mergeCell ref="A429:B429"/>
    <mergeCell ref="C429:G429"/>
    <mergeCell ref="A430:B430"/>
    <mergeCell ref="C430:G430"/>
    <mergeCell ref="A431:B431"/>
    <mergeCell ref="C431:G431"/>
    <mergeCell ref="A432:B432"/>
    <mergeCell ref="C432:G432"/>
    <mergeCell ref="A423:B423"/>
    <mergeCell ref="C423:G423"/>
    <mergeCell ref="A424:B424"/>
    <mergeCell ref="A445:B445"/>
    <mergeCell ref="C445:G445"/>
    <mergeCell ref="A442:B442"/>
    <mergeCell ref="C442:G442"/>
    <mergeCell ref="A443:B443"/>
    <mergeCell ref="C443:G443"/>
    <mergeCell ref="A444:B444"/>
    <mergeCell ref="C444:G444"/>
    <mergeCell ref="A440:B440"/>
    <mergeCell ref="C440:G440"/>
    <mergeCell ref="A441:B441"/>
    <mergeCell ref="C441:G441"/>
    <mergeCell ref="A438:B438"/>
    <mergeCell ref="C438:G438"/>
    <mergeCell ref="A439:B439"/>
    <mergeCell ref="C439:G439"/>
    <mergeCell ref="A17:W17"/>
    <mergeCell ref="H14:H15"/>
    <mergeCell ref="L14:M14"/>
    <mergeCell ref="C14:G15"/>
    <mergeCell ref="A14:B15"/>
    <mergeCell ref="R14:S14"/>
    <mergeCell ref="T14:U14"/>
    <mergeCell ref="V14:W14"/>
    <mergeCell ref="C16:G16"/>
    <mergeCell ref="J364:K364"/>
    <mergeCell ref="J14:K14"/>
    <mergeCell ref="A436:B436"/>
    <mergeCell ref="C436:G436"/>
    <mergeCell ref="A437:B437"/>
    <mergeCell ref="C437:G437"/>
    <mergeCell ref="C434:G434"/>
    <mergeCell ref="A435:B435"/>
    <mergeCell ref="C435:G435"/>
    <mergeCell ref="C396:G396"/>
    <mergeCell ref="A434:B434"/>
  </mergeCells>
  <pageMargins left="0.39370078740157483" right="0.31496062992125984" top="0.39370078740157483" bottom="0.31496062992125984" header="0.19685039370078741" footer="0.19685039370078741"/>
  <pageSetup paperSize="9" scale="86" fitToHeight="9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  <oddFooter>&amp;C&amp;P</oddFooter>
  </headerFooter>
  <rowBreaks count="1" manualBreakCount="1">
    <brk id="7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стр.1_4</vt:lpstr>
      <vt:lpstr>стр.1_4!Заголовки_для_печати</vt:lpstr>
      <vt:lpstr>стр.1_4!Область_печати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Пользователь</cp:lastModifiedBy>
  <cp:lastPrinted>2020-03-31T06:25:50Z</cp:lastPrinted>
  <dcterms:created xsi:type="dcterms:W3CDTF">2012-05-12T07:32:36Z</dcterms:created>
  <dcterms:modified xsi:type="dcterms:W3CDTF">2021-04-01T04:33:15Z</dcterms:modified>
</cp:coreProperties>
</file>