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паспорта,карты,формы 20, РС, ПЗ, акты\J 19-01\J  19-01 обоснование стоимости\"/>
    </mc:Choice>
  </mc:AlternateContent>
  <xr:revisionPtr revIDLastSave="0" documentId="13_ncr:1_{9F902265-E59D-43E1-A86C-605AF6785C7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Общий с дефлятором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F65" i="1"/>
  <c r="J61" i="1"/>
  <c r="J62" i="1" s="1"/>
  <c r="J68" i="1" s="1"/>
  <c r="I59" i="1"/>
  <c r="I61" i="1" s="1"/>
  <c r="I62" i="1" s="1"/>
  <c r="H58" i="1"/>
  <c r="H57" i="1"/>
  <c r="H56" i="1"/>
  <c r="H55" i="1"/>
  <c r="H54" i="1"/>
  <c r="H53" i="1"/>
  <c r="G46" i="1"/>
  <c r="F46" i="1"/>
  <c r="E46" i="1"/>
  <c r="D45" i="1"/>
  <c r="D46" i="1" s="1"/>
  <c r="J43" i="1"/>
  <c r="I43" i="1"/>
  <c r="G42" i="1"/>
  <c r="F42" i="1"/>
  <c r="H41" i="1"/>
  <c r="H40" i="1"/>
  <c r="H39" i="1"/>
  <c r="H38" i="1"/>
  <c r="H37" i="1"/>
  <c r="H36" i="1"/>
  <c r="D35" i="1"/>
  <c r="H35" i="1" s="1"/>
  <c r="H34" i="1"/>
  <c r="D33" i="1"/>
  <c r="H33" i="1" s="1"/>
  <c r="D32" i="1"/>
  <c r="H32" i="1" s="1"/>
  <c r="E31" i="1"/>
  <c r="H30" i="1"/>
  <c r="E29" i="1"/>
  <c r="D29" i="1"/>
  <c r="G27" i="1"/>
  <c r="G43" i="1" s="1"/>
  <c r="F27" i="1"/>
  <c r="H26" i="1"/>
  <c r="H25" i="1"/>
  <c r="E24" i="1"/>
  <c r="D24" i="1"/>
  <c r="H24" i="1" s="1"/>
  <c r="H23" i="1"/>
  <c r="H22" i="1"/>
  <c r="H21" i="1"/>
  <c r="H20" i="1"/>
  <c r="E19" i="1"/>
  <c r="D19" i="1"/>
  <c r="E18" i="1"/>
  <c r="D18" i="1"/>
  <c r="H17" i="1"/>
  <c r="G47" i="1" l="1"/>
  <c r="E42" i="1"/>
  <c r="H19" i="1"/>
  <c r="D42" i="1"/>
  <c r="H45" i="1"/>
  <c r="H46" i="1" s="1"/>
  <c r="D27" i="1"/>
  <c r="F43" i="1"/>
  <c r="F47" i="1" s="1"/>
  <c r="F49" i="1" s="1"/>
  <c r="F50" i="1" s="1"/>
  <c r="F51" i="1" s="1"/>
  <c r="G49" i="1"/>
  <c r="G50" i="1" s="1"/>
  <c r="G51" i="1" s="1"/>
  <c r="I68" i="1"/>
  <c r="H31" i="1"/>
  <c r="I67" i="1"/>
  <c r="E27" i="1"/>
  <c r="E43" i="1" s="1"/>
  <c r="E47" i="1" s="1"/>
  <c r="H18" i="1"/>
  <c r="H27" i="1" s="1"/>
  <c r="H29" i="1"/>
  <c r="H42" i="1" s="1"/>
  <c r="D43" i="1" l="1"/>
  <c r="D47" i="1" s="1"/>
  <c r="H43" i="1"/>
  <c r="H47" i="1" s="1"/>
  <c r="F60" i="1"/>
  <c r="F61" i="1" s="1"/>
  <c r="F62" i="1" s="1"/>
  <c r="F66" i="1" s="1"/>
  <c r="G60" i="1"/>
  <c r="G61" i="1" s="1"/>
  <c r="G62" i="1" s="1"/>
  <c r="G66" i="1" s="1"/>
  <c r="E49" i="1"/>
  <c r="E50" i="1" s="1"/>
  <c r="E51" i="1" s="1"/>
  <c r="D49" i="1"/>
  <c r="G67" i="1" l="1"/>
  <c r="G68" i="1" s="1"/>
  <c r="G69" i="1" s="1"/>
  <c r="F67" i="1"/>
  <c r="F68" i="1"/>
  <c r="F69" i="1" s="1"/>
  <c r="E60" i="1"/>
  <c r="E59" i="1"/>
  <c r="H49" i="1"/>
  <c r="H50" i="1" s="1"/>
  <c r="H51" i="1" s="1"/>
  <c r="D50" i="1"/>
  <c r="D51" i="1" s="1"/>
  <c r="E61" i="1" l="1"/>
  <c r="E62" i="1" s="1"/>
  <c r="E64" i="1"/>
  <c r="E65" i="1" s="1"/>
  <c r="E66" i="1" s="1"/>
  <c r="D60" i="1"/>
  <c r="H60" i="1" s="1"/>
  <c r="D59" i="1"/>
  <c r="E67" i="1" l="1"/>
  <c r="E68" i="1" s="1"/>
  <c r="E69" i="1" s="1"/>
  <c r="H59" i="1"/>
  <c r="H61" i="1" s="1"/>
  <c r="H62" i="1" s="1"/>
  <c r="D61" i="1"/>
  <c r="D62" i="1" s="1"/>
  <c r="D64" i="1" l="1"/>
  <c r="D65" i="1" l="1"/>
  <c r="D66" i="1" s="1"/>
  <c r="H64" i="1"/>
  <c r="H65" i="1" s="1"/>
  <c r="H66" i="1" s="1"/>
  <c r="H67" i="1" l="1"/>
  <c r="H68" i="1"/>
  <c r="D67" i="1"/>
  <c r="D68" i="1" s="1"/>
  <c r="D69" i="1" s="1"/>
  <c r="H69" i="1" l="1"/>
</calcChain>
</file>

<file path=xl/sharedStrings.xml><?xml version="1.0" encoding="utf-8"?>
<sst xmlns="http://schemas.openxmlformats.org/spreadsheetml/2006/main" count="113" uniqueCount="113">
  <si>
    <t>"Согласовано"</t>
  </si>
  <si>
    <t>"Утверждаю"</t>
  </si>
  <si>
    <t xml:space="preserve">
Генеральный директор АО "Западная энергетическая компания"</t>
  </si>
  <si>
    <t>_____________________________________ /Ретиков М.Т./</t>
  </si>
  <si>
    <t xml:space="preserve">СВОДНЫЙ СМЕТНЫЙ РАСЧЕТ СТОИМОСТИ СТРОИТЕЛЬСТВА </t>
  </si>
  <si>
    <t>Строительство ПС 110 кВ Куликово, расположенной по адресу: Калининградская область, пос. Куликово, Зеленоградский район</t>
  </si>
  <si>
    <t>(наименование стройки)</t>
  </si>
  <si>
    <t>Составлен в прогнозных ценах на 1 квартал 2021 года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</si>
  <si>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</si>
  <si>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</si>
  <si>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</si>
  <si>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</si>
  <si>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</si>
  <si>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в т.ч.   Стоимость материалов</t>
  </si>
  <si>
    <t>строительных работ</t>
  </si>
  <si>
    <t>монтажных работ</t>
  </si>
  <si>
    <t>оборудования</t>
  </si>
  <si>
    <t xml:space="preserve">прочих </t>
  </si>
  <si>
    <t>Глава 2. ПС 110 кВ 1 этап</t>
  </si>
  <si>
    <t>01-01</t>
  </si>
  <si>
    <t>Вертикальная планировка площадки</t>
  </si>
  <si>
    <t>01-02</t>
  </si>
  <si>
    <t>Устройство фундаментов и 2-х маслоприёмников под Т-1, Т-2</t>
  </si>
  <si>
    <t>01-03</t>
  </si>
  <si>
    <t>Ограждение периметра</t>
  </si>
  <si>
    <t>01-04</t>
  </si>
  <si>
    <t>Контур заземления</t>
  </si>
  <si>
    <t>01-05</t>
  </si>
  <si>
    <t xml:space="preserve">Устройство дорожного покрытия (проезды)   </t>
  </si>
  <si>
    <t>01-06</t>
  </si>
  <si>
    <t>Искусственные сооружения</t>
  </si>
  <si>
    <t>01-07</t>
  </si>
  <si>
    <t>Фундаменты под оборудование ОРУ 110  кВ</t>
  </si>
  <si>
    <t>01-08</t>
  </si>
  <si>
    <t>Маслосборник</t>
  </si>
  <si>
    <t>01-09</t>
  </si>
  <si>
    <t>Фундаменты ЗРУ-15 совмещенное с ОПУ</t>
  </si>
  <si>
    <t>01-11</t>
  </si>
  <si>
    <t>Устройство фундаментов и маслоприёмников под установки ТСН- 1,2; Т ДГР и ДГР-1; Т ДГР и ДГР-2</t>
  </si>
  <si>
    <t>Итого по Главе 2 (1 этап):</t>
  </si>
  <si>
    <t>Глава 2. ПС 110 кВ 2 этап</t>
  </si>
  <si>
    <t>02-02-01</t>
  </si>
  <si>
    <t>Ограждение периметра (ворота и калитки)</t>
  </si>
  <si>
    <t>02-02-02</t>
  </si>
  <si>
    <t>Устройство дорожного покрытия. Водоотводные лотки. Площадки и тротуары.</t>
  </si>
  <si>
    <t>02-02-03</t>
  </si>
  <si>
    <t>Контур заземления (подключение)</t>
  </si>
  <si>
    <t>02-02-04</t>
  </si>
  <si>
    <t>Металлоконструкции под оборудование ОРУ 110/15 кВ, Т-1, Т-2. Ограждение трансформаторов Т-1, Т-2. Металлоконструкции под ТСН-1,2; ТДГР-1, 2, ДГР-1,2.</t>
  </si>
  <si>
    <t>02-02-05</t>
  </si>
  <si>
    <t>Здание ЗРУ-15 совмещенное с ОПУ</t>
  </si>
  <si>
    <t>02-02-06</t>
  </si>
  <si>
    <t>Прокладка труб по территории подстанции. Кабельное хозяйство. Кабельный канал.</t>
  </si>
  <si>
    <t>02-02-07</t>
  </si>
  <si>
    <t>Электротехнические решения</t>
  </si>
  <si>
    <t>02-02-08</t>
  </si>
  <si>
    <t>Релейная защита и автоматика</t>
  </si>
  <si>
    <t>02-02-09</t>
  </si>
  <si>
    <t>Автоматизированная информационно-измерительная система коммерческого учета электроэнергии (АИИС КУЭ) 
и качество электроэнергии (СМиУКЭ)</t>
  </si>
  <si>
    <t>02-02-10</t>
  </si>
  <si>
    <t>Автоматизированная система управления технологическими процессами. Система сбора и передачи информации (ССПИ)</t>
  </si>
  <si>
    <t>02-02-11</t>
  </si>
  <si>
    <t>Охранно-пожарная сигнализация и система оповещения о пожаре</t>
  </si>
  <si>
    <t>02-02-12</t>
  </si>
  <si>
    <t>Наружное освещение</t>
  </si>
  <si>
    <t>02-02-13</t>
  </si>
  <si>
    <t>Сети связи ПС Куликово. Сети связи ПС Пионерская. Волоконно-оптическая линия связи. Заход ВОЛС на ПС Куликово.</t>
  </si>
  <si>
    <t>Итого по Главе 2 (2 этап):</t>
  </si>
  <si>
    <t>ИТОГО ПО ГЛАВАМ 1,2,3</t>
  </si>
  <si>
    <t>Глава 7. Благоустройство и озеленение территории</t>
  </si>
  <si>
    <t>07-01-01</t>
  </si>
  <si>
    <t>Благоустройство и озеленение территории</t>
  </si>
  <si>
    <t>Итого по главе 7</t>
  </si>
  <si>
    <t>ИТОГО по главам 1-7</t>
  </si>
  <si>
    <t xml:space="preserve">Глава 8. Временные здания и сооружения </t>
  </si>
  <si>
    <t>ГСН81-05-01-2001 п.3 прил. 1 п.п 2,6</t>
  </si>
  <si>
    <t>Временные здания и сооружения 3,9%</t>
  </si>
  <si>
    <t>Итого по главе 8</t>
  </si>
  <si>
    <t>ИТОГО по главам 1-8</t>
  </si>
  <si>
    <t>Глава 9. Прочие работы и затраты</t>
  </si>
  <si>
    <t>09-01-01</t>
  </si>
  <si>
    <t>Электрооборудование. Пусконаладочные работы.</t>
  </si>
  <si>
    <t>09-01-02</t>
  </si>
  <si>
    <t>Релейная защита и автоматика. Пусконаладочные работы.</t>
  </si>
  <si>
    <t>09-01-03</t>
  </si>
  <si>
    <t xml:space="preserve">Автоматизированная информационно-измерительная система коммерческого учета электроэнергии (АИИС КУЭ) 
и качество электроэнергии (СМиУКЭ). Пусконаладочные работы. </t>
  </si>
  <si>
    <t>09-01-04</t>
  </si>
  <si>
    <t xml:space="preserve">Автоматизированная система управления технологическими процессами. Система сбора и передачи информации (ССПИ). ТМ. Пусконаладочные работы. </t>
  </si>
  <si>
    <t>09-01-05</t>
  </si>
  <si>
    <t>Системы вентиляции и кондиционирования воздуха. Автоматизация систем вентиляции. Пусконаладочные работы.</t>
  </si>
  <si>
    <t>09-01-06</t>
  </si>
  <si>
    <t xml:space="preserve">Охранно-пожарная сигнализация и система оповещения о пожаре. Пусконаладочные работы. </t>
  </si>
  <si>
    <t xml:space="preserve">ГСН 81-05-02-2007 </t>
  </si>
  <si>
    <t>Зимнее удорожание 0,756%</t>
  </si>
  <si>
    <t>МДС 81-11.2000</t>
  </si>
  <si>
    <t xml:space="preserve">Средства на организацию и проведение подрядных торгов 0,168% (по итогам глав 1-8) </t>
  </si>
  <si>
    <t>Итого по главе 9</t>
  </si>
  <si>
    <t>ИТОГО по главам 1-9</t>
  </si>
  <si>
    <t>Глава 10. Строительный контроль</t>
  </si>
  <si>
    <t>Постановление №468 от 21.06.2010г.</t>
  </si>
  <si>
    <t>Осуществление строительного контроля 2,14%</t>
  </si>
  <si>
    <t>Итого по главе 10</t>
  </si>
  <si>
    <t>ИТОГО по главам 1-10</t>
  </si>
  <si>
    <t>МДС 81-35.2004 п.4.96</t>
  </si>
  <si>
    <t>Непредвиденные затраты - 2,0%</t>
  </si>
  <si>
    <t>Итого с непредвиденными затратами</t>
  </si>
  <si>
    <t>Прогноз Минэкономразвития от 28.11.2018</t>
  </si>
  <si>
    <t xml:space="preserve"> Итого в прогнозных ценах на период выполнения работ (окончание выполнения работ 1 квартал 2021 года) Кинф=1,10771)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</si>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</sst>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₽"/>
    <numFmt numFmtId="165" formatCode="#,##0.000"/>
    <numFmt numFmtId="166" formatCode="#,##0.000;[Red]#,##0.000"/>
    <numFmt numFmtId="167" formatCode="#,##0.000\ _₽"/>
    <numFmt numFmtId="168" formatCode="#,##0.00_р_."/>
    <numFmt numFmtId="169" formatCode="#,##0.00000_р_.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6" fontId="3" fillId="0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165" fontId="3" fillId="4" borderId="2" xfId="0" applyNumberFormat="1" applyFont="1" applyFill="1" applyBorder="1" applyAlignment="1">
      <alignment horizontal="center" vertical="center"/>
    </xf>
    <xf numFmtId="165" fontId="3" fillId="4" borderId="3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8" fontId="3" fillId="4" borderId="2" xfId="0" applyNumberFormat="1" applyFont="1" applyFill="1" applyBorder="1" applyAlignment="1">
      <alignment horizontal="left" vertical="center" wrapText="1"/>
    </xf>
    <xf numFmtId="168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8" fontId="3" fillId="3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168" fontId="2" fillId="0" borderId="7" xfId="0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vertical="center" wrapText="1"/>
    </xf>
    <xf numFmtId="168" fontId="2" fillId="2" borderId="2" xfId="0" applyNumberFormat="1" applyFont="1" applyFill="1" applyBorder="1" applyAlignment="1">
      <alignment horizontal="left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left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9" fontId="3" fillId="5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right" vertical="top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abSelected="1" topLeftCell="A10" zoomScaleNormal="100" workbookViewId="0">
      <selection activeCell="N25" sqref="N25:Q26"/>
    </sheetView>
  </sheetViews>
  <sheetFormatPr defaultRowHeight="12.75" x14ac:dyDescent="0.2"/>
  <cols>
    <col min="1" max="1" width="4.7109375" style="1" customWidth="1"/>
    <col min="2" max="2" width="16" style="2" customWidth="1"/>
    <col min="3" max="3" width="61.28515625" style="3" customWidth="1"/>
    <col min="4" max="4" width="13.42578125" style="4" customWidth="1"/>
    <col min="5" max="6" width="15" style="4" customWidth="1"/>
    <col min="7" max="7" width="11" style="4" customWidth="1"/>
    <col min="8" max="8" width="15.140625" style="4" customWidth="1"/>
    <col min="9" max="9" width="15.7109375" style="5" hidden="1" customWidth="1"/>
    <col min="10" max="10" width="14.7109375" style="5" hidden="1" customWidth="1"/>
    <col min="11" max="11" width="0" style="5" hidden="1" customWidth="1"/>
    <col min="12" max="12" width="21" style="5" hidden="1" customWidth="1"/>
    <col min="13" max="13" width="9.140625" style="5"/>
    <col min="14" max="14" width="10.140625" style="5" bestFit="1" customWidth="1"/>
    <col min="15" max="16384" width="9.140625" style="5"/>
  </cols>
  <sheetData>
    <row r="1" spans="1:12" ht="3.75" customHeight="1" x14ac:dyDescent="0.2"/>
    <row r="2" spans="1:12" ht="10.5" customHeight="1" x14ac:dyDescent="0.2">
      <c r="C2" s="6"/>
      <c r="D2" s="6"/>
      <c r="E2" s="6"/>
      <c r="F2" s="6"/>
      <c r="G2" s="6"/>
      <c r="H2" s="6"/>
      <c r="I2" s="7"/>
    </row>
    <row r="3" spans="1:12" ht="15" customHeight="1" x14ac:dyDescent="0.2">
      <c r="B3" s="92" t="s">
        <v>0</v>
      </c>
      <c r="C3" s="93"/>
      <c r="D3" s="92" t="s">
        <v>1</v>
      </c>
      <c r="E3" s="92"/>
      <c r="F3" s="92"/>
      <c r="G3" s="92"/>
      <c r="H3" s="92"/>
      <c r="I3" s="1"/>
    </row>
    <row r="4" spans="1:12" ht="16.5" customHeight="1" x14ac:dyDescent="0.2">
      <c r="B4" s="76"/>
      <c r="C4" s="78"/>
      <c r="D4" s="76" t="s">
        <v>2</v>
      </c>
      <c r="E4" s="76"/>
      <c r="F4" s="76"/>
      <c r="G4" s="76"/>
      <c r="H4" s="76"/>
      <c r="I4" s="1"/>
    </row>
    <row r="5" spans="1:12" ht="18" customHeight="1" x14ac:dyDescent="0.2">
      <c r="B5" s="76"/>
      <c r="C5" s="78"/>
      <c r="D5" s="78" t="s">
        <v>3</v>
      </c>
      <c r="E5" s="78"/>
      <c r="F5" s="78"/>
      <c r="G5" s="78"/>
      <c r="H5" s="78"/>
      <c r="I5" s="1"/>
    </row>
    <row r="6" spans="1:12" ht="9.75" customHeight="1" x14ac:dyDescent="0.2">
      <c r="I6" s="7"/>
    </row>
    <row r="7" spans="1:12" ht="15.75" customHeight="1" x14ac:dyDescent="0.2">
      <c r="A7" s="85"/>
      <c r="B7" s="85"/>
      <c r="C7" s="86" t="s">
        <v>4</v>
      </c>
      <c r="D7" s="86"/>
      <c r="E7" s="86"/>
      <c r="F7" s="86"/>
      <c r="G7" s="86"/>
      <c r="H7" s="8"/>
    </row>
    <row r="8" spans="1:12" ht="18" customHeight="1" x14ac:dyDescent="0.2">
      <c r="B8" s="87" t="s">
        <v>5</v>
      </c>
      <c r="C8" s="87"/>
      <c r="D8" s="87"/>
      <c r="E8" s="87"/>
      <c r="F8" s="87"/>
      <c r="G8" s="87"/>
      <c r="H8" s="87"/>
    </row>
    <row r="9" spans="1:12" x14ac:dyDescent="0.2">
      <c r="B9" s="1"/>
      <c r="C9" s="88" t="s">
        <v>6</v>
      </c>
      <c r="D9" s="88"/>
      <c r="E9" s="88"/>
      <c r="F9" s="88"/>
      <c r="G9" s="88"/>
      <c r="H9" s="8"/>
    </row>
    <row r="10" spans="1:12" ht="19.5" customHeight="1" x14ac:dyDescent="0.2">
      <c r="A10" s="89" t="s">
        <v>7</v>
      </c>
      <c r="B10" s="89"/>
      <c r="C10" s="89"/>
      <c r="D10" s="89"/>
      <c r="E10" s="89"/>
      <c r="F10" s="89"/>
      <c r="G10" s="89"/>
      <c r="H10" s="89"/>
    </row>
    <row r="11" spans="1:12" ht="18.75" customHeight="1" x14ac:dyDescent="0.2">
      <c r="A11" s="82" t="s">
        <v>8</v>
      </c>
      <c r="B11" s="90" t="s">
        <v>9</v>
      </c>
      <c r="C11" s="82" t="s">
        <v>10</v>
      </c>
      <c r="D11" s="91" t="s">
        <v>11</v>
      </c>
      <c r="E11" s="91"/>
      <c r="F11" s="91"/>
      <c r="G11" s="91"/>
      <c r="H11" s="82" t="s">
        <v>12</v>
      </c>
      <c r="J11" s="79" t="s">
        <v>13</v>
      </c>
    </row>
    <row r="12" spans="1:12" x14ac:dyDescent="0.2">
      <c r="A12" s="82"/>
      <c r="B12" s="90"/>
      <c r="C12" s="82"/>
      <c r="D12" s="82" t="s">
        <v>14</v>
      </c>
      <c r="E12" s="82" t="s">
        <v>15</v>
      </c>
      <c r="F12" s="82" t="s">
        <v>16</v>
      </c>
      <c r="G12" s="82" t="s">
        <v>17</v>
      </c>
      <c r="H12" s="82"/>
      <c r="J12" s="80"/>
      <c r="L12" s="9"/>
    </row>
    <row r="13" spans="1:12" ht="12" customHeight="1" x14ac:dyDescent="0.2">
      <c r="A13" s="82"/>
      <c r="B13" s="90"/>
      <c r="C13" s="82"/>
      <c r="D13" s="82"/>
      <c r="E13" s="82"/>
      <c r="F13" s="82"/>
      <c r="G13" s="82"/>
      <c r="H13" s="82"/>
      <c r="J13" s="80"/>
      <c r="L13" s="9"/>
    </row>
    <row r="14" spans="1:12" ht="4.5" customHeight="1" x14ac:dyDescent="0.2">
      <c r="A14" s="82"/>
      <c r="B14" s="90"/>
      <c r="C14" s="82"/>
      <c r="D14" s="82"/>
      <c r="E14" s="82"/>
      <c r="F14" s="82"/>
      <c r="G14" s="82"/>
      <c r="H14" s="82"/>
      <c r="J14" s="81"/>
      <c r="L14" s="9"/>
    </row>
    <row r="15" spans="1:12" ht="13.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J15" s="12"/>
      <c r="L15" s="9"/>
    </row>
    <row r="16" spans="1:12" ht="17.25" customHeight="1" x14ac:dyDescent="0.2">
      <c r="A16" s="10"/>
      <c r="B16" s="83" t="s">
        <v>18</v>
      </c>
      <c r="C16" s="84"/>
      <c r="D16" s="13"/>
      <c r="E16" s="13"/>
      <c r="F16" s="14"/>
      <c r="G16" s="13"/>
      <c r="H16" s="15"/>
      <c r="J16" s="12"/>
      <c r="L16" s="9"/>
    </row>
    <row r="17" spans="1:14" ht="17.25" customHeight="1" x14ac:dyDescent="0.2">
      <c r="A17" s="10">
        <v>1</v>
      </c>
      <c r="B17" s="16" t="s">
        <v>19</v>
      </c>
      <c r="C17" s="17" t="s">
        <v>20</v>
      </c>
      <c r="D17" s="18">
        <v>1562.318</v>
      </c>
      <c r="E17" s="18">
        <v>0</v>
      </c>
      <c r="F17" s="18">
        <v>0</v>
      </c>
      <c r="G17" s="18">
        <v>0</v>
      </c>
      <c r="H17" s="19">
        <f>D17+E17+F17+G17</f>
        <v>1562.318</v>
      </c>
      <c r="J17" s="12"/>
      <c r="L17" s="9"/>
    </row>
    <row r="18" spans="1:14" ht="17.25" customHeight="1" x14ac:dyDescent="0.2">
      <c r="A18" s="20">
        <v>2</v>
      </c>
      <c r="B18" s="16" t="s">
        <v>21</v>
      </c>
      <c r="C18" s="17" t="s">
        <v>22</v>
      </c>
      <c r="D18" s="18">
        <f>1186.747+52.798</f>
        <v>1239.5450000000001</v>
      </c>
      <c r="E18" s="18">
        <f>91.936+9.472</f>
        <v>101.408</v>
      </c>
      <c r="F18" s="18">
        <v>0</v>
      </c>
      <c r="G18" s="18">
        <v>0</v>
      </c>
      <c r="H18" s="19">
        <f t="shared" ref="H18:H25" si="0">D18+E18+F18+G18</f>
        <v>1340.953</v>
      </c>
      <c r="J18" s="12"/>
      <c r="L18" s="9"/>
    </row>
    <row r="19" spans="1:14" ht="17.25" customHeight="1" x14ac:dyDescent="0.2">
      <c r="A19" s="10">
        <v>3</v>
      </c>
      <c r="B19" s="16" t="s">
        <v>23</v>
      </c>
      <c r="C19" s="17" t="s">
        <v>24</v>
      </c>
      <c r="D19" s="18">
        <f>2630.356+23.359</f>
        <v>2653.7150000000001</v>
      </c>
      <c r="E19" s="18">
        <f>26.954+33.042</f>
        <v>59.996000000000002</v>
      </c>
      <c r="F19" s="18">
        <v>0</v>
      </c>
      <c r="G19" s="18">
        <v>0</v>
      </c>
      <c r="H19" s="19">
        <f t="shared" si="0"/>
        <v>2713.7110000000002</v>
      </c>
      <c r="J19" s="12"/>
      <c r="L19" s="9"/>
    </row>
    <row r="20" spans="1:14" ht="17.25" customHeight="1" x14ac:dyDescent="0.2">
      <c r="A20" s="10">
        <v>4</v>
      </c>
      <c r="B20" s="16" t="s">
        <v>25</v>
      </c>
      <c r="C20" s="17" t="s">
        <v>26</v>
      </c>
      <c r="D20" s="18">
        <v>630.245</v>
      </c>
      <c r="E20" s="18">
        <v>135.143</v>
      </c>
      <c r="F20" s="18">
        <v>0</v>
      </c>
      <c r="G20" s="18">
        <v>0</v>
      </c>
      <c r="H20" s="19">
        <f t="shared" si="0"/>
        <v>765.38800000000003</v>
      </c>
      <c r="J20" s="12"/>
      <c r="L20" s="9"/>
    </row>
    <row r="21" spans="1:14" ht="17.25" customHeight="1" x14ac:dyDescent="0.2">
      <c r="A21" s="20">
        <v>5</v>
      </c>
      <c r="B21" s="16" t="s">
        <v>27</v>
      </c>
      <c r="C21" s="17" t="s">
        <v>28</v>
      </c>
      <c r="D21" s="18">
        <v>8992.777</v>
      </c>
      <c r="E21" s="18">
        <v>0</v>
      </c>
      <c r="F21" s="18">
        <v>0</v>
      </c>
      <c r="G21" s="18">
        <v>0</v>
      </c>
      <c r="H21" s="19">
        <f t="shared" si="0"/>
        <v>8992.777</v>
      </c>
      <c r="J21" s="12"/>
      <c r="L21" s="9"/>
    </row>
    <row r="22" spans="1:14" ht="17.25" customHeight="1" x14ac:dyDescent="0.2">
      <c r="A22" s="10">
        <v>6</v>
      </c>
      <c r="B22" s="16" t="s">
        <v>29</v>
      </c>
      <c r="C22" s="17" t="s">
        <v>30</v>
      </c>
      <c r="D22" s="18">
        <v>1633.356</v>
      </c>
      <c r="E22" s="18">
        <v>0</v>
      </c>
      <c r="F22" s="18">
        <v>0</v>
      </c>
      <c r="G22" s="18">
        <v>0</v>
      </c>
      <c r="H22" s="19">
        <f t="shared" si="0"/>
        <v>1633.356</v>
      </c>
      <c r="J22" s="12"/>
      <c r="L22" s="9"/>
    </row>
    <row r="23" spans="1:14" ht="17.25" customHeight="1" x14ac:dyDescent="0.2">
      <c r="A23" s="10">
        <v>7</v>
      </c>
      <c r="B23" s="16" t="s">
        <v>31</v>
      </c>
      <c r="C23" s="17" t="s">
        <v>32</v>
      </c>
      <c r="D23" s="18">
        <v>3802.538</v>
      </c>
      <c r="E23" s="18">
        <v>0</v>
      </c>
      <c r="F23" s="18">
        <v>0</v>
      </c>
      <c r="G23" s="18">
        <v>0</v>
      </c>
      <c r="H23" s="19">
        <f t="shared" si="0"/>
        <v>3802.538</v>
      </c>
      <c r="J23" s="12"/>
      <c r="L23" s="9"/>
    </row>
    <row r="24" spans="1:14" ht="17.25" customHeight="1" x14ac:dyDescent="0.2">
      <c r="A24" s="20">
        <v>8</v>
      </c>
      <c r="B24" s="16" t="s">
        <v>33</v>
      </c>
      <c r="C24" s="17" t="s">
        <v>34</v>
      </c>
      <c r="D24" s="18">
        <f>3110.986+206.292</f>
        <v>3317.2779999999998</v>
      </c>
      <c r="E24" s="18">
        <f>2.648+321.829</f>
        <v>324.47700000000003</v>
      </c>
      <c r="F24" s="18">
        <v>0</v>
      </c>
      <c r="G24" s="18">
        <v>0</v>
      </c>
      <c r="H24" s="19">
        <f t="shared" si="0"/>
        <v>3641.7549999999997</v>
      </c>
      <c r="J24" s="12"/>
      <c r="L24" s="9"/>
    </row>
    <row r="25" spans="1:14" ht="17.25" customHeight="1" x14ac:dyDescent="0.2">
      <c r="A25" s="10">
        <v>9</v>
      </c>
      <c r="B25" s="16" t="s">
        <v>35</v>
      </c>
      <c r="C25" s="17" t="s">
        <v>36</v>
      </c>
      <c r="D25" s="18">
        <v>1336.046</v>
      </c>
      <c r="E25" s="18">
        <v>0</v>
      </c>
      <c r="F25" s="18">
        <v>0</v>
      </c>
      <c r="G25" s="18">
        <v>0</v>
      </c>
      <c r="H25" s="19">
        <f t="shared" si="0"/>
        <v>1336.046</v>
      </c>
      <c r="J25" s="12"/>
      <c r="L25" s="9"/>
      <c r="N25" s="94"/>
    </row>
    <row r="26" spans="1:14" ht="27.75" customHeight="1" x14ac:dyDescent="0.2">
      <c r="A26" s="10">
        <v>10</v>
      </c>
      <c r="B26" s="21" t="s">
        <v>37</v>
      </c>
      <c r="C26" s="17" t="s">
        <v>38</v>
      </c>
      <c r="D26" s="22">
        <v>1384.7180000000001</v>
      </c>
      <c r="E26" s="22">
        <v>0</v>
      </c>
      <c r="F26" s="22">
        <v>0</v>
      </c>
      <c r="G26" s="23">
        <v>0</v>
      </c>
      <c r="H26" s="19">
        <f>D26+E26+F26+G26</f>
        <v>1384.7180000000001</v>
      </c>
      <c r="J26" s="12"/>
      <c r="L26" s="9"/>
    </row>
    <row r="27" spans="1:14" ht="24" customHeight="1" x14ac:dyDescent="0.2">
      <c r="A27" s="24"/>
      <c r="B27" s="25"/>
      <c r="C27" s="26" t="s">
        <v>39</v>
      </c>
      <c r="D27" s="27">
        <f>SUM(D17:D26)</f>
        <v>26552.536</v>
      </c>
      <c r="E27" s="27">
        <f>SUM(E17:E26)</f>
        <v>621.02400000000011</v>
      </c>
      <c r="F27" s="27">
        <f>SUM(F17:F26)</f>
        <v>0</v>
      </c>
      <c r="G27" s="27">
        <f>SUM(G17:G26)</f>
        <v>0</v>
      </c>
      <c r="H27" s="27">
        <f>SUM(H17:H26)</f>
        <v>27173.56</v>
      </c>
      <c r="J27" s="12"/>
      <c r="L27" s="9"/>
    </row>
    <row r="28" spans="1:14" ht="18.75" customHeight="1" x14ac:dyDescent="0.2">
      <c r="A28" s="10"/>
      <c r="B28" s="72" t="s">
        <v>40</v>
      </c>
      <c r="C28" s="73"/>
      <c r="D28" s="19"/>
      <c r="E28" s="19"/>
      <c r="F28" s="19"/>
      <c r="G28" s="19"/>
      <c r="H28" s="19"/>
      <c r="I28" s="28"/>
      <c r="J28" s="28"/>
      <c r="L28" s="29"/>
    </row>
    <row r="29" spans="1:14" ht="18.75" customHeight="1" x14ac:dyDescent="0.2">
      <c r="A29" s="10">
        <v>11</v>
      </c>
      <c r="B29" s="16" t="s">
        <v>41</v>
      </c>
      <c r="C29" s="17" t="s">
        <v>42</v>
      </c>
      <c r="D29" s="18">
        <f>411.8</f>
        <v>411.8</v>
      </c>
      <c r="E29" s="18">
        <f>2.617+0.887</f>
        <v>3.504</v>
      </c>
      <c r="F29" s="18">
        <v>0</v>
      </c>
      <c r="G29" s="18">
        <v>0</v>
      </c>
      <c r="H29" s="19">
        <f>D29+E29+F29+G29</f>
        <v>415.30400000000003</v>
      </c>
      <c r="I29" s="28"/>
      <c r="J29" s="28"/>
      <c r="L29" s="29"/>
    </row>
    <row r="30" spans="1:14" ht="30" customHeight="1" x14ac:dyDescent="0.2">
      <c r="A30" s="10">
        <v>12</v>
      </c>
      <c r="B30" s="16" t="s">
        <v>43</v>
      </c>
      <c r="C30" s="17" t="s">
        <v>44</v>
      </c>
      <c r="D30" s="18">
        <v>4835.893</v>
      </c>
      <c r="E30" s="18">
        <v>0</v>
      </c>
      <c r="F30" s="18">
        <v>0</v>
      </c>
      <c r="G30" s="18">
        <v>0</v>
      </c>
      <c r="H30" s="19">
        <f>D30+E30+F30+G30</f>
        <v>4835.893</v>
      </c>
      <c r="I30" s="28"/>
      <c r="J30" s="28"/>
      <c r="L30" s="29"/>
    </row>
    <row r="31" spans="1:14" ht="18.75" customHeight="1" x14ac:dyDescent="0.2">
      <c r="A31" s="10">
        <v>13</v>
      </c>
      <c r="B31" s="16" t="s">
        <v>45</v>
      </c>
      <c r="C31" s="17" t="s">
        <v>46</v>
      </c>
      <c r="D31" s="18">
        <v>27.09</v>
      </c>
      <c r="E31" s="18">
        <f>46.564+0.527</f>
        <v>47.091000000000001</v>
      </c>
      <c r="F31" s="18">
        <v>0</v>
      </c>
      <c r="G31" s="18">
        <v>0</v>
      </c>
      <c r="H31" s="19">
        <f>D31+E31+F31+G31</f>
        <v>74.180999999999997</v>
      </c>
      <c r="I31" s="28"/>
      <c r="J31" s="28"/>
      <c r="L31" s="29"/>
    </row>
    <row r="32" spans="1:14" ht="42" customHeight="1" x14ac:dyDescent="0.2">
      <c r="A32" s="10">
        <v>14</v>
      </c>
      <c r="B32" s="16" t="s">
        <v>47</v>
      </c>
      <c r="C32" s="17" t="s">
        <v>48</v>
      </c>
      <c r="D32" s="18">
        <f>5447.594+846.222</f>
        <v>6293.8159999999998</v>
      </c>
      <c r="E32" s="18">
        <v>224.887</v>
      </c>
      <c r="F32" s="18">
        <v>0</v>
      </c>
      <c r="G32" s="18">
        <v>0</v>
      </c>
      <c r="H32" s="19">
        <f>D32+E32+F32+G32</f>
        <v>6518.7029999999995</v>
      </c>
      <c r="I32" s="28"/>
      <c r="J32" s="28"/>
      <c r="L32" s="29"/>
    </row>
    <row r="33" spans="1:12" ht="17.25" customHeight="1" x14ac:dyDescent="0.2">
      <c r="A33" s="10">
        <v>15</v>
      </c>
      <c r="B33" s="30" t="s">
        <v>49</v>
      </c>
      <c r="C33" s="31" t="s">
        <v>50</v>
      </c>
      <c r="D33" s="32">
        <f>13818.786+4611.781</f>
        <v>18430.566999999999</v>
      </c>
      <c r="E33" s="32">
        <v>513.57000000000005</v>
      </c>
      <c r="F33" s="32">
        <v>0</v>
      </c>
      <c r="G33" s="32">
        <v>0</v>
      </c>
      <c r="H33" s="33">
        <f>SUM(D33:G33)</f>
        <v>18944.136999999999</v>
      </c>
      <c r="I33" s="28"/>
      <c r="J33" s="28"/>
      <c r="L33" s="29"/>
    </row>
    <row r="34" spans="1:12" ht="27.75" customHeight="1" x14ac:dyDescent="0.2">
      <c r="A34" s="10">
        <v>16</v>
      </c>
      <c r="B34" s="34" t="s">
        <v>51</v>
      </c>
      <c r="C34" s="35" t="s">
        <v>52</v>
      </c>
      <c r="D34" s="36">
        <v>1456.3630000000001</v>
      </c>
      <c r="E34" s="36">
        <v>147.47399999999999</v>
      </c>
      <c r="F34" s="36">
        <v>0</v>
      </c>
      <c r="G34" s="36">
        <v>0</v>
      </c>
      <c r="H34" s="33">
        <f>D34+E34+F34+G34</f>
        <v>1603.837</v>
      </c>
      <c r="I34" s="28"/>
      <c r="J34" s="28"/>
      <c r="L34" s="29"/>
    </row>
    <row r="35" spans="1:12" ht="16.5" customHeight="1" x14ac:dyDescent="0.2">
      <c r="A35" s="10">
        <v>17</v>
      </c>
      <c r="B35" s="34" t="s">
        <v>53</v>
      </c>
      <c r="C35" s="31" t="s">
        <v>54</v>
      </c>
      <c r="D35" s="32">
        <f>208.349</f>
        <v>208.34899999999999</v>
      </c>
      <c r="E35" s="32">
        <v>17108.132000000001</v>
      </c>
      <c r="F35" s="32">
        <v>93679.463000000003</v>
      </c>
      <c r="G35" s="36">
        <v>0</v>
      </c>
      <c r="H35" s="33">
        <f>D35+E35+F35+G35</f>
        <v>110995.944</v>
      </c>
      <c r="I35" s="28"/>
      <c r="J35" s="28"/>
      <c r="L35" s="29"/>
    </row>
    <row r="36" spans="1:12" ht="16.5" customHeight="1" x14ac:dyDescent="0.2">
      <c r="A36" s="10">
        <v>18</v>
      </c>
      <c r="B36" s="34" t="s">
        <v>55</v>
      </c>
      <c r="C36" s="31" t="s">
        <v>56</v>
      </c>
      <c r="D36" s="32">
        <v>0</v>
      </c>
      <c r="E36" s="32">
        <v>3479.54</v>
      </c>
      <c r="F36" s="32">
        <v>11221.762000000001</v>
      </c>
      <c r="G36" s="36">
        <v>0</v>
      </c>
      <c r="H36" s="33">
        <f t="shared" ref="H36:H41" si="1">D36+E36+F36+G36</f>
        <v>14701.302</v>
      </c>
      <c r="I36" s="28"/>
      <c r="J36" s="28"/>
      <c r="L36" s="29"/>
    </row>
    <row r="37" spans="1:12" ht="40.5" customHeight="1" x14ac:dyDescent="0.2">
      <c r="A37" s="10">
        <v>19</v>
      </c>
      <c r="B37" s="34" t="s">
        <v>57</v>
      </c>
      <c r="C37" s="31" t="s">
        <v>58</v>
      </c>
      <c r="D37" s="32">
        <v>0</v>
      </c>
      <c r="E37" s="32">
        <v>2485.9009999999998</v>
      </c>
      <c r="F37" s="32">
        <v>1726.0540000000001</v>
      </c>
      <c r="G37" s="36">
        <v>0</v>
      </c>
      <c r="H37" s="33">
        <f t="shared" si="1"/>
        <v>4211.9549999999999</v>
      </c>
      <c r="I37" s="28"/>
      <c r="J37" s="28"/>
      <c r="L37" s="29"/>
    </row>
    <row r="38" spans="1:12" ht="27.75" customHeight="1" x14ac:dyDescent="0.2">
      <c r="A38" s="10">
        <v>20</v>
      </c>
      <c r="B38" s="37" t="s">
        <v>59</v>
      </c>
      <c r="C38" s="17" t="s">
        <v>60</v>
      </c>
      <c r="D38" s="22">
        <v>0</v>
      </c>
      <c r="E38" s="22">
        <v>20608.652999999998</v>
      </c>
      <c r="F38" s="22">
        <v>3259.3679999999999</v>
      </c>
      <c r="G38" s="23">
        <v>0</v>
      </c>
      <c r="H38" s="19">
        <f t="shared" si="1"/>
        <v>23868.020999999997</v>
      </c>
      <c r="I38" s="28"/>
      <c r="J38" s="28"/>
      <c r="L38" s="29"/>
    </row>
    <row r="39" spans="1:12" ht="16.5" customHeight="1" x14ac:dyDescent="0.2">
      <c r="A39" s="10">
        <v>21</v>
      </c>
      <c r="B39" s="34" t="s">
        <v>61</v>
      </c>
      <c r="C39" s="31" t="s">
        <v>62</v>
      </c>
      <c r="D39" s="32">
        <v>45.073999999999998</v>
      </c>
      <c r="E39" s="32">
        <v>782.79899999999998</v>
      </c>
      <c r="F39" s="32">
        <v>855.06899999999996</v>
      </c>
      <c r="G39" s="36">
        <v>0</v>
      </c>
      <c r="H39" s="33">
        <f t="shared" si="1"/>
        <v>1682.942</v>
      </c>
      <c r="I39" s="28"/>
      <c r="J39" s="28"/>
      <c r="L39" s="29"/>
    </row>
    <row r="40" spans="1:12" ht="16.5" customHeight="1" x14ac:dyDescent="0.2">
      <c r="A40" s="10">
        <v>22</v>
      </c>
      <c r="B40" s="34" t="s">
        <v>63</v>
      </c>
      <c r="C40" s="31" t="s">
        <v>64</v>
      </c>
      <c r="D40" s="32">
        <v>1912.058</v>
      </c>
      <c r="E40" s="32">
        <v>5584.4070000000002</v>
      </c>
      <c r="F40" s="32">
        <v>0</v>
      </c>
      <c r="G40" s="36">
        <v>0</v>
      </c>
      <c r="H40" s="33">
        <f t="shared" si="1"/>
        <v>7496.4650000000001</v>
      </c>
      <c r="I40" s="28"/>
      <c r="J40" s="28"/>
      <c r="L40" s="29"/>
    </row>
    <row r="41" spans="1:12" ht="27" customHeight="1" x14ac:dyDescent="0.2">
      <c r="A41" s="10">
        <v>23</v>
      </c>
      <c r="B41" s="34" t="s">
        <v>65</v>
      </c>
      <c r="C41" s="31" t="s">
        <v>66</v>
      </c>
      <c r="D41" s="32">
        <v>79.102000000000004</v>
      </c>
      <c r="E41" s="32">
        <v>1225.1369999999999</v>
      </c>
      <c r="F41" s="32">
        <v>399.01499999999999</v>
      </c>
      <c r="G41" s="36">
        <v>0</v>
      </c>
      <c r="H41" s="33">
        <f t="shared" si="1"/>
        <v>1703.2539999999999</v>
      </c>
      <c r="I41" s="28"/>
      <c r="J41" s="28"/>
      <c r="L41" s="29"/>
    </row>
    <row r="42" spans="1:12" ht="21" customHeight="1" x14ac:dyDescent="0.2">
      <c r="A42" s="38"/>
      <c r="B42" s="39"/>
      <c r="C42" s="40" t="s">
        <v>67</v>
      </c>
      <c r="D42" s="41">
        <f>SUM(D29:D41)</f>
        <v>33700.111999999994</v>
      </c>
      <c r="E42" s="41">
        <f>SUM(E29:E41)</f>
        <v>52211.095000000001</v>
      </c>
      <c r="F42" s="41">
        <f>SUM(F29:F41)</f>
        <v>111140.73100000001</v>
      </c>
      <c r="G42" s="42">
        <f>SUM(G29:G41)</f>
        <v>0</v>
      </c>
      <c r="H42" s="43">
        <f>SUM(H29:H41)</f>
        <v>197051.93799999999</v>
      </c>
      <c r="I42" s="28"/>
      <c r="J42" s="28"/>
      <c r="L42" s="29"/>
    </row>
    <row r="43" spans="1:12" s="47" customFormat="1" ht="21" customHeight="1" x14ac:dyDescent="0.2">
      <c r="A43" s="44"/>
      <c r="B43" s="39"/>
      <c r="C43" s="45" t="s">
        <v>68</v>
      </c>
      <c r="D43" s="43">
        <f>D27+D42</f>
        <v>60252.647999999994</v>
      </c>
      <c r="E43" s="43">
        <f>E27+E42</f>
        <v>52832.118999999999</v>
      </c>
      <c r="F43" s="43">
        <f>F27+F42</f>
        <v>111140.73100000001</v>
      </c>
      <c r="G43" s="43">
        <f>G27+G42</f>
        <v>0</v>
      </c>
      <c r="H43" s="43">
        <f>H27+H42</f>
        <v>224225.49799999999</v>
      </c>
      <c r="I43" s="46" t="e">
        <f>#REF!+#REF!+#REF!</f>
        <v>#REF!</v>
      </c>
      <c r="J43" s="46" t="e">
        <f>#REF!+#REF!+#REF!</f>
        <v>#REF!</v>
      </c>
    </row>
    <row r="44" spans="1:12" s="47" customFormat="1" ht="18.75" customHeight="1" x14ac:dyDescent="0.2">
      <c r="A44" s="10"/>
      <c r="B44" s="48"/>
      <c r="C44" s="49" t="s">
        <v>69</v>
      </c>
      <c r="D44" s="19"/>
      <c r="E44" s="19"/>
      <c r="F44" s="19"/>
      <c r="G44" s="19"/>
      <c r="H44" s="19"/>
      <c r="I44" s="50"/>
      <c r="J44" s="46"/>
    </row>
    <row r="45" spans="1:12" s="47" customFormat="1" ht="18.75" customHeight="1" x14ac:dyDescent="0.2">
      <c r="A45" s="10">
        <v>24</v>
      </c>
      <c r="B45" s="16" t="s">
        <v>70</v>
      </c>
      <c r="C45" s="51" t="s">
        <v>71</v>
      </c>
      <c r="D45" s="18">
        <f>1763.285+46.051+46.18</f>
        <v>1855.5160000000001</v>
      </c>
      <c r="E45" s="18">
        <v>23.027000000000001</v>
      </c>
      <c r="F45" s="18">
        <v>237.92699999999999</v>
      </c>
      <c r="G45" s="18">
        <v>0</v>
      </c>
      <c r="H45" s="18">
        <f>SUM(D45:G45)</f>
        <v>2116.4700000000003</v>
      </c>
      <c r="I45" s="50"/>
      <c r="J45" s="46"/>
    </row>
    <row r="46" spans="1:12" s="47" customFormat="1" ht="18.75" customHeight="1" x14ac:dyDescent="0.2">
      <c r="A46" s="10"/>
      <c r="B46" s="16"/>
      <c r="C46" s="52" t="s">
        <v>72</v>
      </c>
      <c r="D46" s="19">
        <f>D45</f>
        <v>1855.5160000000001</v>
      </c>
      <c r="E46" s="19">
        <f>E45</f>
        <v>23.027000000000001</v>
      </c>
      <c r="F46" s="19">
        <f>F45</f>
        <v>237.92699999999999</v>
      </c>
      <c r="G46" s="19">
        <f>G45</f>
        <v>0</v>
      </c>
      <c r="H46" s="19">
        <f>H45</f>
        <v>2116.4700000000003</v>
      </c>
      <c r="I46" s="50"/>
      <c r="J46" s="46"/>
    </row>
    <row r="47" spans="1:12" s="47" customFormat="1" ht="18.75" customHeight="1" x14ac:dyDescent="0.2">
      <c r="A47" s="10"/>
      <c r="B47" s="16"/>
      <c r="C47" s="52" t="s">
        <v>73</v>
      </c>
      <c r="D47" s="19">
        <f>D43+D46</f>
        <v>62108.163999999997</v>
      </c>
      <c r="E47" s="19">
        <f>E43+E46</f>
        <v>52855.146000000001</v>
      </c>
      <c r="F47" s="19">
        <f>F43+F46</f>
        <v>111378.65800000001</v>
      </c>
      <c r="G47" s="19">
        <f>G43+G46</f>
        <v>0</v>
      </c>
      <c r="H47" s="19">
        <f>H43+H46</f>
        <v>226341.96799999999</v>
      </c>
      <c r="I47" s="50"/>
      <c r="J47" s="46"/>
    </row>
    <row r="48" spans="1:12" ht="18.75" customHeight="1" x14ac:dyDescent="0.2">
      <c r="A48" s="10"/>
      <c r="B48" s="48"/>
      <c r="C48" s="49" t="s">
        <v>74</v>
      </c>
      <c r="D48" s="19"/>
      <c r="E48" s="19"/>
      <c r="F48" s="19"/>
      <c r="G48" s="19"/>
      <c r="H48" s="19"/>
      <c r="J48" s="53"/>
      <c r="L48" s="9"/>
    </row>
    <row r="49" spans="1:12" ht="24" customHeight="1" x14ac:dyDescent="0.2">
      <c r="A49" s="10">
        <v>25</v>
      </c>
      <c r="B49" s="16" t="s">
        <v>75</v>
      </c>
      <c r="C49" s="54" t="s">
        <v>76</v>
      </c>
      <c r="D49" s="18">
        <f>D47*0.039</f>
        <v>2422.2183959999998</v>
      </c>
      <c r="E49" s="18">
        <f>E47*0.039</f>
        <v>2061.3506940000002</v>
      </c>
      <c r="F49" s="18">
        <f>F47*0.039</f>
        <v>4343.7676620000002</v>
      </c>
      <c r="G49" s="18">
        <f>G47*0.039</f>
        <v>0</v>
      </c>
      <c r="H49" s="18">
        <f>SUM(D49:G49)</f>
        <v>8827.3367519999993</v>
      </c>
      <c r="J49" s="53"/>
      <c r="L49" s="9"/>
    </row>
    <row r="50" spans="1:12" ht="15.75" customHeight="1" x14ac:dyDescent="0.2">
      <c r="A50" s="10"/>
      <c r="B50" s="16"/>
      <c r="C50" s="52" t="s">
        <v>77</v>
      </c>
      <c r="D50" s="19">
        <f>D49</f>
        <v>2422.2183959999998</v>
      </c>
      <c r="E50" s="19">
        <f>E49</f>
        <v>2061.3506940000002</v>
      </c>
      <c r="F50" s="19">
        <f>F49</f>
        <v>4343.7676620000002</v>
      </c>
      <c r="G50" s="19">
        <f>G49</f>
        <v>0</v>
      </c>
      <c r="H50" s="19">
        <f>H49</f>
        <v>8827.3367519999993</v>
      </c>
      <c r="J50" s="53"/>
      <c r="L50" s="9"/>
    </row>
    <row r="51" spans="1:12" ht="15.75" customHeight="1" x14ac:dyDescent="0.2">
      <c r="A51" s="10"/>
      <c r="B51" s="16"/>
      <c r="C51" s="52" t="s">
        <v>78</v>
      </c>
      <c r="D51" s="19">
        <f>D47+D50</f>
        <v>64530.382395999994</v>
      </c>
      <c r="E51" s="19">
        <f>E47+E50</f>
        <v>54916.496694000001</v>
      </c>
      <c r="F51" s="19">
        <f>F47+F50</f>
        <v>115722.42566200001</v>
      </c>
      <c r="G51" s="19">
        <f>G47+G50</f>
        <v>0</v>
      </c>
      <c r="H51" s="19">
        <f>H47+H50</f>
        <v>235169.304752</v>
      </c>
      <c r="J51" s="53"/>
      <c r="L51" s="9"/>
    </row>
    <row r="52" spans="1:12" ht="15.75" customHeight="1" x14ac:dyDescent="0.2">
      <c r="A52" s="10"/>
      <c r="B52" s="16"/>
      <c r="C52" s="49" t="s">
        <v>79</v>
      </c>
      <c r="D52" s="18"/>
      <c r="E52" s="18"/>
      <c r="F52" s="18"/>
      <c r="G52" s="18"/>
      <c r="H52" s="18"/>
      <c r="J52" s="53"/>
      <c r="L52" s="9"/>
    </row>
    <row r="53" spans="1:12" ht="18" customHeight="1" x14ac:dyDescent="0.2">
      <c r="A53" s="10">
        <v>26</v>
      </c>
      <c r="B53" s="55" t="s">
        <v>80</v>
      </c>
      <c r="C53" s="56" t="s">
        <v>81</v>
      </c>
      <c r="D53" s="57">
        <v>0</v>
      </c>
      <c r="E53" s="57">
        <v>0</v>
      </c>
      <c r="F53" s="57">
        <v>0</v>
      </c>
      <c r="G53" s="32">
        <v>9420.1939999999995</v>
      </c>
      <c r="H53" s="33">
        <f>G53</f>
        <v>9420.1939999999995</v>
      </c>
      <c r="J53" s="53"/>
      <c r="L53" s="9"/>
    </row>
    <row r="54" spans="1:12" ht="18" customHeight="1" x14ac:dyDescent="0.2">
      <c r="A54" s="10">
        <v>27</v>
      </c>
      <c r="B54" s="55" t="s">
        <v>82</v>
      </c>
      <c r="C54" s="58" t="s">
        <v>83</v>
      </c>
      <c r="D54" s="57">
        <v>0</v>
      </c>
      <c r="E54" s="57">
        <v>0</v>
      </c>
      <c r="F54" s="57">
        <v>0</v>
      </c>
      <c r="G54" s="32">
        <v>7543.3379999999997</v>
      </c>
      <c r="H54" s="33">
        <f t="shared" ref="H54:H58" si="2">G54</f>
        <v>7543.3379999999997</v>
      </c>
      <c r="J54" s="53"/>
      <c r="L54" s="9"/>
    </row>
    <row r="55" spans="1:12" ht="42" customHeight="1" x14ac:dyDescent="0.2">
      <c r="A55" s="10">
        <v>28</v>
      </c>
      <c r="B55" s="55" t="s">
        <v>84</v>
      </c>
      <c r="C55" s="58" t="s">
        <v>85</v>
      </c>
      <c r="D55" s="57">
        <v>0</v>
      </c>
      <c r="E55" s="57">
        <v>0</v>
      </c>
      <c r="F55" s="57">
        <v>0</v>
      </c>
      <c r="G55" s="32">
        <v>1352.412</v>
      </c>
      <c r="H55" s="33">
        <f t="shared" si="2"/>
        <v>1352.412</v>
      </c>
      <c r="J55" s="53"/>
      <c r="L55" s="9"/>
    </row>
    <row r="56" spans="1:12" ht="41.25" customHeight="1" x14ac:dyDescent="0.2">
      <c r="A56" s="10">
        <v>29</v>
      </c>
      <c r="B56" s="55" t="s">
        <v>86</v>
      </c>
      <c r="C56" s="58" t="s">
        <v>87</v>
      </c>
      <c r="D56" s="57">
        <v>0</v>
      </c>
      <c r="E56" s="57">
        <v>0</v>
      </c>
      <c r="F56" s="57">
        <v>0</v>
      </c>
      <c r="G56" s="32">
        <v>3685.2539999999999</v>
      </c>
      <c r="H56" s="33">
        <f t="shared" si="2"/>
        <v>3685.2539999999999</v>
      </c>
      <c r="J56" s="53"/>
      <c r="L56" s="9"/>
    </row>
    <row r="57" spans="1:12" ht="27.75" customHeight="1" x14ac:dyDescent="0.2">
      <c r="A57" s="10">
        <v>30</v>
      </c>
      <c r="B57" s="55" t="s">
        <v>88</v>
      </c>
      <c r="C57" s="58" t="s">
        <v>89</v>
      </c>
      <c r="D57" s="57">
        <v>0</v>
      </c>
      <c r="E57" s="57">
        <v>0</v>
      </c>
      <c r="F57" s="57">
        <v>0</v>
      </c>
      <c r="G57" s="32">
        <v>160.661</v>
      </c>
      <c r="H57" s="33">
        <f t="shared" si="2"/>
        <v>160.661</v>
      </c>
      <c r="J57" s="53"/>
      <c r="L57" s="9"/>
    </row>
    <row r="58" spans="1:12" ht="27" customHeight="1" x14ac:dyDescent="0.2">
      <c r="A58" s="10">
        <v>31</v>
      </c>
      <c r="B58" s="55" t="s">
        <v>90</v>
      </c>
      <c r="C58" s="58" t="s">
        <v>91</v>
      </c>
      <c r="D58" s="57">
        <v>0</v>
      </c>
      <c r="E58" s="57">
        <v>0</v>
      </c>
      <c r="F58" s="57">
        <v>0</v>
      </c>
      <c r="G58" s="32">
        <v>395.947</v>
      </c>
      <c r="H58" s="33">
        <f t="shared" si="2"/>
        <v>395.947</v>
      </c>
      <c r="J58" s="53"/>
      <c r="L58" s="9"/>
    </row>
    <row r="59" spans="1:12" ht="17.25" customHeight="1" x14ac:dyDescent="0.2">
      <c r="A59" s="10">
        <v>32</v>
      </c>
      <c r="B59" s="16" t="s">
        <v>92</v>
      </c>
      <c r="C59" s="59" t="s">
        <v>93</v>
      </c>
      <c r="D59" s="18">
        <f>D51*0.00756</f>
        <v>487.84969091375996</v>
      </c>
      <c r="E59" s="18">
        <f>E51*0.00756</f>
        <v>415.16871500664001</v>
      </c>
      <c r="F59" s="18">
        <v>0</v>
      </c>
      <c r="G59" s="18">
        <v>0</v>
      </c>
      <c r="H59" s="19">
        <f>D59+E59</f>
        <v>903.01840592040003</v>
      </c>
      <c r="I59" s="60" t="e">
        <f>(#REF!+I49)*0.00756</f>
        <v>#REF!</v>
      </c>
      <c r="J59" s="60"/>
      <c r="L59" s="9"/>
    </row>
    <row r="60" spans="1:12" ht="28.5" customHeight="1" x14ac:dyDescent="0.2">
      <c r="A60" s="10">
        <v>33</v>
      </c>
      <c r="B60" s="55" t="s">
        <v>94</v>
      </c>
      <c r="C60" s="61" t="s">
        <v>95</v>
      </c>
      <c r="D60" s="57">
        <f>D51*0.00168</f>
        <v>108.41104242527999</v>
      </c>
      <c r="E60" s="57">
        <f>E51*0.00168</f>
        <v>92.259714445920011</v>
      </c>
      <c r="F60" s="57">
        <f>F51*0.00168</f>
        <v>194.41367511216004</v>
      </c>
      <c r="G60" s="57">
        <f>G51*0.00168</f>
        <v>0</v>
      </c>
      <c r="H60" s="19">
        <f>SUM(D60:G60)</f>
        <v>395.08443198336005</v>
      </c>
      <c r="I60" s="60"/>
      <c r="J60" s="60"/>
      <c r="L60" s="9"/>
    </row>
    <row r="61" spans="1:12" ht="16.5" customHeight="1" x14ac:dyDescent="0.2">
      <c r="A61" s="10"/>
      <c r="B61" s="16"/>
      <c r="C61" s="52" t="s">
        <v>96</v>
      </c>
      <c r="D61" s="19">
        <f>SUM(D53:D60)</f>
        <v>596.26073333903992</v>
      </c>
      <c r="E61" s="19">
        <f>SUM(E53:E60)</f>
        <v>507.42842945256001</v>
      </c>
      <c r="F61" s="19">
        <f>SUM(F53:F60)</f>
        <v>194.41367511216004</v>
      </c>
      <c r="G61" s="19">
        <f>SUM(G53:G60)</f>
        <v>22557.806</v>
      </c>
      <c r="H61" s="19">
        <f>SUM(H53:H60)</f>
        <v>23855.90883790376</v>
      </c>
      <c r="I61" s="46" t="e">
        <f>I49+I59</f>
        <v>#REF!</v>
      </c>
      <c r="J61" s="46">
        <f>J49+J59</f>
        <v>0</v>
      </c>
      <c r="L61" s="9"/>
    </row>
    <row r="62" spans="1:12" ht="16.5" customHeight="1" x14ac:dyDescent="0.2">
      <c r="A62" s="10"/>
      <c r="B62" s="62"/>
      <c r="C62" s="52" t="s">
        <v>97</v>
      </c>
      <c r="D62" s="19">
        <f>D51+D61</f>
        <v>65126.643129339034</v>
      </c>
      <c r="E62" s="19">
        <f>E51+E61</f>
        <v>55423.925123452558</v>
      </c>
      <c r="F62" s="19">
        <f>F51+F61</f>
        <v>115916.83933711216</v>
      </c>
      <c r="G62" s="19">
        <f>G51+G61</f>
        <v>22557.806</v>
      </c>
      <c r="H62" s="19">
        <f>H51+H61</f>
        <v>259025.21358990375</v>
      </c>
      <c r="I62" s="46" t="e">
        <f>#REF!+I61</f>
        <v>#REF!</v>
      </c>
      <c r="J62" s="46" t="e">
        <f>#REF!+J61</f>
        <v>#REF!</v>
      </c>
      <c r="L62" s="9"/>
    </row>
    <row r="63" spans="1:12" ht="16.5" customHeight="1" x14ac:dyDescent="0.2">
      <c r="A63" s="10"/>
      <c r="B63" s="16"/>
      <c r="C63" s="49" t="s">
        <v>98</v>
      </c>
      <c r="D63" s="18"/>
      <c r="E63" s="18"/>
      <c r="F63" s="18"/>
      <c r="G63" s="18"/>
      <c r="H63" s="18"/>
      <c r="I63" s="46"/>
      <c r="J63" s="46"/>
      <c r="L63" s="9"/>
    </row>
    <row r="64" spans="1:12" ht="39" customHeight="1" x14ac:dyDescent="0.2">
      <c r="A64" s="10">
        <v>34</v>
      </c>
      <c r="B64" s="16" t="s">
        <v>99</v>
      </c>
      <c r="C64" s="59" t="s">
        <v>100</v>
      </c>
      <c r="D64" s="18">
        <f>D62*0.0214</f>
        <v>1393.7101629678552</v>
      </c>
      <c r="E64" s="18">
        <f>E62*0.0214</f>
        <v>1186.0719976418848</v>
      </c>
      <c r="F64" s="18">
        <v>0</v>
      </c>
      <c r="G64" s="18">
        <v>0</v>
      </c>
      <c r="H64" s="18">
        <f>D64+E64</f>
        <v>2579.78216060974</v>
      </c>
      <c r="I64" s="46"/>
      <c r="J64" s="46"/>
      <c r="L64" s="9"/>
    </row>
    <row r="65" spans="1:12" ht="17.25" customHeight="1" x14ac:dyDescent="0.2">
      <c r="A65" s="10"/>
      <c r="B65" s="16"/>
      <c r="C65" s="52" t="s">
        <v>101</v>
      </c>
      <c r="D65" s="19">
        <f>D64</f>
        <v>1393.7101629678552</v>
      </c>
      <c r="E65" s="19">
        <f>E64</f>
        <v>1186.0719976418848</v>
      </c>
      <c r="F65" s="19">
        <f>F59+F64</f>
        <v>0</v>
      </c>
      <c r="G65" s="19">
        <f>G59+G64</f>
        <v>0</v>
      </c>
      <c r="H65" s="19">
        <f>H64</f>
        <v>2579.78216060974</v>
      </c>
      <c r="I65" s="46"/>
      <c r="J65" s="46"/>
      <c r="L65" s="9"/>
    </row>
    <row r="66" spans="1:12" ht="17.25" customHeight="1" x14ac:dyDescent="0.2">
      <c r="A66" s="10"/>
      <c r="B66" s="62"/>
      <c r="C66" s="52" t="s">
        <v>102</v>
      </c>
      <c r="D66" s="19">
        <f>D62+D65</f>
        <v>66520.353292306885</v>
      </c>
      <c r="E66" s="19">
        <f>E62+E65</f>
        <v>56609.997121094442</v>
      </c>
      <c r="F66" s="19">
        <f>F62+F65</f>
        <v>115916.83933711216</v>
      </c>
      <c r="G66" s="19">
        <f>G62+G65</f>
        <v>22557.806</v>
      </c>
      <c r="H66" s="19">
        <f>H62+H65</f>
        <v>261604.99575051348</v>
      </c>
      <c r="I66" s="46"/>
      <c r="J66" s="46"/>
      <c r="L66" s="9"/>
    </row>
    <row r="67" spans="1:12" ht="26.25" customHeight="1" x14ac:dyDescent="0.2">
      <c r="A67" s="10">
        <v>35</v>
      </c>
      <c r="B67" s="16" t="s">
        <v>103</v>
      </c>
      <c r="C67" s="63" t="s">
        <v>104</v>
      </c>
      <c r="D67" s="19">
        <f>D66*0.02</f>
        <v>1330.4070658461378</v>
      </c>
      <c r="E67" s="19">
        <f>E66*0.02</f>
        <v>1132.1999424218889</v>
      </c>
      <c r="F67" s="19">
        <f>F66*0.02</f>
        <v>2318.3367867422435</v>
      </c>
      <c r="G67" s="19">
        <f>G66*0.02</f>
        <v>451.15612000000004</v>
      </c>
      <c r="H67" s="19">
        <f>H66*0.02</f>
        <v>5232.0999150102698</v>
      </c>
      <c r="I67" s="46" t="e">
        <f>I62*0.02</f>
        <v>#REF!</v>
      </c>
      <c r="J67" s="46">
        <v>0</v>
      </c>
      <c r="L67" s="9"/>
    </row>
    <row r="68" spans="1:12" s="47" customFormat="1" ht="18" customHeight="1" x14ac:dyDescent="0.2">
      <c r="A68" s="64"/>
      <c r="B68" s="55"/>
      <c r="C68" s="65" t="s">
        <v>105</v>
      </c>
      <c r="D68" s="33">
        <f>SUM(D66:D67)</f>
        <v>67850.760358153027</v>
      </c>
      <c r="E68" s="33">
        <f>SUM(E66:E67)</f>
        <v>57742.197063516331</v>
      </c>
      <c r="F68" s="33">
        <f>SUM(F66:F67)</f>
        <v>118235.17612385441</v>
      </c>
      <c r="G68" s="33">
        <f>SUM(G66:G67)</f>
        <v>23008.96212</v>
      </c>
      <c r="H68" s="33">
        <f>SUM(H66:H67)</f>
        <v>266837.09566552372</v>
      </c>
      <c r="I68" s="66" t="e">
        <f>I62+I67</f>
        <v>#REF!</v>
      </c>
      <c r="J68" s="66" t="e">
        <f>J62+J67</f>
        <v>#REF!</v>
      </c>
      <c r="L68" s="67"/>
    </row>
    <row r="69" spans="1:12" ht="45" customHeight="1" x14ac:dyDescent="0.2">
      <c r="A69" s="38">
        <v>36</v>
      </c>
      <c r="B69" s="39" t="s">
        <v>106</v>
      </c>
      <c r="C69" s="45" t="s">
        <v>107</v>
      </c>
      <c r="D69" s="43">
        <f>D68*1.10771</f>
        <v>75158.965756329693</v>
      </c>
      <c r="E69" s="43">
        <f>E68*1.10771</f>
        <v>63961.609109227677</v>
      </c>
      <c r="F69" s="43">
        <f>F68*1.10771</f>
        <v>130970.28694415477</v>
      </c>
      <c r="G69" s="43">
        <f>G68*1.10771</f>
        <v>25487.257429945199</v>
      </c>
      <c r="H69" s="43">
        <f>SUM(D69:G69)</f>
        <v>295578.11923965736</v>
      </c>
      <c r="I69" s="68"/>
      <c r="J69" s="68"/>
      <c r="L69" s="9"/>
    </row>
    <row r="71" spans="1:12" ht="6" customHeight="1" x14ac:dyDescent="0.2"/>
    <row r="72" spans="1:12" ht="16.5" customHeight="1" x14ac:dyDescent="0.2">
      <c r="B72" s="69" t="s">
        <v>108</v>
      </c>
      <c r="C72" s="70"/>
      <c r="D72" s="70" t="s">
        <v>109</v>
      </c>
      <c r="E72" s="5"/>
      <c r="H72" s="71"/>
    </row>
    <row r="73" spans="1:12" ht="9.75" customHeight="1" x14ac:dyDescent="0.2">
      <c r="B73" s="74"/>
      <c r="C73" s="75"/>
      <c r="D73" s="76" t="s">
        <v>110</v>
      </c>
      <c r="E73" s="77"/>
      <c r="F73" s="77"/>
      <c r="G73" s="77"/>
      <c r="H73" s="77"/>
      <c r="I73" s="77"/>
    </row>
    <row r="74" spans="1:12" ht="9" customHeight="1" x14ac:dyDescent="0.2">
      <c r="B74" s="75"/>
      <c r="C74" s="75"/>
      <c r="D74" s="77"/>
      <c r="E74" s="77"/>
      <c r="F74" s="77"/>
      <c r="G74" s="77"/>
      <c r="H74" s="77"/>
      <c r="I74" s="77"/>
    </row>
    <row r="75" spans="1:12" ht="18" customHeight="1" x14ac:dyDescent="0.2">
      <c r="B75" s="74" t="s">
        <v>111</v>
      </c>
      <c r="C75" s="74"/>
      <c r="D75" s="78" t="s">
        <v>112</v>
      </c>
      <c r="E75" s="78"/>
      <c r="F75" s="78"/>
      <c r="G75" s="78"/>
      <c r="H75" s="78"/>
    </row>
  </sheetData>
  <mergeCells count="27">
    <mergeCell ref="B3:C3"/>
    <mergeCell ref="D3:H3"/>
    <mergeCell ref="B4:C4"/>
    <mergeCell ref="D4:H4"/>
    <mergeCell ref="B5:C5"/>
    <mergeCell ref="D5:H5"/>
    <mergeCell ref="B16:C16"/>
    <mergeCell ref="A7:B7"/>
    <mergeCell ref="C7:G7"/>
    <mergeCell ref="B8:H8"/>
    <mergeCell ref="C9:G9"/>
    <mergeCell ref="A10:H10"/>
    <mergeCell ref="A11:A14"/>
    <mergeCell ref="B11:B14"/>
    <mergeCell ref="C11:C14"/>
    <mergeCell ref="D11:G11"/>
    <mergeCell ref="H11:H14"/>
    <mergeCell ref="J11:J14"/>
    <mergeCell ref="D12:D14"/>
    <mergeCell ref="E12:E14"/>
    <mergeCell ref="F12:F14"/>
    <mergeCell ref="G12:G14"/>
    <mergeCell ref="B28:C28"/>
    <mergeCell ref="B73:C74"/>
    <mergeCell ref="D73:I74"/>
    <mergeCell ref="B75:C75"/>
    <mergeCell ref="D75:H7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 с дефлятором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Пользователь</cp:lastModifiedBy>
  <dcterms:created xsi:type="dcterms:W3CDTF">2020-05-06T15:43:32Z</dcterms:created>
  <dcterms:modified xsi:type="dcterms:W3CDTF">2021-03-30T21:37:28Z</dcterms:modified>
</cp:coreProperties>
</file>