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minimized="1" xWindow="480" yWindow="150" windowWidth="19290" windowHeight="9210" tabRatio="830" activeTab="4"/>
  </bookViews>
  <sheets>
    <sheet name="ССР общий на 2 квартал 2018" sheetId="2" r:id="rId1"/>
    <sheet name="сводка затрат ТП-1006" sheetId="4" r:id="rId2"/>
    <sheet name="сводка затрат ТП-1015" sheetId="5" r:id="rId3"/>
    <sheet name="сводка затрат ТП-810" sheetId="6" r:id="rId4"/>
    <sheet name="сводка общая" sheetId="3" r:id="rId5"/>
  </sheets>
  <calcPr calcId="144525"/>
</workbook>
</file>

<file path=xl/calcChain.xml><?xml version="1.0" encoding="utf-8"?>
<calcChain xmlns="http://schemas.openxmlformats.org/spreadsheetml/2006/main">
  <c r="J23" i="3" l="1"/>
  <c r="I23" i="3"/>
  <c r="D20" i="5" l="1"/>
  <c r="D20" i="4"/>
  <c r="E20" i="5"/>
  <c r="F20" i="5"/>
  <c r="G20" i="5"/>
  <c r="H20" i="5"/>
  <c r="H20" i="6" l="1"/>
  <c r="G20" i="6"/>
  <c r="F20" i="6"/>
  <c r="E20" i="6"/>
  <c r="D20" i="6"/>
  <c r="E8" i="6"/>
  <c r="D12" i="6"/>
  <c r="D21" i="6" s="1"/>
  <c r="H10" i="6"/>
  <c r="H12" i="6" s="1"/>
  <c r="D10" i="6"/>
  <c r="D12" i="5"/>
  <c r="H10" i="5"/>
  <c r="H12" i="5" s="1"/>
  <c r="D10" i="5"/>
  <c r="H20" i="4"/>
  <c r="G20" i="4"/>
  <c r="F20" i="4"/>
  <c r="E20" i="4"/>
  <c r="H10" i="4"/>
  <c r="H12" i="4" s="1"/>
  <c r="H21" i="4" s="1"/>
  <c r="D10" i="4"/>
  <c r="D12" i="4" s="1"/>
  <c r="H10" i="3"/>
  <c r="H12" i="3" s="1"/>
  <c r="D10" i="3"/>
  <c r="F26" i="2"/>
  <c r="E26" i="2"/>
  <c r="D26" i="2"/>
  <c r="G20" i="2"/>
  <c r="G21" i="2" s="1"/>
  <c r="D20" i="2"/>
  <c r="D21" i="2" s="1"/>
  <c r="F19" i="2"/>
  <c r="H19" i="2" s="1"/>
  <c r="F18" i="2"/>
  <c r="F8" i="5" s="1"/>
  <c r="F10" i="5" s="1"/>
  <c r="F12" i="5" s="1"/>
  <c r="E18" i="2"/>
  <c r="E8" i="5" s="1"/>
  <c r="F17" i="2"/>
  <c r="F8" i="4" s="1"/>
  <c r="F10" i="4" s="1"/>
  <c r="F12" i="4" s="1"/>
  <c r="E17" i="2"/>
  <c r="E8" i="4" s="1"/>
  <c r="E10" i="4" s="1"/>
  <c r="E12" i="4" s="1"/>
  <c r="E21" i="4" s="1"/>
  <c r="H22" i="6" l="1"/>
  <c r="H21" i="6"/>
  <c r="F8" i="6"/>
  <c r="F10" i="6" s="1"/>
  <c r="F12" i="6" s="1"/>
  <c r="F21" i="6" s="1"/>
  <c r="F22" i="6" s="1"/>
  <c r="F21" i="4"/>
  <c r="F22" i="4" s="1"/>
  <c r="E22" i="4"/>
  <c r="H21" i="5"/>
  <c r="H22" i="5" s="1"/>
  <c r="F21" i="5"/>
  <c r="F22" i="5" s="1"/>
  <c r="E10" i="6"/>
  <c r="E12" i="6" s="1"/>
  <c r="E10" i="5"/>
  <c r="E12" i="5" s="1"/>
  <c r="E21" i="5" s="1"/>
  <c r="E22" i="5" s="1"/>
  <c r="D21" i="5"/>
  <c r="H22" i="4"/>
  <c r="E20" i="2"/>
  <c r="E21" i="2" s="1"/>
  <c r="H18" i="2"/>
  <c r="G24" i="2" s="1"/>
  <c r="H17" i="2"/>
  <c r="D12" i="3"/>
  <c r="E27" i="2"/>
  <c r="G25" i="2"/>
  <c r="G8" i="6" s="1"/>
  <c r="G10" i="6" s="1"/>
  <c r="G12" i="6" s="1"/>
  <c r="G21" i="6" s="1"/>
  <c r="G22" i="6" s="1"/>
  <c r="F20" i="2"/>
  <c r="D27" i="2"/>
  <c r="I8" i="6" l="1"/>
  <c r="J8" i="6" s="1"/>
  <c r="H24" i="2"/>
  <c r="G8" i="5"/>
  <c r="H20" i="2"/>
  <c r="H21" i="2" s="1"/>
  <c r="E21" i="6"/>
  <c r="E22" i="6" s="1"/>
  <c r="I12" i="6"/>
  <c r="J12" i="6" s="1"/>
  <c r="I10" i="6"/>
  <c r="J10" i="6" s="1"/>
  <c r="D22" i="6"/>
  <c r="D22" i="5"/>
  <c r="G23" i="2"/>
  <c r="G8" i="4" s="1"/>
  <c r="F27" i="2"/>
  <c r="F21" i="2"/>
  <c r="D28" i="2"/>
  <c r="D29" i="2" s="1"/>
  <c r="H25" i="2"/>
  <c r="E28" i="2"/>
  <c r="E29" i="2" s="1"/>
  <c r="E8" i="3" s="1"/>
  <c r="G26" i="2" l="1"/>
  <c r="G27" i="2" s="1"/>
  <c r="H23" i="2"/>
  <c r="H26" i="2" s="1"/>
  <c r="H27" i="2" s="1"/>
  <c r="E10" i="3"/>
  <c r="I22" i="6"/>
  <c r="J22" i="6" s="1"/>
  <c r="G10" i="5"/>
  <c r="I8" i="5"/>
  <c r="J8" i="5" s="1"/>
  <c r="G10" i="4"/>
  <c r="I8" i="4"/>
  <c r="J8" i="4" s="1"/>
  <c r="I21" i="6"/>
  <c r="J21" i="6" s="1"/>
  <c r="F28" i="2"/>
  <c r="F29" i="2" s="1"/>
  <c r="F8" i="3" s="1"/>
  <c r="F10" i="3" s="1"/>
  <c r="F12" i="3" s="1"/>
  <c r="G28" i="2"/>
  <c r="G29" i="2" s="1"/>
  <c r="G8" i="3" s="1"/>
  <c r="G10" i="3" s="1"/>
  <c r="G12" i="3" s="1"/>
  <c r="G12" i="5" l="1"/>
  <c r="I10" i="5"/>
  <c r="J10" i="5" s="1"/>
  <c r="I8" i="3"/>
  <c r="J8" i="3" s="1"/>
  <c r="E12" i="3"/>
  <c r="I12" i="3" s="1"/>
  <c r="J12" i="3" s="1"/>
  <c r="I10" i="3"/>
  <c r="J10" i="3" s="1"/>
  <c r="G12" i="4"/>
  <c r="I10" i="4"/>
  <c r="J10" i="4" s="1"/>
  <c r="H28" i="2"/>
  <c r="G21" i="4" l="1"/>
  <c r="I12" i="4"/>
  <c r="J12" i="4" s="1"/>
  <c r="G21" i="5"/>
  <c r="I12" i="5"/>
  <c r="J12" i="5" s="1"/>
  <c r="H29" i="2"/>
  <c r="G22" i="5" l="1"/>
  <c r="I22" i="5" s="1"/>
  <c r="J22" i="5" s="1"/>
  <c r="I21" i="5"/>
  <c r="J21" i="5" s="1"/>
  <c r="G22" i="4"/>
  <c r="D22" i="4" l="1"/>
  <c r="I22" i="4"/>
  <c r="J22" i="4"/>
  <c r="D21" i="4"/>
  <c r="I21" i="4"/>
  <c r="J21" i="4"/>
</calcChain>
</file>

<file path=xl/sharedStrings.xml><?xml version="1.0" encoding="utf-8"?>
<sst xmlns="http://schemas.openxmlformats.org/spreadsheetml/2006/main" count="183" uniqueCount="83">
  <si>
    <t>"Утверждаю"</t>
  </si>
  <si>
    <t xml:space="preserve">
Генеральный директор АО "Западная энергетическая компания"</t>
  </si>
  <si>
    <t xml:space="preserve">СВОДНЫЙ СМЕТНЫЙ РАСЧЕТ СТОИМОСТИ СТРОИТЕЛЬСТВА 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</si>
  <si>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</si>
  <si>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</si>
  <si>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</si>
  <si>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</si>
  <si>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</si>
  <si>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</si>
  <si>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строительных работ</t>
  </si>
  <si>
    <t>монтажных работ</t>
  </si>
  <si>
    <t>оборудования</t>
  </si>
  <si>
    <t xml:space="preserve">прочих </t>
  </si>
  <si>
    <t>Глава 9. Прочие работы и затраты</t>
  </si>
  <si>
    <t>02-01</t>
  </si>
  <si>
    <t>02-02</t>
  </si>
  <si>
    <t>02-03</t>
  </si>
  <si>
    <t>Итого по главе 9</t>
  </si>
  <si>
    <t>ИТОГО по главам 1-9</t>
  </si>
  <si>
    <t>МДС 81-35.2004 п.4.96</t>
  </si>
  <si>
    <t>Непредвиденные затраты - 2,0%</t>
  </si>
  <si>
    <t>Итого с непредвиденными затратами</t>
  </si>
  <si>
    <t xml:space="preserve">Составил: </t>
  </si>
  <si>
    <t xml:space="preserve">Проверил: </t>
  </si>
  <si>
    <t xml:space="preserve">
Сметчик _________________________________ Петрова В.В. </t>
  </si>
  <si>
    <t>ТП-1015</t>
  </si>
  <si>
    <t>ТП-810</t>
  </si>
  <si>
    <t xml:space="preserve">ТП-1006. Пусконаладочные работы </t>
  </si>
  <si>
    <t xml:space="preserve">ТП-1015. Пусконаладочные работы </t>
  </si>
  <si>
    <t xml:space="preserve">ТП-810. Пусконаладочные работы </t>
  </si>
  <si>
    <t>09-01-02</t>
  </si>
  <si>
    <t>09-01-01</t>
  </si>
  <si>
    <t>09-01-03</t>
  </si>
  <si>
    <t>Начальник отдела капитального строительства___________ Берковский В.В.</t>
  </si>
  <si>
    <t>Глава 2. Основные объекты строительства</t>
  </si>
  <si>
    <t xml:space="preserve">ТП-1006 </t>
  </si>
  <si>
    <t>Итого по главе 2:</t>
  </si>
  <si>
    <t>ИТОГО по главам 1-2</t>
  </si>
  <si>
    <t>___________________________________ /                          /</t>
  </si>
  <si>
    <t>Установка систем коммерческого учета электроэнергии по сетям 0,4-0,2кВ от 
 ТП-1006, ТП-1015, ТП-810</t>
  </si>
  <si>
    <t>ПИР</t>
  </si>
  <si>
    <t>СМР</t>
  </si>
  <si>
    <t>Оборуд.</t>
  </si>
  <si>
    <t>ПНР</t>
  </si>
  <si>
    <t xml:space="preserve">Прочие </t>
  </si>
  <si>
    <t>№ п/п</t>
  </si>
  <si>
    <t>Показатель</t>
  </si>
  <si>
    <t>Формула подсчёта</t>
  </si>
  <si>
    <t>Значение ( млн. руб. без НДС)</t>
  </si>
  <si>
    <t>Итого с НДС, млн.руб.</t>
  </si>
  <si>
    <t>Год начала  реализации инвестиционного проекта</t>
  </si>
  <si>
    <t>Год окончания реализации инвестиционного проекта</t>
  </si>
  <si>
    <t>Итого без НДС, млн.руб.</t>
  </si>
  <si>
    <t>Сметная стоимость в ценах 2 кв. 2018</t>
  </si>
  <si>
    <t>Коэффициенты перевода в текущие цены в базу 2001г по письму Минрегиона№ 24818-ХМ/09, от 19.07.2018 г. № 31500-ХМ/09</t>
  </si>
  <si>
    <t>Сметная стоимость в базовых ценах 2001г</t>
  </si>
  <si>
    <t>З2001</t>
  </si>
  <si>
    <t>Коэффициенты перевода в текущие цены на декабрь 2017г  по письму Минрегиона</t>
  </si>
  <si>
    <t xml:space="preserve"> Ктек2017</t>
  </si>
  <si>
    <t>Сметная стоимость в ценах декабря 2017г</t>
  </si>
  <si>
    <t>З2017= З2001* Ктек2017</t>
  </si>
  <si>
    <r>
      <t xml:space="preserve">Индексы-дефляторы по капитальным вложениям по уточненному прогнозу </t>
    </r>
    <r>
      <rPr>
        <b/>
        <u/>
        <sz val="10"/>
        <color rgb="FF000000"/>
        <rFont val="Arial"/>
        <family val="2"/>
        <charset val="204"/>
      </rPr>
      <t>Минэкономразвития от 28.11.2018</t>
    </r>
  </si>
  <si>
    <t>Кдеф2018/2017</t>
  </si>
  <si>
    <t>Кдеф2019/2018</t>
  </si>
  <si>
    <t>Кдеф2020/2019</t>
  </si>
  <si>
    <t>Кдеф2021/2020</t>
  </si>
  <si>
    <t>Кдеф2022/2021</t>
  </si>
  <si>
    <t>Кдеф2023/2022</t>
  </si>
  <si>
    <r>
      <t>Кдеф2024/2023</t>
    </r>
    <r>
      <rPr>
        <sz val="11"/>
        <color theme="1"/>
        <rFont val="Calibri"/>
        <family val="2"/>
        <scheme val="minor"/>
      </rPr>
      <t/>
    </r>
  </si>
  <si>
    <r>
      <t xml:space="preserve">Коэффициент перевода в текущие цены </t>
    </r>
    <r>
      <rPr>
        <b/>
        <sz val="10"/>
        <color rgb="FF000000"/>
        <rFont val="Arial"/>
        <family val="2"/>
        <charset val="204"/>
      </rPr>
      <t>на период выполнения работ</t>
    </r>
  </si>
  <si>
    <t>Кдеф=Кдеф2018/2017*Кдеф2019/2018*Кдеф2020/2019*Кдеф2021/2020</t>
  </si>
  <si>
    <t>Сметная стоимость в ценах года ввода объекта</t>
  </si>
  <si>
    <t>З2021= З2017* Кдеф.</t>
  </si>
  <si>
    <t>Оценка полной стоимости инвестиционного проекта в прогнозных ценах соответствующих лет, млн. руб.</t>
  </si>
  <si>
    <t>J 19-18</t>
  </si>
  <si>
    <t>Установка систем коммерческого учета электроэнергии по сетям 0,4-0,2кВ от ТП-1006</t>
  </si>
  <si>
    <t>Составлен в ценах 2 квартала 2018 года</t>
  </si>
  <si>
    <t>Установка систем коммерческого учета электроэнергии по сетям 0,4-0,2кВ от ТП-1015</t>
  </si>
  <si>
    <t>Установка систем коммерческого учета электроэнергии по сетям 0,4-0,2кВ от ТП-810</t>
  </si>
  <si>
    <t>Установка систем коммерческого учета электроэнергии по сетям 0,4-0,2кВ от  ТП-1006, ТП-1015, ТП-810</t>
  </si>
  <si>
    <t>Оценка полной стоимости инвестиционного проекта в прогнозных ценах соответствующих лет, млн. руб.: ТП-1006 на 2020 год</t>
  </si>
  <si>
    <t>Оценка полной стоимости инвестиционного проекта в прогнозных ценах соответствующих лет, млн. руб.: ТП-1015 на 2021 год</t>
  </si>
  <si>
    <t>Оценка полной стоимости инвестиционного проекта в прогнозных ценах соответствующих лет, млн. руб.: ТП-810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</si>
</sst>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0"/>
    <numFmt numFmtId="165" formatCode="#,##0.000;[Red]#,##0.000"/>
    <numFmt numFmtId="166" formatCode="#,##0.00_р_."/>
    <numFmt numFmtId="167" formatCode="#,##0.00000"/>
    <numFmt numFmtId="168" formatCode="_-* #,##0.00_р_._-;\-* #,##0.00_р_._-;_-* &quot;-&quot;??_р_._-;_-@_-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u/>
      <sz val="10"/>
      <color rgb="FF000000"/>
      <name val="Arial"/>
      <family val="2"/>
      <charset val="204"/>
    </font>
    <font>
      <sz val="10"/>
      <name val="Helv"/>
      <charset val="204"/>
    </font>
    <font>
      <sz val="10"/>
      <color indexed="8"/>
      <name val="MS Sans Serif"/>
      <family val="2"/>
      <charset val="204"/>
    </font>
    <font>
      <sz val="10"/>
      <name val="Arial Cyr"/>
      <charset val="204"/>
    </font>
    <font>
      <sz val="8"/>
      <name val="Pragmatica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4DFEC"/>
        <bgColor rgb="FF000000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0" fontId="10" fillId="0" borderId="0"/>
    <xf numFmtId="0" fontId="2" fillId="0" borderId="0"/>
    <xf numFmtId="0" fontId="11" fillId="0" borderId="0"/>
    <xf numFmtId="0" fontId="12" fillId="0" borderId="0"/>
    <xf numFmtId="1" fontId="13" fillId="0" borderId="10">
      <alignment horizontal="center"/>
    </xf>
    <xf numFmtId="0" fontId="10" fillId="0" borderId="0"/>
  </cellStyleXfs>
  <cellXfs count="114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3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49" fontId="2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164" fontId="6" fillId="0" borderId="2" xfId="0" applyNumberFormat="1" applyFont="1" applyFill="1" applyBorder="1" applyAlignment="1">
      <alignment vertical="center" wrapText="1"/>
    </xf>
    <xf numFmtId="165" fontId="6" fillId="0" borderId="2" xfId="0" applyNumberFormat="1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Fill="1"/>
    <xf numFmtId="164" fontId="4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6" fontId="4" fillId="2" borderId="2" xfId="0" applyNumberFormat="1" applyFont="1" applyFill="1" applyBorder="1" applyAlignment="1">
      <alignment horizontal="left" vertical="center" wrapText="1"/>
    </xf>
    <xf numFmtId="164" fontId="2" fillId="2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 wrapText="1"/>
    </xf>
    <xf numFmtId="166" fontId="4" fillId="3" borderId="2" xfId="0" applyNumberFormat="1" applyFont="1" applyFill="1" applyBorder="1" applyAlignment="1">
      <alignment horizontal="left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164" fontId="4" fillId="0" borderId="2" xfId="0" applyNumberFormat="1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Alignment="1">
      <alignment horizontal="right" vertical="top"/>
    </xf>
    <xf numFmtId="0" fontId="2" fillId="3" borderId="0" xfId="0" applyFont="1" applyFill="1" applyBorder="1" applyAlignment="1">
      <alignment horizontal="center" vertical="center"/>
    </xf>
    <xf numFmtId="49" fontId="2" fillId="3" borderId="0" xfId="0" applyNumberFormat="1" applyFont="1" applyFill="1" applyBorder="1" applyAlignment="1">
      <alignment horizontal="center" vertical="center" wrapText="1"/>
    </xf>
    <xf numFmtId="166" fontId="4" fillId="3" borderId="0" xfId="0" applyNumberFormat="1" applyFont="1" applyFill="1" applyBorder="1" applyAlignment="1">
      <alignment horizontal="left" vertical="center" wrapText="1"/>
    </xf>
    <xf numFmtId="164" fontId="4" fillId="3" borderId="0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top"/>
    </xf>
    <xf numFmtId="0" fontId="6" fillId="0" borderId="0" xfId="1" applyFont="1"/>
    <xf numFmtId="0" fontId="3" fillId="0" borderId="0" xfId="1" applyFont="1"/>
    <xf numFmtId="0" fontId="7" fillId="0" borderId="8" xfId="1" applyFont="1" applyFill="1" applyBorder="1" applyAlignment="1">
      <alignment horizontal="center" vertical="center" wrapText="1"/>
    </xf>
    <xf numFmtId="0" fontId="3" fillId="0" borderId="0" xfId="1" applyFont="1" applyFill="1" applyBorder="1"/>
    <xf numFmtId="0" fontId="8" fillId="0" borderId="2" xfId="1" applyFont="1" applyFill="1" applyBorder="1" applyAlignment="1">
      <alignment horizontal="center" vertical="center" wrapText="1"/>
    </xf>
    <xf numFmtId="4" fontId="3" fillId="0" borderId="5" xfId="1" applyNumberFormat="1" applyFont="1" applyFill="1" applyBorder="1" applyAlignment="1">
      <alignment horizontal="center" vertical="center" wrapText="1"/>
    </xf>
    <xf numFmtId="4" fontId="8" fillId="0" borderId="5" xfId="1" applyNumberFormat="1" applyFont="1" applyFill="1" applyBorder="1" applyAlignment="1">
      <alignment horizontal="center" vertical="center" wrapText="1"/>
    </xf>
    <xf numFmtId="167" fontId="7" fillId="0" borderId="2" xfId="2" applyNumberFormat="1" applyFont="1" applyFill="1" applyBorder="1" applyAlignment="1">
      <alignment horizontal="center" vertical="center"/>
    </xf>
    <xf numFmtId="4" fontId="7" fillId="0" borderId="2" xfId="1" applyNumberFormat="1" applyFont="1" applyFill="1" applyBorder="1" applyAlignment="1">
      <alignment horizontal="center" vertical="center"/>
    </xf>
    <xf numFmtId="4" fontId="6" fillId="0" borderId="0" xfId="1" applyNumberFormat="1" applyFont="1" applyAlignment="1">
      <alignment horizontal="right" vertical="center" wrapText="1"/>
    </xf>
    <xf numFmtId="0" fontId="8" fillId="0" borderId="5" xfId="1" applyFont="1" applyFill="1" applyBorder="1" applyAlignment="1">
      <alignment horizontal="center" vertical="center" wrapText="1"/>
    </xf>
    <xf numFmtId="4" fontId="7" fillId="4" borderId="2" xfId="1" applyNumberFormat="1" applyFont="1" applyFill="1" applyBorder="1" applyAlignment="1">
      <alignment horizontal="center" vertical="center"/>
    </xf>
    <xf numFmtId="4" fontId="8" fillId="4" borderId="2" xfId="1" applyNumberFormat="1" applyFont="1" applyFill="1" applyBorder="1" applyAlignment="1">
      <alignment horizontal="center" vertical="center"/>
    </xf>
    <xf numFmtId="4" fontId="8" fillId="4" borderId="5" xfId="1" applyNumberFormat="1" applyFont="1" applyFill="1" applyBorder="1" applyAlignment="1">
      <alignment horizontal="center" vertical="center" wrapText="1"/>
    </xf>
    <xf numFmtId="4" fontId="7" fillId="0" borderId="2" xfId="2" applyNumberFormat="1" applyFont="1" applyFill="1" applyBorder="1" applyAlignment="1">
      <alignment horizontal="center" vertical="center"/>
    </xf>
    <xf numFmtId="4" fontId="8" fillId="0" borderId="2" xfId="1" applyNumberFormat="1" applyFont="1" applyFill="1" applyBorder="1" applyAlignment="1">
      <alignment horizontal="center" vertical="center" wrapText="1"/>
    </xf>
    <xf numFmtId="0" fontId="8" fillId="0" borderId="7" xfId="3" applyFont="1" applyFill="1" applyBorder="1" applyAlignment="1">
      <alignment horizontal="center" vertical="center" wrapText="1"/>
    </xf>
    <xf numFmtId="164" fontId="8" fillId="0" borderId="2" xfId="3" applyNumberFormat="1" applyFont="1" applyFill="1" applyBorder="1" applyAlignment="1">
      <alignment horizontal="center" vertical="center" wrapText="1"/>
    </xf>
    <xf numFmtId="164" fontId="8" fillId="0" borderId="2" xfId="1" applyNumberFormat="1" applyFont="1" applyFill="1" applyBorder="1" applyAlignment="1">
      <alignment horizontal="center" vertical="center" wrapText="1"/>
    </xf>
    <xf numFmtId="4" fontId="8" fillId="4" borderId="2" xfId="1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3" fontId="8" fillId="0" borderId="0" xfId="1" applyNumberFormat="1" applyFont="1" applyFill="1" applyBorder="1" applyAlignment="1">
      <alignment horizontal="center" vertical="center" wrapText="1"/>
    </xf>
    <xf numFmtId="168" fontId="3" fillId="0" borderId="0" xfId="4" applyFont="1" applyFill="1" applyBorder="1"/>
    <xf numFmtId="0" fontId="3" fillId="0" borderId="0" xfId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center" vertical="center" wrapText="1"/>
    </xf>
    <xf numFmtId="4" fontId="7" fillId="0" borderId="2" xfId="1" applyNumberFormat="1" applyFont="1" applyFill="1" applyBorder="1" applyAlignment="1">
      <alignment horizontal="center" vertical="center" wrapText="1"/>
    </xf>
    <xf numFmtId="4" fontId="7" fillId="0" borderId="5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/>
    </xf>
    <xf numFmtId="49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left"/>
    </xf>
    <xf numFmtId="0" fontId="3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1" applyFont="1" applyAlignment="1">
      <alignment horizontal="left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4" fontId="7" fillId="0" borderId="6" xfId="1" applyNumberFormat="1" applyFont="1" applyFill="1" applyBorder="1" applyAlignment="1">
      <alignment horizontal="center" vertical="center" wrapText="1"/>
    </xf>
    <xf numFmtId="4" fontId="7" fillId="0" borderId="9" xfId="1" applyNumberFormat="1" applyFont="1" applyFill="1" applyBorder="1" applyAlignment="1">
      <alignment horizontal="center" vertical="center" wrapText="1"/>
    </xf>
    <xf numFmtId="4" fontId="7" fillId="0" borderId="7" xfId="1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4" fontId="7" fillId="0" borderId="3" xfId="1" applyNumberFormat="1" applyFont="1" applyFill="1" applyBorder="1" applyAlignment="1">
      <alignment horizontal="center" vertical="center" wrapText="1"/>
    </xf>
    <xf numFmtId="4" fontId="7" fillId="0" borderId="5" xfId="1" applyNumberFormat="1" applyFont="1" applyFill="1" applyBorder="1" applyAlignment="1">
      <alignment horizontal="center" vertical="center" wrapText="1"/>
    </xf>
    <xf numFmtId="4" fontId="7" fillId="0" borderId="3" xfId="1" applyNumberFormat="1" applyFont="1" applyFill="1" applyBorder="1" applyAlignment="1">
      <alignment horizontal="center" vertical="center"/>
    </xf>
    <xf numFmtId="4" fontId="7" fillId="0" borderId="5" xfId="1" applyNumberFormat="1" applyFont="1" applyFill="1" applyBorder="1" applyAlignment="1">
      <alignment horizontal="center" vertical="center"/>
    </xf>
    <xf numFmtId="4" fontId="3" fillId="0" borderId="0" xfId="1" applyNumberFormat="1" applyFont="1"/>
  </cellXfs>
  <cellStyles count="11">
    <cellStyle name="_Приложения к договору 1618 -6РКЦ-17 03 06" xfId="5"/>
    <cellStyle name="Normal_Пиздец окончательный" xfId="6"/>
    <cellStyle name="Normale_Foglio1" xfId="7"/>
    <cellStyle name="Обычный" xfId="0" builtinId="0"/>
    <cellStyle name="Обычный 2" xfId="1"/>
    <cellStyle name="Обычный 3" xfId="8"/>
    <cellStyle name="Обычный 5" xfId="3"/>
    <cellStyle name="Поз_цен" xfId="9"/>
    <cellStyle name="Стиль 1" xfId="10"/>
    <cellStyle name="Финансовый 2" xfId="2"/>
    <cellStyle name="Финансовый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7"/>
  <sheetViews>
    <sheetView topLeftCell="A4" zoomScaleNormal="100" workbookViewId="0">
      <selection activeCell="C23" sqref="C23"/>
    </sheetView>
  </sheetViews>
  <sheetFormatPr defaultColWidth="9.140625" defaultRowHeight="12.75"/>
  <cols>
    <col min="1" max="1" width="5.42578125" style="49" customWidth="1"/>
    <col min="2" max="2" width="15.42578125" style="1" customWidth="1"/>
    <col min="3" max="3" width="56.85546875" style="2" customWidth="1"/>
    <col min="4" max="4" width="13.42578125" style="3" customWidth="1"/>
    <col min="5" max="5" width="13" style="3" customWidth="1"/>
    <col min="6" max="6" width="12.5703125" style="3" customWidth="1"/>
    <col min="7" max="7" width="11" style="3" customWidth="1"/>
    <col min="8" max="8" width="17.140625" style="3" customWidth="1"/>
    <col min="9" max="16384" width="9.140625" style="4"/>
  </cols>
  <sheetData>
    <row r="1" spans="1:8" ht="24" customHeight="1"/>
    <row r="2" spans="1:8">
      <c r="C2" s="5"/>
      <c r="D2" s="5"/>
      <c r="E2" s="5"/>
      <c r="F2" s="5"/>
      <c r="G2" s="5"/>
      <c r="H2" s="5"/>
    </row>
    <row r="3" spans="1:8" ht="15" customHeight="1">
      <c r="B3" s="77"/>
      <c r="C3" s="78"/>
      <c r="D3" s="79" t="s">
        <v>0</v>
      </c>
      <c r="E3" s="79"/>
      <c r="F3" s="79"/>
      <c r="G3" s="79"/>
      <c r="H3" s="79"/>
    </row>
    <row r="4" spans="1:8" ht="16.5" customHeight="1">
      <c r="B4" s="80"/>
      <c r="C4" s="81"/>
      <c r="D4" s="80" t="s">
        <v>1</v>
      </c>
      <c r="E4" s="80"/>
      <c r="F4" s="80"/>
      <c r="G4" s="80"/>
      <c r="H4" s="80"/>
    </row>
    <row r="5" spans="1:8" ht="20.25" customHeight="1">
      <c r="B5" s="80"/>
      <c r="C5" s="81"/>
      <c r="D5" s="82" t="s">
        <v>38</v>
      </c>
      <c r="E5" s="82"/>
      <c r="F5" s="82"/>
      <c r="G5" s="82"/>
      <c r="H5" s="82"/>
    </row>
    <row r="6" spans="1:8" ht="21" customHeight="1"/>
    <row r="7" spans="1:8" ht="18.75" customHeight="1">
      <c r="A7" s="86"/>
      <c r="B7" s="86"/>
      <c r="C7" s="87" t="s">
        <v>2</v>
      </c>
      <c r="D7" s="87"/>
      <c r="E7" s="87"/>
      <c r="F7" s="87"/>
      <c r="G7" s="87"/>
      <c r="H7" s="6"/>
    </row>
    <row r="8" spans="1:8" ht="31.5" customHeight="1">
      <c r="B8" s="88" t="s">
        <v>39</v>
      </c>
      <c r="C8" s="89"/>
      <c r="D8" s="89"/>
      <c r="E8" s="89"/>
      <c r="F8" s="89"/>
      <c r="G8" s="89"/>
      <c r="H8" s="89"/>
    </row>
    <row r="9" spans="1:8">
      <c r="B9" s="49"/>
      <c r="C9" s="90" t="s">
        <v>3</v>
      </c>
      <c r="D9" s="90"/>
      <c r="E9" s="90"/>
      <c r="F9" s="90"/>
      <c r="G9" s="90"/>
      <c r="H9" s="6"/>
    </row>
    <row r="10" spans="1:8" ht="18" customHeight="1">
      <c r="B10" s="91" t="s">
        <v>76</v>
      </c>
      <c r="C10" s="91"/>
      <c r="D10" s="7"/>
      <c r="E10" s="6"/>
      <c r="F10" s="6"/>
      <c r="G10" s="6"/>
      <c r="H10" s="6"/>
    </row>
    <row r="11" spans="1:8" ht="15" customHeight="1">
      <c r="A11" s="83" t="s">
        <v>4</v>
      </c>
      <c r="B11" s="84" t="s">
        <v>5</v>
      </c>
      <c r="C11" s="83" t="s">
        <v>6</v>
      </c>
      <c r="D11" s="85" t="s">
        <v>7</v>
      </c>
      <c r="E11" s="85"/>
      <c r="F11" s="85"/>
      <c r="G11" s="85"/>
      <c r="H11" s="83" t="s">
        <v>8</v>
      </c>
    </row>
    <row r="12" spans="1:8">
      <c r="A12" s="83"/>
      <c r="B12" s="84"/>
      <c r="C12" s="83"/>
      <c r="D12" s="83" t="s">
        <v>9</v>
      </c>
      <c r="E12" s="83" t="s">
        <v>10</v>
      </c>
      <c r="F12" s="83" t="s">
        <v>11</v>
      </c>
      <c r="G12" s="83" t="s">
        <v>12</v>
      </c>
      <c r="H12" s="83"/>
    </row>
    <row r="13" spans="1:8" ht="12" customHeight="1">
      <c r="A13" s="83"/>
      <c r="B13" s="84"/>
      <c r="C13" s="83"/>
      <c r="D13" s="83"/>
      <c r="E13" s="83"/>
      <c r="F13" s="83"/>
      <c r="G13" s="83"/>
      <c r="H13" s="83"/>
    </row>
    <row r="14" spans="1:8" ht="22.5" customHeight="1">
      <c r="A14" s="83"/>
      <c r="B14" s="84"/>
      <c r="C14" s="83"/>
      <c r="D14" s="83"/>
      <c r="E14" s="83"/>
      <c r="F14" s="83"/>
      <c r="G14" s="83"/>
      <c r="H14" s="83"/>
    </row>
    <row r="15" spans="1:8" ht="15.75" customHeight="1">
      <c r="A15" s="46">
        <v>1</v>
      </c>
      <c r="B15" s="8">
        <v>2</v>
      </c>
      <c r="C15" s="46">
        <v>3</v>
      </c>
      <c r="D15" s="46">
        <v>4</v>
      </c>
      <c r="E15" s="46">
        <v>5</v>
      </c>
      <c r="F15" s="46">
        <v>6</v>
      </c>
      <c r="G15" s="46">
        <v>7</v>
      </c>
      <c r="H15" s="46">
        <v>8</v>
      </c>
    </row>
    <row r="16" spans="1:8" ht="15.75" customHeight="1">
      <c r="A16" s="9"/>
      <c r="B16" s="95" t="s">
        <v>34</v>
      </c>
      <c r="C16" s="96"/>
      <c r="D16" s="10"/>
      <c r="E16" s="10"/>
      <c r="F16" s="11"/>
      <c r="G16" s="10"/>
      <c r="H16" s="12"/>
    </row>
    <row r="17" spans="1:8" ht="19.5" customHeight="1">
      <c r="A17" s="9">
        <v>1</v>
      </c>
      <c r="B17" s="13" t="s">
        <v>14</v>
      </c>
      <c r="C17" s="20" t="s">
        <v>35</v>
      </c>
      <c r="D17" s="15">
        <v>0</v>
      </c>
      <c r="E17" s="15">
        <f>1505.357</f>
        <v>1505.357</v>
      </c>
      <c r="F17" s="15">
        <f>2795.663/1.09</f>
        <v>2564.8284403669722</v>
      </c>
      <c r="G17" s="15">
        <v>0</v>
      </c>
      <c r="H17" s="16">
        <f t="shared" ref="H17:H19" si="0">D17+E17+F17+G17</f>
        <v>4070.1854403669722</v>
      </c>
    </row>
    <row r="18" spans="1:8" ht="19.5" customHeight="1">
      <c r="A18" s="17">
        <v>2</v>
      </c>
      <c r="B18" s="13" t="s">
        <v>15</v>
      </c>
      <c r="C18" s="14" t="s">
        <v>25</v>
      </c>
      <c r="D18" s="15">
        <v>0</v>
      </c>
      <c r="E18" s="15">
        <f>1372.642</f>
        <v>1372.6420000000001</v>
      </c>
      <c r="F18" s="15">
        <f>2243.574/1.09</f>
        <v>2058.3247706422017</v>
      </c>
      <c r="G18" s="15">
        <v>0</v>
      </c>
      <c r="H18" s="16">
        <f t="shared" si="0"/>
        <v>3430.9667706422015</v>
      </c>
    </row>
    <row r="19" spans="1:8" ht="19.5" customHeight="1">
      <c r="A19" s="9">
        <v>3</v>
      </c>
      <c r="B19" s="13" t="s">
        <v>16</v>
      </c>
      <c r="C19" s="14" t="s">
        <v>26</v>
      </c>
      <c r="D19" s="15">
        <v>0</v>
      </c>
      <c r="E19" s="15">
        <v>434.69</v>
      </c>
      <c r="F19" s="15">
        <f>650.036/1.09</f>
        <v>596.36330275229352</v>
      </c>
      <c r="G19" s="15">
        <v>0</v>
      </c>
      <c r="H19" s="16">
        <f t="shared" si="0"/>
        <v>1031.0533027522936</v>
      </c>
    </row>
    <row r="20" spans="1:8" s="18" customFormat="1" ht="16.5" customHeight="1">
      <c r="A20" s="32"/>
      <c r="B20" s="25"/>
      <c r="C20" s="33" t="s">
        <v>36</v>
      </c>
      <c r="D20" s="34">
        <f>SUM(D17:D19)</f>
        <v>0</v>
      </c>
      <c r="E20" s="34">
        <f>SUM(E17:E19)</f>
        <v>3312.6889999999999</v>
      </c>
      <c r="F20" s="34">
        <f>SUM(F17:F19)</f>
        <v>5219.5165137614676</v>
      </c>
      <c r="G20" s="35">
        <f>SUM(G17:G19)</f>
        <v>0</v>
      </c>
      <c r="H20" s="36">
        <f>SUM(H17:H19)</f>
        <v>8532.205513761468</v>
      </c>
    </row>
    <row r="21" spans="1:8" s="18" customFormat="1" ht="16.5" customHeight="1">
      <c r="A21" s="37"/>
      <c r="B21" s="25"/>
      <c r="C21" s="38" t="s">
        <v>37</v>
      </c>
      <c r="D21" s="36">
        <f>D20</f>
        <v>0</v>
      </c>
      <c r="E21" s="36">
        <f>E20</f>
        <v>3312.6889999999999</v>
      </c>
      <c r="F21" s="36">
        <f>F20</f>
        <v>5219.5165137614676</v>
      </c>
      <c r="G21" s="36">
        <f>G20</f>
        <v>0</v>
      </c>
      <c r="H21" s="36">
        <f>H20</f>
        <v>8532.205513761468</v>
      </c>
    </row>
    <row r="22" spans="1:8" s="18" customFormat="1" ht="18" customHeight="1">
      <c r="A22" s="32"/>
      <c r="B22" s="25"/>
      <c r="C22" s="39" t="s">
        <v>13</v>
      </c>
      <c r="D22" s="40"/>
      <c r="E22" s="40"/>
      <c r="F22" s="40"/>
      <c r="G22" s="40"/>
      <c r="H22" s="40"/>
    </row>
    <row r="23" spans="1:8" ht="18" customHeight="1">
      <c r="A23" s="46">
        <v>4</v>
      </c>
      <c r="B23" s="21" t="s">
        <v>31</v>
      </c>
      <c r="C23" s="20" t="s">
        <v>27</v>
      </c>
      <c r="D23" s="22">
        <v>0</v>
      </c>
      <c r="E23" s="22">
        <v>0</v>
      </c>
      <c r="F23" s="22">
        <v>0</v>
      </c>
      <c r="G23" s="22">
        <f>H17*0.04</f>
        <v>162.80741761467888</v>
      </c>
      <c r="H23" s="19">
        <f>SUM(D23:G23)</f>
        <v>162.80741761467888</v>
      </c>
    </row>
    <row r="24" spans="1:8" ht="18" customHeight="1">
      <c r="A24" s="46">
        <v>5</v>
      </c>
      <c r="B24" s="21" t="s">
        <v>30</v>
      </c>
      <c r="C24" s="14" t="s">
        <v>28</v>
      </c>
      <c r="D24" s="22">
        <v>0</v>
      </c>
      <c r="E24" s="22">
        <v>0</v>
      </c>
      <c r="F24" s="22">
        <v>0</v>
      </c>
      <c r="G24" s="22">
        <f>H18*0.04</f>
        <v>137.23867082568808</v>
      </c>
      <c r="H24" s="19">
        <f>SUM(D24:G24)</f>
        <v>137.23867082568808</v>
      </c>
    </row>
    <row r="25" spans="1:8" ht="18" customHeight="1">
      <c r="A25" s="46">
        <v>6</v>
      </c>
      <c r="B25" s="21" t="s">
        <v>32</v>
      </c>
      <c r="C25" s="14" t="s">
        <v>29</v>
      </c>
      <c r="D25" s="22">
        <v>0</v>
      </c>
      <c r="E25" s="22">
        <v>0</v>
      </c>
      <c r="F25" s="22">
        <v>0</v>
      </c>
      <c r="G25" s="24">
        <f>H19*0.04</f>
        <v>41.242132110091745</v>
      </c>
      <c r="H25" s="19">
        <f t="shared" ref="H25" si="1">G25</f>
        <v>41.242132110091745</v>
      </c>
    </row>
    <row r="26" spans="1:8" ht="18" customHeight="1">
      <c r="A26" s="46"/>
      <c r="B26" s="21"/>
      <c r="C26" s="23" t="s">
        <v>17</v>
      </c>
      <c r="D26" s="19">
        <f>SUM(D23:D25)</f>
        <v>0</v>
      </c>
      <c r="E26" s="19">
        <f>SUM(E23:E25)</f>
        <v>0</v>
      </c>
      <c r="F26" s="19">
        <f>SUM(F23:F25)</f>
        <v>0</v>
      </c>
      <c r="G26" s="19">
        <f>SUM(G23:G25)</f>
        <v>341.28822055045868</v>
      </c>
      <c r="H26" s="19">
        <f>SUM(H23:H25)</f>
        <v>341.28822055045868</v>
      </c>
    </row>
    <row r="27" spans="1:8" ht="18" customHeight="1">
      <c r="A27" s="46"/>
      <c r="B27" s="26"/>
      <c r="C27" s="23" t="s">
        <v>18</v>
      </c>
      <c r="D27" s="19">
        <f>D20+D26</f>
        <v>0</v>
      </c>
      <c r="E27" s="19">
        <f>E20+E26</f>
        <v>3312.6889999999999</v>
      </c>
      <c r="F27" s="19">
        <f>F20+F26</f>
        <v>5219.5165137614676</v>
      </c>
      <c r="G27" s="19">
        <f>G20+G26</f>
        <v>341.28822055045868</v>
      </c>
      <c r="H27" s="19">
        <f>H20+H26</f>
        <v>8873.4937343119273</v>
      </c>
    </row>
    <row r="28" spans="1:8" ht="27.75" customHeight="1">
      <c r="A28" s="46"/>
      <c r="B28" s="21" t="s">
        <v>19</v>
      </c>
      <c r="C28" s="27" t="s">
        <v>20</v>
      </c>
      <c r="D28" s="22">
        <f>D27*0.02</f>
        <v>0</v>
      </c>
      <c r="E28" s="22">
        <f t="shared" ref="E28:H28" si="2">E27*0.02</f>
        <v>66.253779999999992</v>
      </c>
      <c r="F28" s="22">
        <f t="shared" si="2"/>
        <v>104.39033027522936</v>
      </c>
      <c r="G28" s="22">
        <f t="shared" si="2"/>
        <v>6.8257644110091737</v>
      </c>
      <c r="H28" s="22">
        <f t="shared" si="2"/>
        <v>177.46987468623854</v>
      </c>
    </row>
    <row r="29" spans="1:8" ht="18.75" customHeight="1">
      <c r="A29" s="28"/>
      <c r="B29" s="29"/>
      <c r="C29" s="30" t="s">
        <v>21</v>
      </c>
      <c r="D29" s="31">
        <f t="shared" ref="D29:H29" si="3">D27+D28</f>
        <v>0</v>
      </c>
      <c r="E29" s="31">
        <f t="shared" si="3"/>
        <v>3378.9427799999999</v>
      </c>
      <c r="F29" s="31">
        <f t="shared" si="3"/>
        <v>5323.9068440366973</v>
      </c>
      <c r="G29" s="31">
        <f t="shared" si="3"/>
        <v>348.11398496146785</v>
      </c>
      <c r="H29" s="31">
        <f t="shared" si="3"/>
        <v>9050.963608998165</v>
      </c>
    </row>
    <row r="30" spans="1:8" ht="35.25" customHeight="1">
      <c r="A30" s="42"/>
      <c r="B30" s="43"/>
      <c r="C30" s="44"/>
      <c r="D30" s="45"/>
      <c r="E30" s="45"/>
      <c r="F30" s="45"/>
      <c r="G30" s="45"/>
      <c r="H30" s="45"/>
    </row>
    <row r="31" spans="1:8" ht="18.75" customHeight="1">
      <c r="A31" s="42"/>
      <c r="B31" s="43"/>
      <c r="C31" s="44"/>
      <c r="D31" s="45"/>
      <c r="E31" s="45"/>
      <c r="F31" s="45"/>
      <c r="G31" s="45"/>
      <c r="H31" s="45"/>
    </row>
    <row r="34" spans="1:8">
      <c r="E34" s="41"/>
      <c r="F34" s="41"/>
      <c r="G34" s="41"/>
      <c r="H34" s="41"/>
    </row>
    <row r="35" spans="1:8" ht="24.75" customHeight="1">
      <c r="B35" s="47" t="s">
        <v>22</v>
      </c>
      <c r="C35" s="48"/>
      <c r="D35" s="48" t="s">
        <v>23</v>
      </c>
      <c r="E35" s="4"/>
    </row>
    <row r="36" spans="1:8" ht="12" customHeight="1">
      <c r="A36" s="4"/>
      <c r="B36" s="92" t="s">
        <v>24</v>
      </c>
      <c r="C36" s="93"/>
      <c r="D36" s="80" t="s">
        <v>33</v>
      </c>
      <c r="E36" s="94"/>
      <c r="F36" s="94"/>
      <c r="G36" s="94"/>
      <c r="H36" s="94"/>
    </row>
    <row r="37" spans="1:8" ht="12.75" customHeight="1">
      <c r="A37" s="4"/>
      <c r="B37" s="93"/>
      <c r="C37" s="93"/>
      <c r="D37" s="94"/>
      <c r="E37" s="94"/>
      <c r="F37" s="94"/>
      <c r="G37" s="94"/>
      <c r="H37" s="94"/>
    </row>
  </sheetData>
  <mergeCells count="23">
    <mergeCell ref="B36:C37"/>
    <mergeCell ref="D36:H37"/>
    <mergeCell ref="D12:D14"/>
    <mergeCell ref="E12:E14"/>
    <mergeCell ref="F12:F14"/>
    <mergeCell ref="G12:G14"/>
    <mergeCell ref="B16:C16"/>
    <mergeCell ref="A7:B7"/>
    <mergeCell ref="C7:G7"/>
    <mergeCell ref="B8:H8"/>
    <mergeCell ref="C9:G9"/>
    <mergeCell ref="B10:C10"/>
    <mergeCell ref="A11:A14"/>
    <mergeCell ref="B11:B14"/>
    <mergeCell ref="C11:C14"/>
    <mergeCell ref="D11:G11"/>
    <mergeCell ref="H11:H14"/>
    <mergeCell ref="B3:C3"/>
    <mergeCell ref="D3:H3"/>
    <mergeCell ref="B4:C4"/>
    <mergeCell ref="D4:H4"/>
    <mergeCell ref="B5:C5"/>
    <mergeCell ref="D5:H5"/>
  </mergeCells>
  <pageMargins left="0.23622047244094491" right="0.23622047244094491" top="0.35433070866141736" bottom="0.19685039370078741" header="0.11811023622047245" footer="0.11811023622047245"/>
  <pageSetup paperSize="9" scale="9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M22"/>
  <sheetViews>
    <sheetView topLeftCell="A4" workbookViewId="0">
      <selection activeCell="D27" sqref="D27"/>
    </sheetView>
  </sheetViews>
  <sheetFormatPr defaultRowHeight="12.75"/>
  <cols>
    <col min="1" max="1" width="8" style="51" customWidth="1"/>
    <col min="2" max="2" width="33.140625" style="51" customWidth="1"/>
    <col min="3" max="3" width="16.7109375" style="51" customWidth="1"/>
    <col min="4" max="4" width="9.28515625" style="51" bestFit="1" customWidth="1"/>
    <col min="5" max="5" width="10" style="51" customWidth="1"/>
    <col min="6" max="6" width="10.28515625" style="51" bestFit="1" customWidth="1"/>
    <col min="7" max="8" width="9.28515625" style="51" bestFit="1" customWidth="1"/>
    <col min="9" max="9" width="13.140625" style="51" customWidth="1"/>
    <col min="10" max="10" width="12.5703125" style="51" customWidth="1"/>
    <col min="11" max="11" width="11" style="51" customWidth="1"/>
    <col min="12" max="12" width="15.85546875" style="51" customWidth="1"/>
    <col min="13" max="13" width="13.42578125" style="51" customWidth="1"/>
    <col min="14" max="16384" width="9.140625" style="51"/>
  </cols>
  <sheetData>
    <row r="2" spans="1:13" ht="23.25" customHeight="1">
      <c r="A2" s="50" t="s">
        <v>74</v>
      </c>
      <c r="B2" s="97" t="s">
        <v>75</v>
      </c>
      <c r="C2" s="97"/>
      <c r="D2" s="97"/>
      <c r="E2" s="97"/>
      <c r="F2" s="97"/>
      <c r="G2" s="97"/>
      <c r="H2" s="97"/>
      <c r="I2" s="97"/>
      <c r="J2" s="97"/>
    </row>
    <row r="5" spans="1:13" s="53" customFormat="1" ht="18" customHeight="1">
      <c r="A5" s="98" t="s">
        <v>45</v>
      </c>
      <c r="B5" s="98" t="s">
        <v>46</v>
      </c>
      <c r="C5" s="98" t="s">
        <v>47</v>
      </c>
      <c r="D5" s="52"/>
      <c r="E5" s="101" t="s">
        <v>48</v>
      </c>
      <c r="F5" s="102"/>
      <c r="G5" s="102"/>
      <c r="H5" s="102"/>
      <c r="I5" s="103"/>
      <c r="J5" s="104" t="s">
        <v>49</v>
      </c>
      <c r="L5" s="108" t="s">
        <v>50</v>
      </c>
      <c r="M5" s="108" t="s">
        <v>51</v>
      </c>
    </row>
    <row r="6" spans="1:13" s="53" customFormat="1" ht="22.5" customHeight="1">
      <c r="A6" s="99"/>
      <c r="B6" s="99"/>
      <c r="C6" s="99"/>
      <c r="D6" s="109" t="s">
        <v>40</v>
      </c>
      <c r="E6" s="109" t="s">
        <v>41</v>
      </c>
      <c r="F6" s="111" t="s">
        <v>42</v>
      </c>
      <c r="G6" s="109" t="s">
        <v>43</v>
      </c>
      <c r="H6" s="109" t="s">
        <v>44</v>
      </c>
      <c r="I6" s="109" t="s">
        <v>52</v>
      </c>
      <c r="J6" s="104"/>
      <c r="L6" s="108"/>
      <c r="M6" s="108"/>
    </row>
    <row r="7" spans="1:13" s="53" customFormat="1" ht="20.25" customHeight="1">
      <c r="A7" s="100"/>
      <c r="B7" s="100"/>
      <c r="C7" s="100"/>
      <c r="D7" s="110"/>
      <c r="E7" s="110"/>
      <c r="F7" s="112"/>
      <c r="G7" s="110"/>
      <c r="H7" s="110"/>
      <c r="I7" s="110"/>
      <c r="J7" s="104"/>
      <c r="L7" s="108"/>
      <c r="M7" s="108"/>
    </row>
    <row r="8" spans="1:13" s="53" customFormat="1" ht="33.75" customHeight="1">
      <c r="A8" s="54">
        <v>1</v>
      </c>
      <c r="B8" s="54" t="s">
        <v>53</v>
      </c>
      <c r="C8" s="54"/>
      <c r="D8" s="55">
        <v>0</v>
      </c>
      <c r="E8" s="56">
        <f>'ССР общий на 2 квартал 2018'!E17*1.02/1000</f>
        <v>1.53546414</v>
      </c>
      <c r="F8" s="56">
        <f>'ССР общий на 2 квартал 2018'!F17*1.02/1000</f>
        <v>2.6161250091743118</v>
      </c>
      <c r="G8" s="56">
        <f>'ССР общий на 2 квартал 2018'!G23*1.02/1000</f>
        <v>0.16606356596697247</v>
      </c>
      <c r="H8" s="56">
        <v>0</v>
      </c>
      <c r="I8" s="57">
        <f>SUM(D8:H8)</f>
        <v>4.3176527151412838</v>
      </c>
      <c r="J8" s="58">
        <f>I8*1.18</f>
        <v>5.0948302038667146</v>
      </c>
      <c r="K8" s="59"/>
      <c r="L8" s="54">
        <v>2020</v>
      </c>
      <c r="M8" s="54">
        <v>2020</v>
      </c>
    </row>
    <row r="9" spans="1:13" s="53" customFormat="1" ht="60" customHeight="1">
      <c r="A9" s="54">
        <v>2</v>
      </c>
      <c r="B9" s="54" t="s">
        <v>54</v>
      </c>
      <c r="C9" s="60"/>
      <c r="D9" s="56">
        <v>3.83</v>
      </c>
      <c r="E9" s="56">
        <v>6.63</v>
      </c>
      <c r="F9" s="56">
        <v>4.46</v>
      </c>
      <c r="G9" s="56">
        <v>13.56</v>
      </c>
      <c r="H9" s="56">
        <v>8.7899999999999991</v>
      </c>
      <c r="I9" s="61"/>
      <c r="J9" s="62"/>
    </row>
    <row r="10" spans="1:13" s="53" customFormat="1" ht="33" customHeight="1">
      <c r="A10" s="54">
        <v>3</v>
      </c>
      <c r="B10" s="60" t="s">
        <v>55</v>
      </c>
      <c r="C10" s="60" t="s">
        <v>56</v>
      </c>
      <c r="D10" s="63">
        <f>D8/D9</f>
        <v>0</v>
      </c>
      <c r="E10" s="63">
        <f>E8/E9</f>
        <v>0.23159338461538462</v>
      </c>
      <c r="F10" s="63">
        <f>F8/F9</f>
        <v>0.58657511416464392</v>
      </c>
      <c r="G10" s="63">
        <f>G8/G9</f>
        <v>1.2246575661281156E-2</v>
      </c>
      <c r="H10" s="63">
        <f>H8/H9</f>
        <v>0</v>
      </c>
      <c r="I10" s="64">
        <f>SUM(D10:H10)</f>
        <v>0.83041507444130969</v>
      </c>
      <c r="J10" s="58">
        <f>I10*1.2</f>
        <v>0.99649808932957162</v>
      </c>
    </row>
    <row r="11" spans="1:13" s="53" customFormat="1" ht="47.25" customHeight="1">
      <c r="A11" s="54">
        <v>4</v>
      </c>
      <c r="B11" s="54" t="s">
        <v>57</v>
      </c>
      <c r="C11" s="54" t="s">
        <v>58</v>
      </c>
      <c r="D11" s="65">
        <v>3.99</v>
      </c>
      <c r="E11" s="65">
        <v>6.55</v>
      </c>
      <c r="F11" s="65">
        <v>4.4400000000000004</v>
      </c>
      <c r="G11" s="65">
        <v>13.38</v>
      </c>
      <c r="H11" s="65">
        <v>8.74</v>
      </c>
      <c r="I11" s="61"/>
      <c r="J11" s="62"/>
    </row>
    <row r="12" spans="1:13" s="53" customFormat="1" ht="31.5" customHeight="1">
      <c r="A12" s="54">
        <v>5</v>
      </c>
      <c r="B12" s="54" t="s">
        <v>59</v>
      </c>
      <c r="C12" s="54" t="s">
        <v>60</v>
      </c>
      <c r="D12" s="65">
        <f>D10*D11</f>
        <v>0</v>
      </c>
      <c r="E12" s="65">
        <f>E10*E11</f>
        <v>1.5169366692307693</v>
      </c>
      <c r="F12" s="65">
        <f>F10*F11</f>
        <v>2.6043935068910193</v>
      </c>
      <c r="G12" s="65">
        <f t="shared" ref="G12:H12" si="0">G10*G11</f>
        <v>0.16385918234794186</v>
      </c>
      <c r="H12" s="65">
        <f t="shared" si="0"/>
        <v>0</v>
      </c>
      <c r="I12" s="64">
        <f>SUM(D12:H12)</f>
        <v>4.2851893584697303</v>
      </c>
      <c r="J12" s="58">
        <f>I12*1.18</f>
        <v>5.0565234429942816</v>
      </c>
    </row>
    <row r="13" spans="1:13" s="53" customFormat="1" ht="15.75" customHeight="1">
      <c r="A13" s="105">
        <v>6</v>
      </c>
      <c r="B13" s="105" t="s">
        <v>61</v>
      </c>
      <c r="C13" s="66" t="s">
        <v>62</v>
      </c>
      <c r="D13" s="67">
        <v>1.0489999999999999</v>
      </c>
      <c r="E13" s="67">
        <v>1.0489999999999999</v>
      </c>
      <c r="F13" s="67">
        <v>1.0489999999999999</v>
      </c>
      <c r="G13" s="67">
        <v>1.0489999999999999</v>
      </c>
      <c r="H13" s="67">
        <v>1.0489999999999999</v>
      </c>
      <c r="I13" s="61"/>
      <c r="J13" s="61"/>
    </row>
    <row r="14" spans="1:13" s="53" customFormat="1">
      <c r="A14" s="106"/>
      <c r="B14" s="106"/>
      <c r="C14" s="66" t="s">
        <v>63</v>
      </c>
      <c r="D14" s="67">
        <v>1.05</v>
      </c>
      <c r="E14" s="67">
        <v>1.05</v>
      </c>
      <c r="F14" s="67">
        <v>1.05</v>
      </c>
      <c r="G14" s="67">
        <v>1.05</v>
      </c>
      <c r="H14" s="67">
        <v>1.05</v>
      </c>
      <c r="I14" s="61"/>
      <c r="J14" s="61"/>
    </row>
    <row r="15" spans="1:13" s="53" customFormat="1">
      <c r="A15" s="106"/>
      <c r="B15" s="106"/>
      <c r="C15" s="66" t="s">
        <v>64</v>
      </c>
      <c r="D15" s="67">
        <v>1.044</v>
      </c>
      <c r="E15" s="67">
        <v>1.044</v>
      </c>
      <c r="F15" s="67">
        <v>1.044</v>
      </c>
      <c r="G15" s="67">
        <v>1.044</v>
      </c>
      <c r="H15" s="67">
        <v>1.044</v>
      </c>
      <c r="I15" s="61"/>
      <c r="J15" s="61"/>
    </row>
    <row r="16" spans="1:13" s="53" customFormat="1">
      <c r="A16" s="106"/>
      <c r="B16" s="106"/>
      <c r="C16" s="66" t="s">
        <v>65</v>
      </c>
      <c r="D16" s="67">
        <v>1.042</v>
      </c>
      <c r="E16" s="67">
        <v>1.042</v>
      </c>
      <c r="F16" s="67">
        <v>1.042</v>
      </c>
      <c r="G16" s="67">
        <v>1.042</v>
      </c>
      <c r="H16" s="67">
        <v>1.042</v>
      </c>
      <c r="I16" s="61"/>
      <c r="J16" s="61"/>
    </row>
    <row r="17" spans="1:13" s="53" customFormat="1">
      <c r="A17" s="106"/>
      <c r="B17" s="106"/>
      <c r="C17" s="66" t="s">
        <v>66</v>
      </c>
      <c r="D17" s="67">
        <v>1.0429999999999999</v>
      </c>
      <c r="E17" s="67">
        <v>1.0429999999999999</v>
      </c>
      <c r="F17" s="67">
        <v>1.0429999999999999</v>
      </c>
      <c r="G17" s="67">
        <v>1.0429999999999999</v>
      </c>
      <c r="H17" s="67">
        <v>1.0429999999999999</v>
      </c>
      <c r="I17" s="61"/>
      <c r="J17" s="61"/>
    </row>
    <row r="18" spans="1:13" s="53" customFormat="1">
      <c r="A18" s="106"/>
      <c r="B18" s="106"/>
      <c r="C18" s="66" t="s">
        <v>67</v>
      </c>
      <c r="D18" s="67">
        <v>1.044</v>
      </c>
      <c r="E18" s="67">
        <v>1.044</v>
      </c>
      <c r="F18" s="67">
        <v>1.044</v>
      </c>
      <c r="G18" s="67">
        <v>1.044</v>
      </c>
      <c r="H18" s="67">
        <v>1.044</v>
      </c>
      <c r="I18" s="61"/>
      <c r="J18" s="61"/>
    </row>
    <row r="19" spans="1:13" s="53" customFormat="1">
      <c r="A19" s="107"/>
      <c r="B19" s="107"/>
      <c r="C19" s="66" t="s">
        <v>68</v>
      </c>
      <c r="D19" s="67">
        <v>1.044</v>
      </c>
      <c r="E19" s="67">
        <v>1.044</v>
      </c>
      <c r="F19" s="67">
        <v>1.044</v>
      </c>
      <c r="G19" s="67">
        <v>1.044</v>
      </c>
      <c r="H19" s="67">
        <v>1.044</v>
      </c>
      <c r="I19" s="61"/>
      <c r="J19" s="61"/>
    </row>
    <row r="20" spans="1:13" s="53" customFormat="1" ht="59.25" customHeight="1">
      <c r="A20" s="54">
        <v>7</v>
      </c>
      <c r="B20" s="54" t="s">
        <v>69</v>
      </c>
      <c r="C20" s="54" t="s">
        <v>70</v>
      </c>
      <c r="D20" s="68">
        <f>D13*D14*D15</f>
        <v>1.1499138</v>
      </c>
      <c r="E20" s="68">
        <f>E13*E14*E15</f>
        <v>1.1499138</v>
      </c>
      <c r="F20" s="68">
        <f>F13*F14*F15</f>
        <v>1.1499138</v>
      </c>
      <c r="G20" s="68">
        <f>G13*G14*G15</f>
        <v>1.1499138</v>
      </c>
      <c r="H20" s="68">
        <f>H13*H14*H15</f>
        <v>1.1499138</v>
      </c>
      <c r="I20" s="61"/>
      <c r="J20" s="61"/>
    </row>
    <row r="21" spans="1:13" s="53" customFormat="1" ht="27" customHeight="1">
      <c r="A21" s="54">
        <v>8</v>
      </c>
      <c r="B21" s="54" t="s">
        <v>71</v>
      </c>
      <c r="C21" s="54" t="s">
        <v>72</v>
      </c>
      <c r="D21" s="69">
        <f>D12*D20</f>
        <v>0</v>
      </c>
      <c r="E21" s="69">
        <f>E12*E20</f>
        <v>1.7443464096744969</v>
      </c>
      <c r="F21" s="69">
        <f>F12*F20</f>
        <v>2.994828034204378</v>
      </c>
      <c r="G21" s="69">
        <f>G12*G20</f>
        <v>0.18842393503861474</v>
      </c>
      <c r="H21" s="69">
        <f>H12*H20</f>
        <v>0</v>
      </c>
      <c r="I21" s="64">
        <f>SUM(D21:H21)</f>
        <v>4.92759837891749</v>
      </c>
      <c r="J21" s="58">
        <f>(I21-D21)*1.2+D21</f>
        <v>5.9131180547009876</v>
      </c>
    </row>
    <row r="22" spans="1:13" s="53" customFormat="1" ht="59.25" customHeight="1">
      <c r="A22" s="54">
        <v>9</v>
      </c>
      <c r="B22" s="70" t="s">
        <v>73</v>
      </c>
      <c r="C22" s="70"/>
      <c r="D22" s="56">
        <f>D21</f>
        <v>0</v>
      </c>
      <c r="E22" s="56">
        <f t="shared" ref="E22:H22" si="1">E21</f>
        <v>1.7443464096744969</v>
      </c>
      <c r="F22" s="56">
        <f t="shared" si="1"/>
        <v>2.994828034204378</v>
      </c>
      <c r="G22" s="56">
        <f t="shared" si="1"/>
        <v>0.18842393503861474</v>
      </c>
      <c r="H22" s="56">
        <f t="shared" si="1"/>
        <v>0</v>
      </c>
      <c r="I22" s="64">
        <f>SUM(D22:H22)</f>
        <v>4.92759837891749</v>
      </c>
      <c r="J22" s="58">
        <f>(I22-D22)*1.2+D22</f>
        <v>5.9131180547009876</v>
      </c>
      <c r="K22" s="73">
        <v>2020</v>
      </c>
      <c r="L22" s="71"/>
      <c r="M22" s="72"/>
    </row>
  </sheetData>
  <mergeCells count="16">
    <mergeCell ref="A13:A19"/>
    <mergeCell ref="B13:B19"/>
    <mergeCell ref="L5:L7"/>
    <mergeCell ref="M5:M7"/>
    <mergeCell ref="D6:D7"/>
    <mergeCell ref="E6:E7"/>
    <mergeCell ref="F6:F7"/>
    <mergeCell ref="G6:G7"/>
    <mergeCell ref="H6:H7"/>
    <mergeCell ref="I6:I7"/>
    <mergeCell ref="B2:J2"/>
    <mergeCell ref="A5:A7"/>
    <mergeCell ref="B5:B7"/>
    <mergeCell ref="C5:C7"/>
    <mergeCell ref="E5:I5"/>
    <mergeCell ref="J5:J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M22"/>
  <sheetViews>
    <sheetView topLeftCell="A10" workbookViewId="0">
      <selection activeCell="D21" sqref="D21"/>
    </sheetView>
  </sheetViews>
  <sheetFormatPr defaultRowHeight="12.75"/>
  <cols>
    <col min="1" max="1" width="8" style="51" customWidth="1"/>
    <col min="2" max="2" width="33.140625" style="51" customWidth="1"/>
    <col min="3" max="3" width="16.7109375" style="51" customWidth="1"/>
    <col min="4" max="4" width="9.28515625" style="51" bestFit="1" customWidth="1"/>
    <col min="5" max="5" width="10" style="51" customWidth="1"/>
    <col min="6" max="6" width="10.28515625" style="51" bestFit="1" customWidth="1"/>
    <col min="7" max="8" width="9.28515625" style="51" bestFit="1" customWidth="1"/>
    <col min="9" max="9" width="13.140625" style="51" customWidth="1"/>
    <col min="10" max="10" width="12.5703125" style="51" customWidth="1"/>
    <col min="11" max="11" width="11" style="51" customWidth="1"/>
    <col min="12" max="12" width="15.85546875" style="51" customWidth="1"/>
    <col min="13" max="13" width="13.42578125" style="51" customWidth="1"/>
    <col min="14" max="16384" width="9.140625" style="51"/>
  </cols>
  <sheetData>
    <row r="2" spans="1:13" ht="23.25" customHeight="1">
      <c r="A2" s="50" t="s">
        <v>74</v>
      </c>
      <c r="B2" s="97" t="s">
        <v>77</v>
      </c>
      <c r="C2" s="97"/>
      <c r="D2" s="97"/>
      <c r="E2" s="97"/>
      <c r="F2" s="97"/>
      <c r="G2" s="97"/>
      <c r="H2" s="97"/>
      <c r="I2" s="97"/>
      <c r="J2" s="97"/>
    </row>
    <row r="5" spans="1:13" s="53" customFormat="1" ht="18" customHeight="1">
      <c r="A5" s="98" t="s">
        <v>45</v>
      </c>
      <c r="B5" s="98" t="s">
        <v>46</v>
      </c>
      <c r="C5" s="98" t="s">
        <v>47</v>
      </c>
      <c r="D5" s="52"/>
      <c r="E5" s="101" t="s">
        <v>48</v>
      </c>
      <c r="F5" s="102"/>
      <c r="G5" s="102"/>
      <c r="H5" s="102"/>
      <c r="I5" s="103"/>
      <c r="J5" s="104" t="s">
        <v>49</v>
      </c>
      <c r="L5" s="108" t="s">
        <v>50</v>
      </c>
      <c r="M5" s="108" t="s">
        <v>51</v>
      </c>
    </row>
    <row r="6" spans="1:13" s="53" customFormat="1" ht="22.5" customHeight="1">
      <c r="A6" s="99"/>
      <c r="B6" s="99"/>
      <c r="C6" s="99"/>
      <c r="D6" s="109" t="s">
        <v>40</v>
      </c>
      <c r="E6" s="109" t="s">
        <v>41</v>
      </c>
      <c r="F6" s="111" t="s">
        <v>42</v>
      </c>
      <c r="G6" s="109" t="s">
        <v>43</v>
      </c>
      <c r="H6" s="109" t="s">
        <v>44</v>
      </c>
      <c r="I6" s="109" t="s">
        <v>52</v>
      </c>
      <c r="J6" s="104"/>
      <c r="L6" s="108"/>
      <c r="M6" s="108"/>
    </row>
    <row r="7" spans="1:13" s="53" customFormat="1" ht="20.25" customHeight="1">
      <c r="A7" s="100"/>
      <c r="B7" s="100"/>
      <c r="C7" s="100"/>
      <c r="D7" s="110"/>
      <c r="E7" s="110"/>
      <c r="F7" s="112"/>
      <c r="G7" s="110"/>
      <c r="H7" s="110"/>
      <c r="I7" s="110"/>
      <c r="J7" s="104"/>
      <c r="L7" s="108"/>
      <c r="M7" s="108"/>
    </row>
    <row r="8" spans="1:13" s="53" customFormat="1" ht="33.75" customHeight="1">
      <c r="A8" s="54">
        <v>1</v>
      </c>
      <c r="B8" s="54" t="s">
        <v>53</v>
      </c>
      <c r="C8" s="54"/>
      <c r="D8" s="55">
        <v>0</v>
      </c>
      <c r="E8" s="56">
        <f>'ССР общий на 2 квартал 2018'!E18*1.02/1000</f>
        <v>1.40009484</v>
      </c>
      <c r="F8" s="56">
        <f>'ССР общий на 2 квартал 2018'!F18*1.02/1000</f>
        <v>2.099491266055046</v>
      </c>
      <c r="G8" s="56">
        <f>'ССР общий на 2 квартал 2018'!G24*1.02/1000</f>
        <v>0.13998344424220185</v>
      </c>
      <c r="H8" s="56">
        <v>0</v>
      </c>
      <c r="I8" s="57">
        <f>SUM(D8:H8)</f>
        <v>3.6395695502972476</v>
      </c>
      <c r="J8" s="58">
        <f>I8*1.18</f>
        <v>4.2946920693507522</v>
      </c>
      <c r="K8" s="59"/>
      <c r="L8" s="54">
        <v>2021</v>
      </c>
      <c r="M8" s="54">
        <v>2021</v>
      </c>
    </row>
    <row r="9" spans="1:13" s="53" customFormat="1" ht="60" customHeight="1">
      <c r="A9" s="54">
        <v>2</v>
      </c>
      <c r="B9" s="54" t="s">
        <v>54</v>
      </c>
      <c r="C9" s="60"/>
      <c r="D9" s="56">
        <v>3.83</v>
      </c>
      <c r="E9" s="56">
        <v>6.63</v>
      </c>
      <c r="F9" s="56">
        <v>4.46</v>
      </c>
      <c r="G9" s="56">
        <v>13.56</v>
      </c>
      <c r="H9" s="56">
        <v>8.7899999999999991</v>
      </c>
      <c r="I9" s="61"/>
      <c r="J9" s="62"/>
    </row>
    <row r="10" spans="1:13" s="53" customFormat="1" ht="33" customHeight="1">
      <c r="A10" s="54">
        <v>3</v>
      </c>
      <c r="B10" s="60" t="s">
        <v>55</v>
      </c>
      <c r="C10" s="60" t="s">
        <v>56</v>
      </c>
      <c r="D10" s="63">
        <f>D8/D9</f>
        <v>0</v>
      </c>
      <c r="E10" s="63">
        <f>E8/E9</f>
        <v>0.21117569230769231</v>
      </c>
      <c r="F10" s="63">
        <f>F8/F9</f>
        <v>0.47073795203027935</v>
      </c>
      <c r="G10" s="63">
        <f>G8/G9</f>
        <v>1.03232628497199E-2</v>
      </c>
      <c r="H10" s="63">
        <f>H8/H9</f>
        <v>0</v>
      </c>
      <c r="I10" s="64">
        <f>SUM(D10:H10)</f>
        <v>0.69223690718769149</v>
      </c>
      <c r="J10" s="58">
        <f>I10*1.2</f>
        <v>0.83068428862522981</v>
      </c>
    </row>
    <row r="11" spans="1:13" s="53" customFormat="1" ht="47.25" customHeight="1">
      <c r="A11" s="54">
        <v>4</v>
      </c>
      <c r="B11" s="54" t="s">
        <v>57</v>
      </c>
      <c r="C11" s="54" t="s">
        <v>58</v>
      </c>
      <c r="D11" s="65">
        <v>3.99</v>
      </c>
      <c r="E11" s="65">
        <v>6.55</v>
      </c>
      <c r="F11" s="65">
        <v>4.4400000000000004</v>
      </c>
      <c r="G11" s="65">
        <v>13.38</v>
      </c>
      <c r="H11" s="65">
        <v>8.74</v>
      </c>
      <c r="I11" s="61"/>
      <c r="J11" s="62"/>
    </row>
    <row r="12" spans="1:13" s="53" customFormat="1" ht="31.5" customHeight="1">
      <c r="A12" s="54">
        <v>5</v>
      </c>
      <c r="B12" s="54" t="s">
        <v>59</v>
      </c>
      <c r="C12" s="54" t="s">
        <v>60</v>
      </c>
      <c r="D12" s="65">
        <f>D10*D11</f>
        <v>0</v>
      </c>
      <c r="E12" s="65">
        <f>E10*E11</f>
        <v>1.3832007846153846</v>
      </c>
      <c r="F12" s="65">
        <f>F10*F11</f>
        <v>2.0900765070144405</v>
      </c>
      <c r="G12" s="65">
        <f t="shared" ref="G12:H12" si="0">G10*G11</f>
        <v>0.13812525692925226</v>
      </c>
      <c r="H12" s="65">
        <f t="shared" si="0"/>
        <v>0</v>
      </c>
      <c r="I12" s="64">
        <f>SUM(D12:H12)</f>
        <v>3.6114025485590773</v>
      </c>
      <c r="J12" s="58">
        <f>I12*1.18</f>
        <v>4.2614550072997108</v>
      </c>
    </row>
    <row r="13" spans="1:13" s="53" customFormat="1" ht="15.75" customHeight="1">
      <c r="A13" s="105">
        <v>6</v>
      </c>
      <c r="B13" s="105" t="s">
        <v>61</v>
      </c>
      <c r="C13" s="66" t="s">
        <v>62</v>
      </c>
      <c r="D13" s="67">
        <v>1.0489999999999999</v>
      </c>
      <c r="E13" s="67">
        <v>1.0489999999999999</v>
      </c>
      <c r="F13" s="67">
        <v>1.0489999999999999</v>
      </c>
      <c r="G13" s="67">
        <v>1.0489999999999999</v>
      </c>
      <c r="H13" s="67">
        <v>1.0489999999999999</v>
      </c>
      <c r="I13" s="61"/>
      <c r="J13" s="61"/>
    </row>
    <row r="14" spans="1:13" s="53" customFormat="1">
      <c r="A14" s="106"/>
      <c r="B14" s="106"/>
      <c r="C14" s="66" t="s">
        <v>63</v>
      </c>
      <c r="D14" s="67">
        <v>1.05</v>
      </c>
      <c r="E14" s="67">
        <v>1.05</v>
      </c>
      <c r="F14" s="67">
        <v>1.05</v>
      </c>
      <c r="G14" s="67">
        <v>1.05</v>
      </c>
      <c r="H14" s="67">
        <v>1.05</v>
      </c>
      <c r="I14" s="61"/>
      <c r="J14" s="61"/>
    </row>
    <row r="15" spans="1:13" s="53" customFormat="1">
      <c r="A15" s="106"/>
      <c r="B15" s="106"/>
      <c r="C15" s="66" t="s">
        <v>64</v>
      </c>
      <c r="D15" s="67">
        <v>1.044</v>
      </c>
      <c r="E15" s="67">
        <v>1.044</v>
      </c>
      <c r="F15" s="67">
        <v>1.044</v>
      </c>
      <c r="G15" s="67">
        <v>1.044</v>
      </c>
      <c r="H15" s="67">
        <v>1.044</v>
      </c>
      <c r="I15" s="61"/>
      <c r="J15" s="61"/>
    </row>
    <row r="16" spans="1:13" s="53" customFormat="1">
      <c r="A16" s="106"/>
      <c r="B16" s="106"/>
      <c r="C16" s="66" t="s">
        <v>65</v>
      </c>
      <c r="D16" s="67">
        <v>1.042</v>
      </c>
      <c r="E16" s="67">
        <v>1.042</v>
      </c>
      <c r="F16" s="67">
        <v>1.042</v>
      </c>
      <c r="G16" s="67">
        <v>1.042</v>
      </c>
      <c r="H16" s="67">
        <v>1.042</v>
      </c>
      <c r="I16" s="61"/>
      <c r="J16" s="61"/>
    </row>
    <row r="17" spans="1:13" s="53" customFormat="1">
      <c r="A17" s="106"/>
      <c r="B17" s="106"/>
      <c r="C17" s="66" t="s">
        <v>66</v>
      </c>
      <c r="D17" s="67">
        <v>1.0429999999999999</v>
      </c>
      <c r="E17" s="67">
        <v>1.0429999999999999</v>
      </c>
      <c r="F17" s="67">
        <v>1.0429999999999999</v>
      </c>
      <c r="G17" s="67">
        <v>1.0429999999999999</v>
      </c>
      <c r="H17" s="67">
        <v>1.0429999999999999</v>
      </c>
      <c r="I17" s="61"/>
      <c r="J17" s="61"/>
    </row>
    <row r="18" spans="1:13" s="53" customFormat="1">
      <c r="A18" s="106"/>
      <c r="B18" s="106"/>
      <c r="C18" s="66" t="s">
        <v>67</v>
      </c>
      <c r="D18" s="67">
        <v>1.044</v>
      </c>
      <c r="E18" s="67">
        <v>1.044</v>
      </c>
      <c r="F18" s="67">
        <v>1.044</v>
      </c>
      <c r="G18" s="67">
        <v>1.044</v>
      </c>
      <c r="H18" s="67">
        <v>1.044</v>
      </c>
      <c r="I18" s="61"/>
      <c r="J18" s="61"/>
    </row>
    <row r="19" spans="1:13" s="53" customFormat="1">
      <c r="A19" s="107"/>
      <c r="B19" s="107"/>
      <c r="C19" s="66" t="s">
        <v>68</v>
      </c>
      <c r="D19" s="67">
        <v>1.044</v>
      </c>
      <c r="E19" s="67">
        <v>1.044</v>
      </c>
      <c r="F19" s="67">
        <v>1.044</v>
      </c>
      <c r="G19" s="67">
        <v>1.044</v>
      </c>
      <c r="H19" s="67">
        <v>1.044</v>
      </c>
      <c r="I19" s="61"/>
      <c r="J19" s="61"/>
    </row>
    <row r="20" spans="1:13" s="53" customFormat="1" ht="59.25" customHeight="1">
      <c r="A20" s="54">
        <v>7</v>
      </c>
      <c r="B20" s="54" t="s">
        <v>69</v>
      </c>
      <c r="C20" s="54" t="s">
        <v>70</v>
      </c>
      <c r="D20" s="68">
        <f>D13*D14*D15*D16</f>
        <v>1.1982101796</v>
      </c>
      <c r="E20" s="68">
        <f>E13*E14*E15*E16</f>
        <v>1.1982101796</v>
      </c>
      <c r="F20" s="68">
        <f>F13*F14*F15*F16</f>
        <v>1.1982101796</v>
      </c>
      <c r="G20" s="68">
        <f>G13*G14*G15*G16</f>
        <v>1.1982101796</v>
      </c>
      <c r="H20" s="68">
        <f>H13*H14*H15*H16</f>
        <v>1.1982101796</v>
      </c>
      <c r="I20" s="61"/>
      <c r="J20" s="61"/>
    </row>
    <row r="21" spans="1:13" s="53" customFormat="1" ht="27" customHeight="1">
      <c r="A21" s="54">
        <v>8</v>
      </c>
      <c r="B21" s="54" t="s">
        <v>71</v>
      </c>
      <c r="C21" s="54" t="s">
        <v>72</v>
      </c>
      <c r="D21" s="69">
        <f>D12*D20</f>
        <v>0</v>
      </c>
      <c r="E21" s="69">
        <f>E12*E20</f>
        <v>1.657365260556861</v>
      </c>
      <c r="F21" s="69">
        <f>F12*F20</f>
        <v>2.5043509468475134</v>
      </c>
      <c r="G21" s="69">
        <f>G12*G20</f>
        <v>0.16550308891249549</v>
      </c>
      <c r="H21" s="69">
        <f>H12*H20</f>
        <v>0</v>
      </c>
      <c r="I21" s="64">
        <f>SUM(D21:H21)</f>
        <v>4.3272192963168701</v>
      </c>
      <c r="J21" s="58">
        <f>(I21-D21)*1.2+D21</f>
        <v>5.1926631555802443</v>
      </c>
    </row>
    <row r="22" spans="1:13" s="53" customFormat="1" ht="59.25" customHeight="1">
      <c r="A22" s="54">
        <v>9</v>
      </c>
      <c r="B22" s="70" t="s">
        <v>73</v>
      </c>
      <c r="C22" s="70"/>
      <c r="D22" s="56">
        <f>D21</f>
        <v>0</v>
      </c>
      <c r="E22" s="56">
        <f t="shared" ref="E22:H22" si="1">E21</f>
        <v>1.657365260556861</v>
      </c>
      <c r="F22" s="56">
        <f t="shared" si="1"/>
        <v>2.5043509468475134</v>
      </c>
      <c r="G22" s="56">
        <f t="shared" si="1"/>
        <v>0.16550308891249549</v>
      </c>
      <c r="H22" s="56">
        <f t="shared" si="1"/>
        <v>0</v>
      </c>
      <c r="I22" s="64">
        <f>SUM(D22:H22)</f>
        <v>4.3272192963168701</v>
      </c>
      <c r="J22" s="58">
        <f>(I22-D22)*1.2+D22</f>
        <v>5.1926631555802443</v>
      </c>
      <c r="K22" s="73">
        <v>2021</v>
      </c>
      <c r="L22" s="71"/>
      <c r="M22" s="72"/>
    </row>
  </sheetData>
  <mergeCells count="16">
    <mergeCell ref="A13:A19"/>
    <mergeCell ref="B13:B19"/>
    <mergeCell ref="L5:L7"/>
    <mergeCell ref="M5:M7"/>
    <mergeCell ref="D6:D7"/>
    <mergeCell ref="E6:E7"/>
    <mergeCell ref="F6:F7"/>
    <mergeCell ref="G6:G7"/>
    <mergeCell ref="H6:H7"/>
    <mergeCell ref="I6:I7"/>
    <mergeCell ref="B2:J2"/>
    <mergeCell ref="A5:A7"/>
    <mergeCell ref="B5:B7"/>
    <mergeCell ref="C5:C7"/>
    <mergeCell ref="E5:I5"/>
    <mergeCell ref="J5:J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M22"/>
  <sheetViews>
    <sheetView topLeftCell="A10" workbookViewId="0">
      <selection activeCell="D20" sqref="D20"/>
    </sheetView>
  </sheetViews>
  <sheetFormatPr defaultRowHeight="12.75"/>
  <cols>
    <col min="1" max="1" width="8" style="51" customWidth="1"/>
    <col min="2" max="2" width="33.140625" style="51" customWidth="1"/>
    <col min="3" max="3" width="16.7109375" style="51" customWidth="1"/>
    <col min="4" max="4" width="9.28515625" style="51" bestFit="1" customWidth="1"/>
    <col min="5" max="5" width="10" style="51" customWidth="1"/>
    <col min="6" max="6" width="10.28515625" style="51" bestFit="1" customWidth="1"/>
    <col min="7" max="8" width="9.28515625" style="51" bestFit="1" customWidth="1"/>
    <col min="9" max="9" width="13.140625" style="51" customWidth="1"/>
    <col min="10" max="10" width="12.5703125" style="51" customWidth="1"/>
    <col min="11" max="11" width="11" style="51" customWidth="1"/>
    <col min="12" max="12" width="15.85546875" style="51" customWidth="1"/>
    <col min="13" max="13" width="13.42578125" style="51" customWidth="1"/>
    <col min="14" max="16384" width="9.140625" style="51"/>
  </cols>
  <sheetData>
    <row r="2" spans="1:13" ht="23.25" customHeight="1">
      <c r="A2" s="50" t="s">
        <v>74</v>
      </c>
      <c r="B2" s="97" t="s">
        <v>78</v>
      </c>
      <c r="C2" s="97"/>
      <c r="D2" s="97"/>
      <c r="E2" s="97"/>
      <c r="F2" s="97"/>
      <c r="G2" s="97"/>
      <c r="H2" s="97"/>
      <c r="I2" s="97"/>
      <c r="J2" s="97"/>
    </row>
    <row r="5" spans="1:13" s="53" customFormat="1" ht="18" customHeight="1">
      <c r="A5" s="98" t="s">
        <v>45</v>
      </c>
      <c r="B5" s="98" t="s">
        <v>46</v>
      </c>
      <c r="C5" s="98" t="s">
        <v>47</v>
      </c>
      <c r="D5" s="52"/>
      <c r="E5" s="101" t="s">
        <v>48</v>
      </c>
      <c r="F5" s="102"/>
      <c r="G5" s="102"/>
      <c r="H5" s="102"/>
      <c r="I5" s="103"/>
      <c r="J5" s="104" t="s">
        <v>49</v>
      </c>
      <c r="L5" s="108" t="s">
        <v>50</v>
      </c>
      <c r="M5" s="108" t="s">
        <v>51</v>
      </c>
    </row>
    <row r="6" spans="1:13" s="53" customFormat="1" ht="22.5" customHeight="1">
      <c r="A6" s="99"/>
      <c r="B6" s="99"/>
      <c r="C6" s="99"/>
      <c r="D6" s="109" t="s">
        <v>40</v>
      </c>
      <c r="E6" s="109" t="s">
        <v>41</v>
      </c>
      <c r="F6" s="111" t="s">
        <v>42</v>
      </c>
      <c r="G6" s="109" t="s">
        <v>43</v>
      </c>
      <c r="H6" s="109" t="s">
        <v>44</v>
      </c>
      <c r="I6" s="109" t="s">
        <v>52</v>
      </c>
      <c r="J6" s="104"/>
      <c r="L6" s="108"/>
      <c r="M6" s="108"/>
    </row>
    <row r="7" spans="1:13" s="53" customFormat="1" ht="20.25" customHeight="1">
      <c r="A7" s="100"/>
      <c r="B7" s="100"/>
      <c r="C7" s="100"/>
      <c r="D7" s="110"/>
      <c r="E7" s="110"/>
      <c r="F7" s="112"/>
      <c r="G7" s="110"/>
      <c r="H7" s="110"/>
      <c r="I7" s="110"/>
      <c r="J7" s="104"/>
      <c r="L7" s="108"/>
      <c r="M7" s="108"/>
    </row>
    <row r="8" spans="1:13" s="53" customFormat="1" ht="33.75" customHeight="1">
      <c r="A8" s="54">
        <v>1</v>
      </c>
      <c r="B8" s="54" t="s">
        <v>53</v>
      </c>
      <c r="C8" s="54"/>
      <c r="D8" s="55">
        <v>0</v>
      </c>
      <c r="E8" s="56">
        <f>'ССР общий на 2 квартал 2018'!E19*1.02/1000</f>
        <v>0.44338379999999999</v>
      </c>
      <c r="F8" s="56">
        <f>'ССР общий на 2 квартал 2018'!F19*1.02/1000</f>
        <v>0.60829056880733934</v>
      </c>
      <c r="G8" s="56">
        <f>'ССР общий на 2 квартал 2018'!G25*1.02/1000</f>
        <v>4.2066974752293582E-2</v>
      </c>
      <c r="H8" s="56">
        <v>0</v>
      </c>
      <c r="I8" s="57">
        <f>SUM(D8:H8)</f>
        <v>1.0937413435596328</v>
      </c>
      <c r="J8" s="58">
        <f>I8*1.18</f>
        <v>1.2906147854003667</v>
      </c>
      <c r="K8" s="59"/>
      <c r="L8" s="54">
        <v>2022</v>
      </c>
      <c r="M8" s="54">
        <v>2022</v>
      </c>
    </row>
    <row r="9" spans="1:13" s="53" customFormat="1" ht="60" customHeight="1">
      <c r="A9" s="54">
        <v>2</v>
      </c>
      <c r="B9" s="54" t="s">
        <v>54</v>
      </c>
      <c r="C9" s="60"/>
      <c r="D9" s="56">
        <v>3.83</v>
      </c>
      <c r="E9" s="56">
        <v>6.63</v>
      </c>
      <c r="F9" s="56">
        <v>4.46</v>
      </c>
      <c r="G9" s="56">
        <v>13.56</v>
      </c>
      <c r="H9" s="56">
        <v>8.7899999999999991</v>
      </c>
      <c r="I9" s="61"/>
      <c r="J9" s="62"/>
    </row>
    <row r="10" spans="1:13" s="53" customFormat="1" ht="33" customHeight="1">
      <c r="A10" s="54">
        <v>3</v>
      </c>
      <c r="B10" s="60" t="s">
        <v>55</v>
      </c>
      <c r="C10" s="60" t="s">
        <v>56</v>
      </c>
      <c r="D10" s="63">
        <f>D8/D9</f>
        <v>0</v>
      </c>
      <c r="E10" s="63">
        <f>E8/E9</f>
        <v>6.6875384615384614E-2</v>
      </c>
      <c r="F10" s="63">
        <f>F8/F9</f>
        <v>0.13638801991195951</v>
      </c>
      <c r="G10" s="63">
        <f>G8/G9</f>
        <v>3.102284273767963E-3</v>
      </c>
      <c r="H10" s="63">
        <f>H8/H9</f>
        <v>0</v>
      </c>
      <c r="I10" s="64">
        <f>SUM(D10:H10)</f>
        <v>0.20636568880111208</v>
      </c>
      <c r="J10" s="58">
        <f>I10*1.2</f>
        <v>0.24763882656133449</v>
      </c>
    </row>
    <row r="11" spans="1:13" s="53" customFormat="1" ht="47.25" customHeight="1">
      <c r="A11" s="54">
        <v>4</v>
      </c>
      <c r="B11" s="54" t="s">
        <v>57</v>
      </c>
      <c r="C11" s="54" t="s">
        <v>58</v>
      </c>
      <c r="D11" s="65">
        <v>3.99</v>
      </c>
      <c r="E11" s="65">
        <v>6.55</v>
      </c>
      <c r="F11" s="65">
        <v>4.4400000000000004</v>
      </c>
      <c r="G11" s="65">
        <v>13.38</v>
      </c>
      <c r="H11" s="65">
        <v>8.74</v>
      </c>
      <c r="I11" s="61"/>
      <c r="J11" s="62"/>
    </row>
    <row r="12" spans="1:13" s="53" customFormat="1" ht="31.5" customHeight="1">
      <c r="A12" s="54">
        <v>5</v>
      </c>
      <c r="B12" s="54" t="s">
        <v>59</v>
      </c>
      <c r="C12" s="54" t="s">
        <v>60</v>
      </c>
      <c r="D12" s="65">
        <f>D10*D11</f>
        <v>0</v>
      </c>
      <c r="E12" s="65">
        <f>E10*E11</f>
        <v>0.4380337692307692</v>
      </c>
      <c r="F12" s="65">
        <f>F10*F11</f>
        <v>0.60556280840910026</v>
      </c>
      <c r="G12" s="65">
        <f t="shared" ref="G12:H12" si="0">G10*G11</f>
        <v>4.150856358301535E-2</v>
      </c>
      <c r="H12" s="65">
        <f t="shared" si="0"/>
        <v>0</v>
      </c>
      <c r="I12" s="64">
        <f>SUM(D12:H12)</f>
        <v>1.0851051412228847</v>
      </c>
      <c r="J12" s="58">
        <f>I12*1.18</f>
        <v>1.2804240666430038</v>
      </c>
    </row>
    <row r="13" spans="1:13" s="53" customFormat="1" ht="15.75" customHeight="1">
      <c r="A13" s="105">
        <v>6</v>
      </c>
      <c r="B13" s="105" t="s">
        <v>61</v>
      </c>
      <c r="C13" s="66" t="s">
        <v>62</v>
      </c>
      <c r="D13" s="67">
        <v>1.0489999999999999</v>
      </c>
      <c r="E13" s="67">
        <v>1.0489999999999999</v>
      </c>
      <c r="F13" s="67">
        <v>1.0489999999999999</v>
      </c>
      <c r="G13" s="67">
        <v>1.0489999999999999</v>
      </c>
      <c r="H13" s="67">
        <v>1.0489999999999999</v>
      </c>
      <c r="I13" s="61"/>
      <c r="J13" s="61"/>
    </row>
    <row r="14" spans="1:13" s="53" customFormat="1">
      <c r="A14" s="106"/>
      <c r="B14" s="106"/>
      <c r="C14" s="66" t="s">
        <v>63</v>
      </c>
      <c r="D14" s="67">
        <v>1.05</v>
      </c>
      <c r="E14" s="67">
        <v>1.05</v>
      </c>
      <c r="F14" s="67">
        <v>1.05</v>
      </c>
      <c r="G14" s="67">
        <v>1.05</v>
      </c>
      <c r="H14" s="67">
        <v>1.05</v>
      </c>
      <c r="I14" s="61"/>
      <c r="J14" s="61"/>
    </row>
    <row r="15" spans="1:13" s="53" customFormat="1">
      <c r="A15" s="106"/>
      <c r="B15" s="106"/>
      <c r="C15" s="66" t="s">
        <v>64</v>
      </c>
      <c r="D15" s="67">
        <v>1.044</v>
      </c>
      <c r="E15" s="67">
        <v>1.044</v>
      </c>
      <c r="F15" s="67">
        <v>1.044</v>
      </c>
      <c r="G15" s="67">
        <v>1.044</v>
      </c>
      <c r="H15" s="67">
        <v>1.044</v>
      </c>
      <c r="I15" s="61"/>
      <c r="J15" s="61"/>
    </row>
    <row r="16" spans="1:13" s="53" customFormat="1">
      <c r="A16" s="106"/>
      <c r="B16" s="106"/>
      <c r="C16" s="66" t="s">
        <v>65</v>
      </c>
      <c r="D16" s="67">
        <v>1.042</v>
      </c>
      <c r="E16" s="67">
        <v>1.042</v>
      </c>
      <c r="F16" s="67">
        <v>1.042</v>
      </c>
      <c r="G16" s="67">
        <v>1.042</v>
      </c>
      <c r="H16" s="67">
        <v>1.042</v>
      </c>
      <c r="I16" s="61"/>
      <c r="J16" s="61"/>
    </row>
    <row r="17" spans="1:13" s="53" customFormat="1">
      <c r="A17" s="106"/>
      <c r="B17" s="106"/>
      <c r="C17" s="66" t="s">
        <v>66</v>
      </c>
      <c r="D17" s="67">
        <v>1.0429999999999999</v>
      </c>
      <c r="E17" s="67">
        <v>1.0429999999999999</v>
      </c>
      <c r="F17" s="67">
        <v>1.0429999999999999</v>
      </c>
      <c r="G17" s="67">
        <v>1.0429999999999999</v>
      </c>
      <c r="H17" s="67">
        <v>1.0429999999999999</v>
      </c>
      <c r="I17" s="61"/>
      <c r="J17" s="61"/>
    </row>
    <row r="18" spans="1:13" s="53" customFormat="1">
      <c r="A18" s="106"/>
      <c r="B18" s="106"/>
      <c r="C18" s="66" t="s">
        <v>67</v>
      </c>
      <c r="D18" s="67">
        <v>1.044</v>
      </c>
      <c r="E18" s="67">
        <v>1.044</v>
      </c>
      <c r="F18" s="67">
        <v>1.044</v>
      </c>
      <c r="G18" s="67">
        <v>1.044</v>
      </c>
      <c r="H18" s="67">
        <v>1.044</v>
      </c>
      <c r="I18" s="61"/>
      <c r="J18" s="61"/>
    </row>
    <row r="19" spans="1:13" s="53" customFormat="1">
      <c r="A19" s="107"/>
      <c r="B19" s="107"/>
      <c r="C19" s="66" t="s">
        <v>68</v>
      </c>
      <c r="D19" s="67">
        <v>1.044</v>
      </c>
      <c r="E19" s="67">
        <v>1.044</v>
      </c>
      <c r="F19" s="67">
        <v>1.044</v>
      </c>
      <c r="G19" s="67">
        <v>1.044</v>
      </c>
      <c r="H19" s="67">
        <v>1.044</v>
      </c>
      <c r="I19" s="61"/>
      <c r="J19" s="61"/>
    </row>
    <row r="20" spans="1:13" s="53" customFormat="1" ht="59.25" customHeight="1">
      <c r="A20" s="54">
        <v>7</v>
      </c>
      <c r="B20" s="54" t="s">
        <v>69</v>
      </c>
      <c r="C20" s="54" t="s">
        <v>70</v>
      </c>
      <c r="D20" s="68">
        <f>D13*D14*D15*D16*D17</f>
        <v>1.2497332173228</v>
      </c>
      <c r="E20" s="68">
        <f>E13*E14*E15*E16*E17</f>
        <v>1.2497332173228</v>
      </c>
      <c r="F20" s="68">
        <f>F13*F14*F15*F16*F17</f>
        <v>1.2497332173228</v>
      </c>
      <c r="G20" s="68">
        <f>G13*G14*G15*G16*G17</f>
        <v>1.2497332173228</v>
      </c>
      <c r="H20" s="68">
        <f>H13*H14*H15*H16*H17</f>
        <v>1.2497332173228</v>
      </c>
      <c r="I20" s="61"/>
      <c r="J20" s="61"/>
    </row>
    <row r="21" spans="1:13" s="53" customFormat="1" ht="27" customHeight="1">
      <c r="A21" s="54">
        <v>8</v>
      </c>
      <c r="B21" s="54" t="s">
        <v>71</v>
      </c>
      <c r="C21" s="54" t="s">
        <v>72</v>
      </c>
      <c r="D21" s="69">
        <f>D12*D20</f>
        <v>0</v>
      </c>
      <c r="E21" s="69">
        <f>E12*E20</f>
        <v>0.54742535171680207</v>
      </c>
      <c r="F21" s="69">
        <f>F12*F20</f>
        <v>0.75679195684413514</v>
      </c>
      <c r="G21" s="69">
        <f>G12*G20</f>
        <v>5.1874630713049784E-2</v>
      </c>
      <c r="H21" s="69">
        <f>H12*H20</f>
        <v>0</v>
      </c>
      <c r="I21" s="64">
        <f>SUM(D21:H21)</f>
        <v>1.356091939273987</v>
      </c>
      <c r="J21" s="58">
        <f>(I21-D21)*1.2+D21</f>
        <v>1.6273103271287843</v>
      </c>
    </row>
    <row r="22" spans="1:13" s="53" customFormat="1" ht="59.25" customHeight="1">
      <c r="A22" s="54">
        <v>9</v>
      </c>
      <c r="B22" s="70" t="s">
        <v>73</v>
      </c>
      <c r="C22" s="70"/>
      <c r="D22" s="56">
        <f>D21</f>
        <v>0</v>
      </c>
      <c r="E22" s="56">
        <f t="shared" ref="E22:H22" si="1">E21</f>
        <v>0.54742535171680207</v>
      </c>
      <c r="F22" s="56">
        <f t="shared" si="1"/>
        <v>0.75679195684413514</v>
      </c>
      <c r="G22" s="56">
        <f t="shared" si="1"/>
        <v>5.1874630713049784E-2</v>
      </c>
      <c r="H22" s="56">
        <f t="shared" si="1"/>
        <v>0</v>
      </c>
      <c r="I22" s="64">
        <f>SUM(D22:H22)</f>
        <v>1.356091939273987</v>
      </c>
      <c r="J22" s="58">
        <f>(I22-D22)*1.2+D22</f>
        <v>1.6273103271287843</v>
      </c>
      <c r="K22" s="73">
        <v>2022</v>
      </c>
      <c r="L22" s="71"/>
      <c r="M22" s="72"/>
    </row>
  </sheetData>
  <mergeCells count="16">
    <mergeCell ref="A13:A19"/>
    <mergeCell ref="B13:B19"/>
    <mergeCell ref="L5:L7"/>
    <mergeCell ref="M5:M7"/>
    <mergeCell ref="D6:D7"/>
    <mergeCell ref="E6:E7"/>
    <mergeCell ref="F6:F7"/>
    <mergeCell ref="G6:G7"/>
    <mergeCell ref="H6:H7"/>
    <mergeCell ref="I6:I7"/>
    <mergeCell ref="B2:J2"/>
    <mergeCell ref="A5:A7"/>
    <mergeCell ref="B5:B7"/>
    <mergeCell ref="C5:C7"/>
    <mergeCell ref="E5:I5"/>
    <mergeCell ref="J5:J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M23"/>
  <sheetViews>
    <sheetView tabSelected="1" topLeftCell="A4" workbookViewId="0">
      <selection activeCell="J20" sqref="J20:J23"/>
    </sheetView>
  </sheetViews>
  <sheetFormatPr defaultRowHeight="12.75"/>
  <cols>
    <col min="1" max="1" width="8" style="51" customWidth="1"/>
    <col min="2" max="2" width="33.140625" style="51" customWidth="1"/>
    <col min="3" max="3" width="16.7109375" style="51" customWidth="1"/>
    <col min="4" max="4" width="9.28515625" style="51" bestFit="1" customWidth="1"/>
    <col min="5" max="5" width="10" style="51" customWidth="1"/>
    <col min="6" max="6" width="10.28515625" style="51" bestFit="1" customWidth="1"/>
    <col min="7" max="8" width="9.28515625" style="51" bestFit="1" customWidth="1"/>
    <col min="9" max="9" width="13.140625" style="51" customWidth="1"/>
    <col min="10" max="10" width="12.5703125" style="51" customWidth="1"/>
    <col min="11" max="11" width="11" style="51" customWidth="1"/>
    <col min="12" max="12" width="15.85546875" style="51" customWidth="1"/>
    <col min="13" max="13" width="13.42578125" style="51" customWidth="1"/>
    <col min="14" max="16384" width="9.140625" style="51"/>
  </cols>
  <sheetData>
    <row r="2" spans="1:13" ht="21" customHeight="1">
      <c r="A2" s="50" t="s">
        <v>74</v>
      </c>
      <c r="B2" s="97" t="s">
        <v>79</v>
      </c>
      <c r="C2" s="97"/>
      <c r="D2" s="97"/>
      <c r="E2" s="97"/>
      <c r="F2" s="97"/>
      <c r="G2" s="97"/>
      <c r="H2" s="97"/>
      <c r="I2" s="97"/>
      <c r="J2" s="97"/>
    </row>
    <row r="5" spans="1:13" s="53" customFormat="1" ht="18" customHeight="1">
      <c r="A5" s="98" t="s">
        <v>45</v>
      </c>
      <c r="B5" s="98" t="s">
        <v>46</v>
      </c>
      <c r="C5" s="98" t="s">
        <v>47</v>
      </c>
      <c r="D5" s="52"/>
      <c r="E5" s="101" t="s">
        <v>48</v>
      </c>
      <c r="F5" s="102"/>
      <c r="G5" s="102"/>
      <c r="H5" s="102"/>
      <c r="I5" s="103"/>
      <c r="J5" s="104" t="s">
        <v>49</v>
      </c>
      <c r="L5" s="108" t="s">
        <v>50</v>
      </c>
      <c r="M5" s="108" t="s">
        <v>51</v>
      </c>
    </row>
    <row r="6" spans="1:13" s="53" customFormat="1" ht="22.5" customHeight="1">
      <c r="A6" s="99"/>
      <c r="B6" s="99"/>
      <c r="C6" s="99"/>
      <c r="D6" s="109" t="s">
        <v>40</v>
      </c>
      <c r="E6" s="109" t="s">
        <v>41</v>
      </c>
      <c r="F6" s="111" t="s">
        <v>42</v>
      </c>
      <c r="G6" s="109" t="s">
        <v>43</v>
      </c>
      <c r="H6" s="109" t="s">
        <v>44</v>
      </c>
      <c r="I6" s="109" t="s">
        <v>52</v>
      </c>
      <c r="J6" s="104"/>
      <c r="L6" s="108"/>
      <c r="M6" s="108"/>
    </row>
    <row r="7" spans="1:13" s="53" customFormat="1" ht="20.25" customHeight="1">
      <c r="A7" s="100"/>
      <c r="B7" s="100"/>
      <c r="C7" s="100"/>
      <c r="D7" s="110"/>
      <c r="E7" s="110"/>
      <c r="F7" s="112"/>
      <c r="G7" s="110"/>
      <c r="H7" s="110"/>
      <c r="I7" s="110"/>
      <c r="J7" s="104"/>
      <c r="L7" s="108"/>
      <c r="M7" s="108"/>
    </row>
    <row r="8" spans="1:13" s="53" customFormat="1" ht="33.75" customHeight="1">
      <c r="A8" s="54">
        <v>1</v>
      </c>
      <c r="B8" s="54" t="s">
        <v>53</v>
      </c>
      <c r="C8" s="54"/>
      <c r="D8" s="55">
        <v>0</v>
      </c>
      <c r="E8" s="56">
        <f>'ССР общий на 2 квартал 2018'!E29/1000</f>
        <v>3.37894278</v>
      </c>
      <c r="F8" s="56">
        <f>'ССР общий на 2 квартал 2018'!F29/1000</f>
        <v>5.3239068440366974</v>
      </c>
      <c r="G8" s="56">
        <f>'ССР общий на 2 квартал 2018'!G29/1000</f>
        <v>0.34811398496146784</v>
      </c>
      <c r="H8" s="56">
        <v>0</v>
      </c>
      <c r="I8" s="57">
        <f>SUM(D8:H8)</f>
        <v>9.0509636089981669</v>
      </c>
      <c r="J8" s="58">
        <f>I8*1.18</f>
        <v>10.680137058617836</v>
      </c>
      <c r="K8" s="59"/>
      <c r="L8" s="54">
        <v>2020</v>
      </c>
      <c r="M8" s="54">
        <v>2022</v>
      </c>
    </row>
    <row r="9" spans="1:13" s="53" customFormat="1" ht="60" customHeight="1">
      <c r="A9" s="54">
        <v>2</v>
      </c>
      <c r="B9" s="54" t="s">
        <v>54</v>
      </c>
      <c r="C9" s="60"/>
      <c r="D9" s="56">
        <v>3.83</v>
      </c>
      <c r="E9" s="56">
        <v>6.63</v>
      </c>
      <c r="F9" s="56">
        <v>4.46</v>
      </c>
      <c r="G9" s="56">
        <v>13.56</v>
      </c>
      <c r="H9" s="56">
        <v>8.7899999999999991</v>
      </c>
      <c r="I9" s="61"/>
      <c r="J9" s="62"/>
    </row>
    <row r="10" spans="1:13" s="53" customFormat="1" ht="33" customHeight="1">
      <c r="A10" s="54">
        <v>3</v>
      </c>
      <c r="B10" s="60" t="s">
        <v>55</v>
      </c>
      <c r="C10" s="60" t="s">
        <v>56</v>
      </c>
      <c r="D10" s="63">
        <f>D8/D9</f>
        <v>0</v>
      </c>
      <c r="E10" s="63">
        <f>E8/E9</f>
        <v>0.50964446153846155</v>
      </c>
      <c r="F10" s="63">
        <f>F8/F9</f>
        <v>1.1937010861068829</v>
      </c>
      <c r="G10" s="63">
        <f>G8/G9</f>
        <v>2.5672122784769012E-2</v>
      </c>
      <c r="H10" s="63">
        <f>H8/H9</f>
        <v>0</v>
      </c>
      <c r="I10" s="64">
        <f>SUM(D10:H10)</f>
        <v>1.7290176704301132</v>
      </c>
      <c r="J10" s="58">
        <f>I10*1.2</f>
        <v>2.0748212045161356</v>
      </c>
    </row>
    <row r="11" spans="1:13" s="53" customFormat="1" ht="47.25" customHeight="1">
      <c r="A11" s="54">
        <v>4</v>
      </c>
      <c r="B11" s="54" t="s">
        <v>57</v>
      </c>
      <c r="C11" s="54" t="s">
        <v>58</v>
      </c>
      <c r="D11" s="65">
        <v>3.99</v>
      </c>
      <c r="E11" s="65">
        <v>6.55</v>
      </c>
      <c r="F11" s="65">
        <v>4.4400000000000004</v>
      </c>
      <c r="G11" s="65">
        <v>13.38</v>
      </c>
      <c r="H11" s="65">
        <v>8.74</v>
      </c>
      <c r="I11" s="61"/>
      <c r="J11" s="62"/>
    </row>
    <row r="12" spans="1:13" s="53" customFormat="1" ht="31.5" customHeight="1">
      <c r="A12" s="54">
        <v>5</v>
      </c>
      <c r="B12" s="54" t="s">
        <v>59</v>
      </c>
      <c r="C12" s="54" t="s">
        <v>60</v>
      </c>
      <c r="D12" s="65">
        <f>D10*D11</f>
        <v>0</v>
      </c>
      <c r="E12" s="65">
        <f>E10*E11</f>
        <v>3.3381712230769232</v>
      </c>
      <c r="F12" s="65">
        <f>F10*F11</f>
        <v>5.3000328223145603</v>
      </c>
      <c r="G12" s="65">
        <f t="shared" ref="G12:H12" si="0">G10*G11</f>
        <v>0.3434930028602094</v>
      </c>
      <c r="H12" s="65">
        <f t="shared" si="0"/>
        <v>0</v>
      </c>
      <c r="I12" s="64">
        <f>SUM(D12:H12)</f>
        <v>8.9816970482516911</v>
      </c>
      <c r="J12" s="58">
        <f>I12*1.18</f>
        <v>10.598402516936995</v>
      </c>
    </row>
    <row r="13" spans="1:13" s="53" customFormat="1" ht="15.75" customHeight="1">
      <c r="A13" s="105">
        <v>6</v>
      </c>
      <c r="B13" s="105" t="s">
        <v>61</v>
      </c>
      <c r="C13" s="66" t="s">
        <v>62</v>
      </c>
      <c r="D13" s="67">
        <v>1.0489999999999999</v>
      </c>
      <c r="E13" s="67">
        <v>1.0489999999999999</v>
      </c>
      <c r="F13" s="67">
        <v>1.0489999999999999</v>
      </c>
      <c r="G13" s="67">
        <v>1.0489999999999999</v>
      </c>
      <c r="H13" s="67">
        <v>1.0489999999999999</v>
      </c>
      <c r="I13" s="61"/>
      <c r="J13" s="61"/>
    </row>
    <row r="14" spans="1:13" s="53" customFormat="1">
      <c r="A14" s="106"/>
      <c r="B14" s="106"/>
      <c r="C14" s="66" t="s">
        <v>63</v>
      </c>
      <c r="D14" s="67">
        <v>1.05</v>
      </c>
      <c r="E14" s="67">
        <v>1.05</v>
      </c>
      <c r="F14" s="67">
        <v>1.05</v>
      </c>
      <c r="G14" s="67">
        <v>1.05</v>
      </c>
      <c r="H14" s="67">
        <v>1.05</v>
      </c>
      <c r="I14" s="61"/>
      <c r="J14" s="61"/>
    </row>
    <row r="15" spans="1:13" s="53" customFormat="1">
      <c r="A15" s="106"/>
      <c r="B15" s="106"/>
      <c r="C15" s="66" t="s">
        <v>64</v>
      </c>
      <c r="D15" s="67">
        <v>1.044</v>
      </c>
      <c r="E15" s="67">
        <v>1.044</v>
      </c>
      <c r="F15" s="67">
        <v>1.044</v>
      </c>
      <c r="G15" s="67">
        <v>1.044</v>
      </c>
      <c r="H15" s="67">
        <v>1.044</v>
      </c>
      <c r="I15" s="61"/>
      <c r="J15" s="61"/>
    </row>
    <row r="16" spans="1:13" s="53" customFormat="1">
      <c r="A16" s="106"/>
      <c r="B16" s="106"/>
      <c r="C16" s="66" t="s">
        <v>65</v>
      </c>
      <c r="D16" s="67">
        <v>1.042</v>
      </c>
      <c r="E16" s="67">
        <v>1.042</v>
      </c>
      <c r="F16" s="67">
        <v>1.042</v>
      </c>
      <c r="G16" s="67">
        <v>1.042</v>
      </c>
      <c r="H16" s="67">
        <v>1.042</v>
      </c>
      <c r="I16" s="61"/>
      <c r="J16" s="61"/>
    </row>
    <row r="17" spans="1:13" s="53" customFormat="1">
      <c r="A17" s="106"/>
      <c r="B17" s="106"/>
      <c r="C17" s="66" t="s">
        <v>66</v>
      </c>
      <c r="D17" s="67">
        <v>1.0429999999999999</v>
      </c>
      <c r="E17" s="67">
        <v>1.0429999999999999</v>
      </c>
      <c r="F17" s="67">
        <v>1.0429999999999999</v>
      </c>
      <c r="G17" s="67">
        <v>1.0429999999999999</v>
      </c>
      <c r="H17" s="67">
        <v>1.0429999999999999</v>
      </c>
      <c r="I17" s="61"/>
      <c r="J17" s="61"/>
    </row>
    <row r="18" spans="1:13" s="53" customFormat="1">
      <c r="A18" s="106"/>
      <c r="B18" s="106"/>
      <c r="C18" s="66" t="s">
        <v>67</v>
      </c>
      <c r="D18" s="67">
        <v>1.044</v>
      </c>
      <c r="E18" s="67">
        <v>1.044</v>
      </c>
      <c r="F18" s="67">
        <v>1.044</v>
      </c>
      <c r="G18" s="67">
        <v>1.044</v>
      </c>
      <c r="H18" s="67">
        <v>1.044</v>
      </c>
      <c r="I18" s="61"/>
      <c r="J18" s="61"/>
    </row>
    <row r="19" spans="1:13" s="53" customFormat="1">
      <c r="A19" s="107"/>
      <c r="B19" s="107"/>
      <c r="C19" s="66" t="s">
        <v>68</v>
      </c>
      <c r="D19" s="67">
        <v>1.044</v>
      </c>
      <c r="E19" s="67">
        <v>1.044</v>
      </c>
      <c r="F19" s="67">
        <v>1.044</v>
      </c>
      <c r="G19" s="67">
        <v>1.044</v>
      </c>
      <c r="H19" s="67">
        <v>1.044</v>
      </c>
      <c r="I19" s="61"/>
      <c r="J19" s="61"/>
    </row>
    <row r="20" spans="1:13" s="53" customFormat="1" ht="64.5" customHeight="1">
      <c r="A20" s="54">
        <v>7</v>
      </c>
      <c r="B20" s="70" t="s">
        <v>80</v>
      </c>
      <c r="C20" s="70"/>
      <c r="D20" s="74">
        <v>0</v>
      </c>
      <c r="E20" s="74">
        <v>1.7443464096744969</v>
      </c>
      <c r="F20" s="74">
        <v>2.994828034204378</v>
      </c>
      <c r="G20" s="74">
        <v>0.18842393503861474</v>
      </c>
      <c r="H20" s="74">
        <v>0</v>
      </c>
      <c r="I20" s="58">
        <v>4.92759837891749</v>
      </c>
      <c r="J20" s="58">
        <v>5.9131180547009876</v>
      </c>
    </row>
    <row r="21" spans="1:13" s="53" customFormat="1" ht="69.75" customHeight="1">
      <c r="A21" s="54">
        <v>8</v>
      </c>
      <c r="B21" s="70" t="s">
        <v>81</v>
      </c>
      <c r="C21" s="70"/>
      <c r="D21" s="75">
        <v>0</v>
      </c>
      <c r="E21" s="75">
        <v>1.657365260556861</v>
      </c>
      <c r="F21" s="75">
        <v>2.5043509468475134</v>
      </c>
      <c r="G21" s="75">
        <v>0.16550308891249549</v>
      </c>
      <c r="H21" s="75">
        <v>0</v>
      </c>
      <c r="I21" s="64">
        <v>4.3272192963168701</v>
      </c>
      <c r="J21" s="58">
        <v>5.1926631555802443</v>
      </c>
    </row>
    <row r="22" spans="1:13" s="53" customFormat="1" ht="71.25" customHeight="1">
      <c r="A22" s="54">
        <v>9</v>
      </c>
      <c r="B22" s="70" t="s">
        <v>82</v>
      </c>
      <c r="C22" s="70"/>
      <c r="D22" s="76">
        <v>0</v>
      </c>
      <c r="E22" s="76">
        <v>0.54742535171680207</v>
      </c>
      <c r="F22" s="76">
        <v>0.75679195684413514</v>
      </c>
      <c r="G22" s="76">
        <v>5.1874630713049784E-2</v>
      </c>
      <c r="H22" s="76">
        <v>0</v>
      </c>
      <c r="I22" s="64">
        <v>1.356091939273987</v>
      </c>
      <c r="J22" s="58">
        <v>1.6273103271287843</v>
      </c>
      <c r="L22" s="71"/>
      <c r="M22" s="72"/>
    </row>
    <row r="23" spans="1:13">
      <c r="I23" s="113">
        <f>SUM(I20:I22)</f>
        <v>10.610909614508348</v>
      </c>
      <c r="J23" s="113">
        <f>SUM(J20:J22)</f>
        <v>12.733091537410017</v>
      </c>
    </row>
  </sheetData>
  <mergeCells count="16">
    <mergeCell ref="A13:A19"/>
    <mergeCell ref="B13:B19"/>
    <mergeCell ref="L5:L7"/>
    <mergeCell ref="M5:M7"/>
    <mergeCell ref="D6:D7"/>
    <mergeCell ref="E6:E7"/>
    <mergeCell ref="F6:F7"/>
    <mergeCell ref="G6:G7"/>
    <mergeCell ref="H6:H7"/>
    <mergeCell ref="I6:I7"/>
    <mergeCell ref="B2:J2"/>
    <mergeCell ref="A5:A7"/>
    <mergeCell ref="B5:B7"/>
    <mergeCell ref="C5:C7"/>
    <mergeCell ref="E5:I5"/>
    <mergeCell ref="J5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ССР общий на 2 квартал 2018</vt:lpstr>
      <vt:lpstr>сводка затрат ТП-1006</vt:lpstr>
      <vt:lpstr>сводка затрат ТП-1015</vt:lpstr>
      <vt:lpstr>сводка затрат ТП-810</vt:lpstr>
      <vt:lpstr>сводка общая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V</cp:lastModifiedBy>
  <cp:lastPrinted>2019-08-09T14:50:57Z</cp:lastPrinted>
  <dcterms:created xsi:type="dcterms:W3CDTF">2019-08-09T14:24:43Z</dcterms:created>
  <dcterms:modified xsi:type="dcterms:W3CDTF">2019-08-22T07:50:39Z</dcterms:modified>
</cp:coreProperties>
</file>