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K 20-02\K  20-02_паспорт_карта\"/>
    </mc:Choice>
  </mc:AlternateContent>
  <xr:revisionPtr revIDLastSave="0" documentId="13_ncr:1_{62739193-E870-4423-9D63-259E1FE82249}"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1"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ПС'!$A$2:$T$94</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32" l="1"/>
  <c r="D65" i="32"/>
  <c r="D67" i="32"/>
  <c r="B24" i="32"/>
  <c r="J58" i="29"/>
  <c r="O56" i="13"/>
  <c r="B81" i="32"/>
  <c r="B27" i="26"/>
  <c r="A5" i="32"/>
  <c r="S61" i="32"/>
  <c r="B34"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D91" i="32"/>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C91" i="32"/>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D59" i="32"/>
  <c r="C59" i="32"/>
  <c r="B59" i="32"/>
  <c r="AE58" i="32"/>
  <c r="AE80" i="32" s="1"/>
  <c r="AD58" i="32"/>
  <c r="AD80" i="32" s="1"/>
  <c r="AC58" i="32"/>
  <c r="AC80" i="32" s="1"/>
  <c r="AB58" i="32"/>
  <c r="AB80" i="32" s="1"/>
  <c r="AA58" i="32"/>
  <c r="AA80" i="32" s="1"/>
  <c r="Z58" i="32"/>
  <c r="Z80" i="32" s="1"/>
  <c r="Y58" i="32"/>
  <c r="X58" i="32"/>
  <c r="X80" i="32" s="1"/>
  <c r="W58" i="32"/>
  <c r="W80" i="32" s="1"/>
  <c r="V58" i="32"/>
  <c r="V80" i="32" s="1"/>
  <c r="U58" i="32"/>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58" i="32"/>
  <c r="F80" i="32" s="1"/>
  <c r="E58" i="32"/>
  <c r="D58" i="32"/>
  <c r="D80" i="32" s="1"/>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K62" i="32" l="1"/>
  <c r="S62" i="32" s="1"/>
  <c r="B28" i="32"/>
  <c r="I60" i="32" s="1"/>
  <c r="B58" i="32"/>
  <c r="C66" i="32"/>
  <c r="E80" i="32"/>
  <c r="U80" i="32"/>
  <c r="D66" i="32"/>
  <c r="I80" i="32"/>
  <c r="Y80" i="32"/>
  <c r="E28" i="29"/>
  <c r="E29" i="29"/>
  <c r="AA62" i="32" l="1"/>
  <c r="B80" i="32"/>
  <c r="B66" i="32"/>
  <c r="B68" i="32" s="1"/>
  <c r="B70" i="32" s="1"/>
  <c r="R37" i="14"/>
  <c r="B75" i="32" l="1"/>
  <c r="B71" i="32"/>
  <c r="B72" i="32" s="1"/>
  <c r="B78" i="32" l="1"/>
  <c r="C8" i="31"/>
  <c r="E8" i="31"/>
  <c r="E14" i="31"/>
  <c r="C3" i="31"/>
  <c r="C4" i="31"/>
  <c r="C5" i="31"/>
  <c r="C6" i="31"/>
  <c r="C7" i="31"/>
  <c r="C9" i="31"/>
  <c r="C10" i="31"/>
  <c r="C11" i="31"/>
  <c r="C12" i="31"/>
  <c r="C13" i="31"/>
  <c r="C14" i="31"/>
  <c r="C2" i="31"/>
  <c r="C15" i="31" s="1"/>
  <c r="B15" i="31"/>
  <c r="E57" i="29" l="1"/>
  <c r="E52" i="29"/>
  <c r="E27" i="29"/>
  <c r="E50" i="29"/>
  <c r="E42" i="29"/>
  <c r="E26" i="29"/>
  <c r="E31" i="29"/>
  <c r="E32" i="29"/>
  <c r="E34" i="29"/>
  <c r="E33" i="29"/>
  <c r="E25" i="29"/>
  <c r="O27" i="13"/>
  <c r="O28" i="13"/>
  <c r="E30" i="29" l="1"/>
  <c r="E24" i="29"/>
  <c r="B23" i="26"/>
  <c r="B25" i="26"/>
  <c r="O39" i="13"/>
  <c r="O35" i="13"/>
  <c r="B79" i="32" l="1"/>
  <c r="B83" i="32" s="1"/>
  <c r="B88" i="32" s="1"/>
  <c r="D76" i="32"/>
  <c r="C76" i="32"/>
  <c r="C68" i="32"/>
  <c r="C79" i="32" l="1"/>
  <c r="B84" i="32"/>
  <c r="B89" i="32" s="1"/>
  <c r="D68" i="32"/>
  <c r="D70" i="32" s="1"/>
  <c r="D71" i="32" s="1"/>
  <c r="D72" i="32" s="1"/>
  <c r="E67" i="32"/>
  <c r="B86" i="32"/>
  <c r="B87" i="32" s="1"/>
  <c r="B90" i="32" s="1"/>
  <c r="C75" i="32"/>
  <c r="C70" i="32"/>
  <c r="C71" i="32" s="1"/>
  <c r="D79" i="32"/>
  <c r="E45" i="29"/>
  <c r="E76" i="32" l="1"/>
  <c r="E65" i="32"/>
  <c r="E59" i="32" s="1"/>
  <c r="E66" i="32" s="1"/>
  <c r="E68" i="32" s="1"/>
  <c r="E70" i="32" s="1"/>
  <c r="E71" i="32" s="1"/>
  <c r="F67" i="32"/>
  <c r="D75" i="32"/>
  <c r="E79" i="32"/>
  <c r="F76" i="32"/>
  <c r="C72" i="32"/>
  <c r="C78" i="32"/>
  <c r="D78" i="32" s="1"/>
  <c r="I24" i="29"/>
  <c r="F65" i="32" l="1"/>
  <c r="F59" i="32" s="1"/>
  <c r="F66" i="32" s="1"/>
  <c r="F68" i="32" s="1"/>
  <c r="G67" i="32"/>
  <c r="E75" i="32"/>
  <c r="D83" i="32"/>
  <c r="D86" i="32" s="1"/>
  <c r="E78" i="32"/>
  <c r="C83" i="32"/>
  <c r="F75" i="32"/>
  <c r="F70" i="32"/>
  <c r="F71" i="32" s="1"/>
  <c r="F79" i="32"/>
  <c r="E72" i="32"/>
  <c r="H67" i="32"/>
  <c r="G76" i="32"/>
  <c r="G26" i="5"/>
  <c r="D26" i="5"/>
  <c r="G65" i="32" l="1"/>
  <c r="G59" i="32" s="1"/>
  <c r="G66" i="32" s="1"/>
  <c r="G68" i="32" s="1"/>
  <c r="H65" i="32"/>
  <c r="H59" i="32" s="1"/>
  <c r="H66" i="32" s="1"/>
  <c r="E83" i="32"/>
  <c r="E86" i="32" s="1"/>
  <c r="D84" i="32"/>
  <c r="C88" i="32"/>
  <c r="C84" i="32"/>
  <c r="C89" i="32" s="1"/>
  <c r="D88" i="32"/>
  <c r="C86" i="32"/>
  <c r="D87" i="32" s="1"/>
  <c r="F78" i="32"/>
  <c r="F83" i="32" s="1"/>
  <c r="I67" i="32"/>
  <c r="H68" i="32"/>
  <c r="H76" i="32"/>
  <c r="G75" i="32"/>
  <c r="G70" i="32"/>
  <c r="E84" i="32"/>
  <c r="E88" i="32"/>
  <c r="G79" i="32"/>
  <c r="F72" i="32"/>
  <c r="I65" i="32" l="1"/>
  <c r="I59" i="32" s="1"/>
  <c r="I66" i="32" s="1"/>
  <c r="F88" i="32"/>
  <c r="F84" i="32"/>
  <c r="F89" i="32" s="1"/>
  <c r="C87" i="32"/>
  <c r="C90" i="32" s="1"/>
  <c r="F86" i="32"/>
  <c r="F87" i="32" s="1"/>
  <c r="E89" i="32"/>
  <c r="D89" i="32"/>
  <c r="E87" i="32"/>
  <c r="E90" i="32" s="1"/>
  <c r="H79" i="32"/>
  <c r="I79" i="32" s="1"/>
  <c r="H70" i="32"/>
  <c r="H75" i="32"/>
  <c r="G71" i="32"/>
  <c r="G72" i="32" s="1"/>
  <c r="J67" i="32"/>
  <c r="I76" i="32"/>
  <c r="I68" i="32"/>
  <c r="J65" i="32" l="1"/>
  <c r="J59" i="32" s="1"/>
  <c r="J66" i="32" s="1"/>
  <c r="D90" i="32"/>
  <c r="F90" i="32"/>
  <c r="H71" i="32"/>
  <c r="H72" i="32" s="1"/>
  <c r="I70" i="32"/>
  <c r="I75" i="32"/>
  <c r="G78" i="32"/>
  <c r="G83" i="32" s="1"/>
  <c r="J68" i="32"/>
  <c r="J76" i="32"/>
  <c r="K67" i="32"/>
  <c r="J79" i="32"/>
  <c r="K79" i="32" s="1"/>
  <c r="K65" i="32" l="1"/>
  <c r="K59" i="32" s="1"/>
  <c r="K66" i="32" s="1"/>
  <c r="K68" i="32" s="1"/>
  <c r="J75" i="32"/>
  <c r="J70" i="32"/>
  <c r="J71" i="32" s="1"/>
  <c r="J72" i="32" s="1"/>
  <c r="L79" i="32"/>
  <c r="M79" i="32" s="1"/>
  <c r="N79" i="32" s="1"/>
  <c r="O79" i="32" s="1"/>
  <c r="K76" i="32"/>
  <c r="L67" i="32"/>
  <c r="H78" i="32"/>
  <c r="H83" i="32" s="1"/>
  <c r="I71" i="32"/>
  <c r="I72" i="32" s="1"/>
  <c r="G86" i="32"/>
  <c r="G88" i="32"/>
  <c r="G84" i="32"/>
  <c r="G89" i="32" s="1"/>
  <c r="L65" i="32" l="1"/>
  <c r="L59" i="32" s="1"/>
  <c r="L66" i="32" s="1"/>
  <c r="L68" i="32" s="1"/>
  <c r="H86" i="32"/>
  <c r="H87" i="32" s="1"/>
  <c r="G87" i="32"/>
  <c r="G90" i="32" s="1"/>
  <c r="L76" i="32"/>
  <c r="M67" i="32"/>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M65" i="32" l="1"/>
  <c r="M59" i="32" s="1"/>
  <c r="M66" i="32" s="1"/>
  <c r="H90" i="32"/>
  <c r="L75" i="32"/>
  <c r="L70" i="32"/>
  <c r="L71" i="32" s="1"/>
  <c r="I86" i="32"/>
  <c r="I88" i="32"/>
  <c r="I84" i="32"/>
  <c r="I89" i="32" s="1"/>
  <c r="K72" i="32"/>
  <c r="N67" i="32"/>
  <c r="M76" i="32"/>
  <c r="M68" i="32"/>
  <c r="J78" i="32"/>
  <c r="J83" i="32" s="1"/>
  <c r="N65" i="32" l="1"/>
  <c r="N59" i="32" s="1"/>
  <c r="N66" i="32" s="1"/>
  <c r="N68" i="32" s="1"/>
  <c r="O67" i="32"/>
  <c r="N76" i="32"/>
  <c r="K78" i="32"/>
  <c r="K83" i="32" s="1"/>
  <c r="K86" i="32" s="1"/>
  <c r="I87" i="32"/>
  <c r="I90" i="32" s="1"/>
  <c r="L72" i="32"/>
  <c r="J88" i="32"/>
  <c r="M70" i="32"/>
  <c r="M71" i="32" s="1"/>
  <c r="M75" i="32"/>
  <c r="J86" i="32"/>
  <c r="J87" i="32" s="1"/>
  <c r="J84" i="32"/>
  <c r="J89" i="32" s="1"/>
  <c r="O65" i="32" l="1"/>
  <c r="O59" i="32" s="1"/>
  <c r="O66" i="32" s="1"/>
  <c r="K88" i="32"/>
  <c r="J90" i="32"/>
  <c r="L78" i="32"/>
  <c r="L83" i="32" s="1"/>
  <c r="L86" i="32" s="1"/>
  <c r="K84" i="32"/>
  <c r="K89" i="32" s="1"/>
  <c r="K87" i="32"/>
  <c r="K90" i="32" s="1"/>
  <c r="O76" i="32"/>
  <c r="P67" i="32"/>
  <c r="O68" i="32"/>
  <c r="N75" i="32"/>
  <c r="N70" i="32"/>
  <c r="N71" i="32" s="1"/>
  <c r="M72" i="32"/>
  <c r="P65" i="32" l="1"/>
  <c r="P59" i="32" s="1"/>
  <c r="P66" i="32" s="1"/>
  <c r="L88" i="32"/>
  <c r="L87" i="32"/>
  <c r="L84" i="32"/>
  <c r="L89" i="32" s="1"/>
  <c r="M78" i="32"/>
  <c r="M83" i="32" s="1"/>
  <c r="M86" i="32" s="1"/>
  <c r="M87" i="32" s="1"/>
  <c r="O75" i="32"/>
  <c r="O70" i="32"/>
  <c r="N72" i="32"/>
  <c r="Q67" i="32"/>
  <c r="P68" i="32"/>
  <c r="P76" i="32"/>
  <c r="Q65" i="32" l="1"/>
  <c r="Q59" i="32" s="1"/>
  <c r="Q66" i="32" s="1"/>
  <c r="M90" i="32"/>
  <c r="L90" i="32"/>
  <c r="M88" i="32"/>
  <c r="M84" i="32"/>
  <c r="M89" i="32" s="1"/>
  <c r="N78" i="32"/>
  <c r="N83" i="32" s="1"/>
  <c r="N84" i="32" s="1"/>
  <c r="P75" i="32"/>
  <c r="P70" i="32"/>
  <c r="Q76" i="32"/>
  <c r="Q68" i="32"/>
  <c r="R67" i="32"/>
  <c r="O71" i="32"/>
  <c r="O72" i="32" s="1"/>
  <c r="R65" i="32" l="1"/>
  <c r="R59" i="32" s="1"/>
  <c r="R66" i="32" s="1"/>
  <c r="N88" i="32"/>
  <c r="N89" i="32"/>
  <c r="N86" i="32"/>
  <c r="N87" i="32" s="1"/>
  <c r="N90" i="32" s="1"/>
  <c r="O78" i="32"/>
  <c r="O83" i="32" s="1"/>
  <c r="P71" i="32"/>
  <c r="P72" i="32" s="1"/>
  <c r="Q70" i="32"/>
  <c r="Q71" i="32" s="1"/>
  <c r="Q72" i="32" s="1"/>
  <c r="Q75" i="32"/>
  <c r="S67" i="32"/>
  <c r="R68" i="32"/>
  <c r="R76" i="32"/>
  <c r="S65" i="32" l="1"/>
  <c r="S59" i="32" s="1"/>
  <c r="S66" i="32" s="1"/>
  <c r="P78" i="32"/>
  <c r="R70" i="32"/>
  <c r="R75" i="32"/>
  <c r="O86" i="32"/>
  <c r="O88" i="32"/>
  <c r="O84" i="32"/>
  <c r="O89" i="32" s="1"/>
  <c r="S76" i="32"/>
  <c r="S68" i="32"/>
  <c r="T67" i="32"/>
  <c r="T65" i="32" l="1"/>
  <c r="T59" i="32" s="1"/>
  <c r="T66" i="32" s="1"/>
  <c r="S70" i="32"/>
  <c r="S71" i="32" s="1"/>
  <c r="S72" i="32" s="1"/>
  <c r="S75" i="32"/>
  <c r="R71" i="32"/>
  <c r="R72" i="32" s="1"/>
  <c r="T68" i="32"/>
  <c r="T76" i="32"/>
  <c r="U67" i="32"/>
  <c r="O87" i="32"/>
  <c r="P83" i="32"/>
  <c r="Q78" i="32"/>
  <c r="Q83" i="32" s="1"/>
  <c r="U65" i="32" l="1"/>
  <c r="U59" i="32" s="1"/>
  <c r="U66" i="32" s="1"/>
  <c r="U68" i="32" s="1"/>
  <c r="Q84" i="32"/>
  <c r="Q86" i="32"/>
  <c r="V67" i="32"/>
  <c r="U76" i="32"/>
  <c r="R78" i="32"/>
  <c r="R83" i="32" s="1"/>
  <c r="R86" i="32" s="1"/>
  <c r="P86" i="32"/>
  <c r="P84" i="32"/>
  <c r="P89" i="32" s="1"/>
  <c r="Q88" i="32"/>
  <c r="P88" i="32"/>
  <c r="O90" i="32"/>
  <c r="T70" i="32"/>
  <c r="T75" i="32"/>
  <c r="V65" i="32" l="1"/>
  <c r="V59" i="32" s="1"/>
  <c r="V66" i="32" s="1"/>
  <c r="V68" i="32" s="1"/>
  <c r="V76" i="32"/>
  <c r="W67" i="32"/>
  <c r="P87" i="32"/>
  <c r="P90" i="32" s="1"/>
  <c r="R87" i="32"/>
  <c r="Q87" i="32"/>
  <c r="T71" i="32"/>
  <c r="T72" i="32" s="1"/>
  <c r="R84" i="32"/>
  <c r="R89" i="32" s="1"/>
  <c r="R88" i="32"/>
  <c r="S78" i="32"/>
  <c r="S83" i="32" s="1"/>
  <c r="U75" i="32"/>
  <c r="U70" i="32"/>
  <c r="Q89" i="32"/>
  <c r="W65" i="32" l="1"/>
  <c r="W59" i="32" s="1"/>
  <c r="W66" i="32" s="1"/>
  <c r="W68" i="32" s="1"/>
  <c r="Q90" i="32"/>
  <c r="W76" i="32"/>
  <c r="X67" i="32"/>
  <c r="S86" i="32"/>
  <c r="S88" i="32"/>
  <c r="V70" i="32"/>
  <c r="V75" i="32"/>
  <c r="U71" i="32"/>
  <c r="U72" i="32" s="1"/>
  <c r="R90" i="32"/>
  <c r="S84" i="32"/>
  <c r="S89" i="32" s="1"/>
  <c r="T78" i="32"/>
  <c r="T83" i="32" s="1"/>
  <c r="T84" i="32" s="1"/>
  <c r="X65" i="32" l="1"/>
  <c r="X59" i="32" s="1"/>
  <c r="X66" i="32" s="1"/>
  <c r="T89" i="32"/>
  <c r="W75" i="32"/>
  <c r="W70" i="32"/>
  <c r="U78" i="32"/>
  <c r="U83" i="32" s="1"/>
  <c r="V71" i="32"/>
  <c r="V72" i="32" s="1"/>
  <c r="T86" i="32"/>
  <c r="T88" i="32"/>
  <c r="S87" i="32"/>
  <c r="S90" i="32" s="1"/>
  <c r="X76" i="32"/>
  <c r="Y67" i="32"/>
  <c r="X68" i="32"/>
  <c r="Y65" i="32" l="1"/>
  <c r="Y59" i="32" s="1"/>
  <c r="Y66" i="32" s="1"/>
  <c r="V78" i="32"/>
  <c r="V83" i="32" s="1"/>
  <c r="X70" i="32"/>
  <c r="X75" i="32"/>
  <c r="W71" i="32"/>
  <c r="W72" i="32" s="1"/>
  <c r="Y76" i="32"/>
  <c r="Y68" i="32"/>
  <c r="Z67" i="32"/>
  <c r="Z65" i="32" s="1"/>
  <c r="Z59" i="32" s="1"/>
  <c r="Z66" i="32" s="1"/>
  <c r="T87" i="32"/>
  <c r="T90" i="32" s="1"/>
  <c r="U88" i="32"/>
  <c r="U86" i="32"/>
  <c r="U84" i="32"/>
  <c r="U89" i="32" s="1"/>
  <c r="X71" i="32" l="1"/>
  <c r="X72" i="32" s="1"/>
  <c r="V86" i="32"/>
  <c r="V87" i="32" s="1"/>
  <c r="V84" i="32"/>
  <c r="V89" i="32" s="1"/>
  <c r="V88" i="32"/>
  <c r="W78" i="32"/>
  <c r="W83" i="32" s="1"/>
  <c r="Z76" i="32"/>
  <c r="Z68" i="32"/>
  <c r="AA67" i="32"/>
  <c r="AA65" i="32" s="1"/>
  <c r="AA59" i="32" s="1"/>
  <c r="AA66" i="32" s="1"/>
  <c r="U87" i="32"/>
  <c r="U90" i="32" s="1"/>
  <c r="Y75" i="32"/>
  <c r="Y70" i="32"/>
  <c r="V90" i="32" l="1"/>
  <c r="W88" i="32"/>
  <c r="AA68" i="32"/>
  <c r="AB67" i="32"/>
  <c r="AB65" i="32" s="1"/>
  <c r="AB59" i="32" s="1"/>
  <c r="AB66" i="32" s="1"/>
  <c r="AA76" i="32"/>
  <c r="Y71" i="32"/>
  <c r="Y72" i="32" s="1"/>
  <c r="W86" i="32"/>
  <c r="W87" i="32" s="1"/>
  <c r="W90" i="32" s="1"/>
  <c r="W84" i="32"/>
  <c r="W89" i="32" s="1"/>
  <c r="X78" i="32"/>
  <c r="X83" i="32" s="1"/>
  <c r="Z75" i="32"/>
  <c r="Z70" i="32"/>
  <c r="X84" i="32" l="1"/>
  <c r="X89" i="32" s="1"/>
  <c r="X86" i="32"/>
  <c r="X87" i="32" s="1"/>
  <c r="X90" i="32" s="1"/>
  <c r="X88" i="32"/>
  <c r="Z71" i="32"/>
  <c r="AC67" i="32"/>
  <c r="AC65" i="32" s="1"/>
  <c r="AC59" i="32" s="1"/>
  <c r="AC66" i="32" s="1"/>
  <c r="AB68" i="32"/>
  <c r="AB76" i="32"/>
  <c r="Y78" i="32"/>
  <c r="Y83" i="32" s="1"/>
  <c r="AA70" i="32"/>
  <c r="AA75" i="32"/>
  <c r="C45" i="7"/>
  <c r="Y86" i="32" l="1"/>
  <c r="Y87" i="32" s="1"/>
  <c r="Y90" i="32" s="1"/>
  <c r="Y84" i="32"/>
  <c r="Y89" i="32" s="1"/>
  <c r="AB70" i="32"/>
  <c r="AB75" i="32"/>
  <c r="AC76" i="32"/>
  <c r="AC68" i="32"/>
  <c r="AD67" i="32"/>
  <c r="AD65" i="32" s="1"/>
  <c r="AD59" i="32" s="1"/>
  <c r="AD66" i="32" s="1"/>
  <c r="Y88" i="32"/>
  <c r="Z78" i="32"/>
  <c r="Z83" i="32" s="1"/>
  <c r="AA71" i="32"/>
  <c r="Z72" i="32"/>
  <c r="B133" i="26"/>
  <c r="AB71" i="32" l="1"/>
  <c r="AB72" i="32" s="1"/>
  <c r="AA78" i="32"/>
  <c r="AA83" i="32" s="1"/>
  <c r="Z84" i="32"/>
  <c r="Z89" i="32" s="1"/>
  <c r="Z86" i="32"/>
  <c r="Z87" i="32" s="1"/>
  <c r="Z90" i="32" s="1"/>
  <c r="Z88" i="32"/>
  <c r="AD68" i="32"/>
  <c r="AD76" i="32"/>
  <c r="AE67" i="32"/>
  <c r="AE65" i="32" s="1"/>
  <c r="AE59" i="32" s="1"/>
  <c r="AE66" i="32" s="1"/>
  <c r="AA72" i="32"/>
  <c r="AC75" i="32"/>
  <c r="AC70" i="32"/>
  <c r="L30" i="15"/>
  <c r="AB78" i="32" l="1"/>
  <c r="AB83" i="32" s="1"/>
  <c r="AB86" i="32" s="1"/>
  <c r="AA86" i="32"/>
  <c r="AA87" i="32" s="1"/>
  <c r="AA90" i="32" s="1"/>
  <c r="AA88" i="32"/>
  <c r="AA84" i="32"/>
  <c r="AA89" i="32" s="1"/>
  <c r="AB88" i="32"/>
  <c r="AC71" i="32"/>
  <c r="AE68" i="32"/>
  <c r="AE76" i="32"/>
  <c r="AD75" i="32"/>
  <c r="AD70" i="32"/>
  <c r="E62" i="29"/>
  <c r="E58" i="29"/>
  <c r="E64" i="29"/>
  <c r="E63" i="29"/>
  <c r="E61" i="29"/>
  <c r="E60" i="29"/>
  <c r="E59" i="29"/>
  <c r="E36" i="29"/>
  <c r="Y24" i="29"/>
  <c r="X24" i="29"/>
  <c r="U24" i="29"/>
  <c r="T24" i="29"/>
  <c r="Q24" i="29"/>
  <c r="P24" i="29"/>
  <c r="M24" i="29"/>
  <c r="AB87" i="32" l="1"/>
  <c r="AB90" i="32" s="1"/>
  <c r="AB84" i="32"/>
  <c r="AB89" i="32" s="1"/>
  <c r="AC78" i="32"/>
  <c r="AC83" i="32" s="1"/>
  <c r="AC86" i="32" s="1"/>
  <c r="AC87" i="32" s="1"/>
  <c r="AC72" i="32"/>
  <c r="AD71" i="32"/>
  <c r="AE75" i="32"/>
  <c r="AE70" i="32"/>
  <c r="E35" i="29"/>
  <c r="E43" i="29"/>
  <c r="E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D72" i="32"/>
  <c r="P57" i="15"/>
  <c r="P56" i="15"/>
  <c r="P55" i="15"/>
  <c r="P50" i="15"/>
  <c r="P49" i="15"/>
  <c r="P48" i="15"/>
  <c r="P47" i="15"/>
  <c r="P46" i="15"/>
  <c r="P44" i="15"/>
  <c r="P42" i="15"/>
  <c r="P41" i="15"/>
  <c r="P40" i="15"/>
  <c r="P39" i="15"/>
  <c r="P38" i="15"/>
  <c r="AE78" i="32" l="1"/>
  <c r="AE83" i="32" s="1"/>
  <c r="AE88" i="32" s="1"/>
  <c r="AD88" i="32"/>
  <c r="AD84" i="32"/>
  <c r="AD89" i="32" s="1"/>
  <c r="AE72" i="32"/>
  <c r="AE84" i="32"/>
  <c r="E39" i="29"/>
  <c r="E44" i="29"/>
  <c r="E38" i="29"/>
  <c r="E40" i="29"/>
  <c r="E46" i="29"/>
  <c r="E48" i="29"/>
  <c r="E56" i="29"/>
  <c r="E41" i="29"/>
  <c r="E47" i="29"/>
  <c r="E49" i="29"/>
  <c r="E55" i="29"/>
  <c r="AE86" i="32" l="1"/>
  <c r="AE87" i="32" s="1"/>
  <c r="AE90" i="32" s="1"/>
  <c r="G28" i="32" s="1"/>
  <c r="AE89" i="32"/>
  <c r="G27" i="32"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L24" i="15" l="1"/>
  <c r="AB24" i="15" s="1"/>
  <c r="C48" i="7" s="1"/>
  <c r="E30" i="15"/>
  <c r="AB25" i="15"/>
  <c r="F30" i="15"/>
  <c r="AC26" i="15"/>
  <c r="AB53" i="15"/>
  <c r="AB45" i="15"/>
  <c r="E37" i="29"/>
  <c r="AC25" i="15"/>
  <c r="N24" i="15"/>
  <c r="AC27" i="15"/>
  <c r="E54" i="15"/>
  <c r="F54" i="15" s="1"/>
  <c r="P54" i="15" s="1"/>
  <c r="C52" i="15"/>
  <c r="C28" i="15"/>
  <c r="AB31" i="15"/>
  <c r="AC24" i="15" l="1"/>
  <c r="AB54" i="15"/>
  <c r="E53" i="29"/>
  <c r="E52" i="15"/>
  <c r="F52" i="15" s="1"/>
  <c r="P52" i="15" s="1"/>
  <c r="C24" i="15"/>
  <c r="E28" i="15"/>
  <c r="E54" i="29" l="1"/>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C51" i="7" l="1"/>
  <c r="C50" i="7"/>
  <c r="B113" i="26" l="1"/>
  <c r="B67" i="26"/>
  <c r="B63" i="26"/>
  <c r="B59" i="26"/>
  <c r="B55" i="26"/>
  <c r="B108" i="26"/>
  <c r="B38" i="26"/>
  <c r="B104" i="26"/>
  <c r="B50" i="26"/>
  <c r="B118" i="26"/>
  <c r="B100" i="26"/>
  <c r="B46" i="26"/>
  <c r="B116" i="26"/>
  <c r="B115" i="26"/>
  <c r="B42" i="26"/>
  <c r="B111" i="26"/>
</calcChain>
</file>

<file path=xl/sharedStrings.xml><?xml version="1.0" encoding="utf-8"?>
<sst xmlns="http://schemas.openxmlformats.org/spreadsheetml/2006/main" count="1865" uniqueCount="689">
  <si>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</si>
  <si>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</si>
  <si>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</si>
  <si>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</si>
  <si>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</si>
  <si>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</si>
  <si>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</si>
  <si>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</si>
  <si>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</si>
  <si>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</si>
  <si>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</si>
  <si>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</si>
  <si>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</si>
  <si>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</si>
  <si>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</si>
  <si>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</si>
  <si>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</si>
  <si>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</si>
  <si>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</si>
  <si>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</si>
  <si>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</si>
  <si>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</si>
  <si>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</si>
  <si>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</si>
  <si>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</si>
  <si>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</si>
  <si>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</si>
  <si>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</si>
  <si>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</si>
  <si>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</si>
  <si>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</si>
  <si>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</si>
  <si>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</si>
  <si>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</si>
  <si>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</si>
  <si>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</si>
  <si>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</si>
  <si>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</si>
  <si>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</si>
  <si>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</si>
  <si>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</si>
  <si>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</si>
  <si>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</si>
  <si>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</si>
  <si>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</si>
  <si>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</si>
  <si>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</si>
  <si>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</si>
  <si>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</si>
  <si>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</si>
  <si>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</si>
  <si>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</si>
  <si>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</si>
  <si>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</si>
  <si>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</si>
  <si>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</si>
  <si>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</si>
  <si>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</si>
  <si>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</si>
  <si>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</si>
  <si>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</si>
  <si>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</si>
  <si>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</si>
  <si>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</si>
  <si>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</si>
  <si>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</si>
  <si>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</si>
  <si>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</si>
  <si>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</si>
  <si>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</si>
  <si>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</si>
  <si>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</si>
  <si>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</si>
  <si>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</si>
  <si>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</si>
  <si>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</si>
  <si>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</si>
  <si>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</si>
  <si>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</si>
  <si>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</si>
  <si>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</si>
  <si>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</si>
  <si>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</si>
  <si>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</si>
  <si>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</si>
  <si>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</si>
  <si>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</si>
  <si>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</si>
  <si>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</si>
  <si>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</si>
  <si>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</si>
  <si>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</si>
  <si>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</si>
  <si>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</si>
  <si>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</si>
  <si>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</si>
  <si>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</si>
  <si>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</si>
  <si>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</si>
  <si>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</si>
  <si>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</si>
  <si>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</si>
  <si>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</si>
  <si>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</si>
  <si>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</si>
  <si>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</si>
  <si>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</si>
  <si>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</si>
  <si>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</si>
  <si>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</si>
  <si>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</si>
  <si>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</si>
  <si>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</si>
  <si>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</si>
  <si>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</si>
  <si>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</si>
  <si>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</si>
  <si>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</si>
  <si>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</si>
  <si>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</si>
  <si>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</si>
  <si>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</si>
  <si>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</si>
  <si>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</si>
  <si>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</si>
  <si>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</si>
  <si>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</si>
  <si>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</si>
  <si>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</si>
  <si>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</si>
  <si>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</si>
  <si>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</si>
  <si>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</si>
  <si>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</si>
  <si>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</si>
  <si>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</si>
  <si>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</si>
  <si>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</si>
  <si>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</si>
  <si>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</si>
  <si>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</si>
  <si>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</si>
  <si>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</si>
  <si>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</si>
  <si>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</si>
  <si>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</si>
  <si>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</si>
  <si>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</si>
  <si>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</si>
  <si>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</si>
  <si>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</si>
  <si>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</si>
  <si>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</si>
  <si>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</si>
  <si>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</si>
  <si>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</si>
  <si>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</si>
  <si>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</si>
  <si>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</si>
  <si>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</si>
  <si>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</si>
  <si>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</si>
  <si>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</si>
  <si>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</si>
  <si>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</si>
  <si>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</si>
  <si>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</si>
  <si>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</si>
  <si>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</si>
  <si>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</si>
  <si>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</si>
  <si>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</si>
  <si>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</si>
  <si>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</si>
  <si>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</si>
  <si>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</si>
  <si>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</si>
  <si>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</si>
  <si>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</si>
  <si>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</si>
  <si>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</si>
  <si>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</si>
  <si>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</si>
  <si>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</si>
  <si>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</si>
  <si>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</si>
  <si>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</si>
  <si>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</si>
  <si>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</si>
  <si>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</si>
  <si>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</si>
  <si>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</si>
  <si>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</si>
  <si>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</si>
  <si>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</si>
  <si>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</si>
  <si>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</si>
  <si>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</si>
  <si>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</si>
  <si>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</si>
  <si>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</si>
  <si>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</si>
  <si>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</si>
  <si>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</si>
  <si>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</si>
  <si>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</si>
  <si>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</si>
  <si>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</si>
  <si>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</si>
  <si>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</si>
  <si>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</si>
  <si>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</si>
  <si>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</si>
  <si>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</si>
  <si>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</si>
  <si>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</si>
  <si>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</si>
  <si>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</si>
  <si>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</si>
  <si>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</si>
  <si>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</si>
  <si>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</si>
  <si>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</si>
  <si>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</si>
  <si>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</si>
  <si>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</si>
  <si>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</si>
  <si>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</si>
  <si>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</si>
  <si>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</si>
  <si>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</si>
  <si>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</si>
  <si>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</si>
  <si>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</si>
  <si>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</si>
  <si>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</si>
  <si>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</si>
  <si>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</si>
  <si>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</si>
  <si>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</si>
  <si>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</si>
  <si>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</si>
  <si>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</si>
  <si>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</si>
  <si>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</si>
  <si>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</si>
  <si>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</si>
  <si>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</si>
  <si>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</si>
  <si>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</si>
  <si>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</si>
  <si>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</si>
  <si>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</si>
  <si>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</si>
  <si>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</si>
  <si>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</si>
  <si>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</si>
  <si>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</si>
  <si>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</si>
  <si>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</si>
  <si>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</si>
  <si>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</si>
  <si>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</si>
  <si>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</si>
  <si>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</si>
  <si>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</si>
  <si>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</si>
  <si>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</si>
  <si>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</si>
  <si>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</si>
  <si>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</si>
  <si>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</si>
  <si>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</si>
  <si>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</si>
  <si>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</si>
  <si>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</si>
  <si>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</si>
  <si>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</si>
  <si>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</si>
  <si>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</si>
  <si>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</si>
  <si>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</si>
  <si>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</si>
  <si>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</si>
  <si>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</si>
  <si>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</si>
  <si>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</si>
  <si>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</si>
  <si>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</si>
  <si>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</si>
  <si>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</si>
  <si>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</si>
  <si>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</si>
  <si>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</si>
  <si>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</si>
  <si>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</si>
  <si>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</si>
  <si>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</si>
  <si>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</si>
  <si>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</si>
  <si>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</si>
  <si>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</si>
  <si>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</si>
  <si>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</si>
  <si>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</si>
  <si>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</si>
  <si>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</si>
  <si>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</si>
  <si>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</si>
  <si>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</si>
  <si>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</si>
  <si>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</si>
  <si>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</si>
  <si>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</si>
  <si>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</si>
  <si>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</si>
  <si>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</si>
  <si>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</si>
  <si>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</si>
  <si>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</si>
  <si>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</si>
  <si>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</si>
  <si>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</si>
  <si>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</si>
  <si>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</si>
  <si>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</si>
  <si>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</si>
  <si>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</si>
  <si>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</si>
  <si>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</si>
  <si>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</si>
  <si>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</si>
  <si>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</si>
  <si>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</si>
  <si>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</si>
  <si>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</si>
  <si>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</si>
  <si>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</si>
  <si>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</si>
  <si>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</si>
  <si>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</si>
  <si>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</si>
  <si>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</si>
  <si>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</si>
  <si>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</si>
  <si>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</si>
  <si>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</si>
  <si>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</si>
  <si>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</si>
  <si>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</si>
  <si>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</si>
  <si>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</si>
  <si>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</si>
  <si>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</si>
  <si>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</si>
  <si>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</si>
  <si>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</si>
  <si>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</si>
  <si>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</si>
  <si>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</si>
  <si>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</si>
  <si>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</si>
  <si>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</si>
  <si>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</si>
  <si>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</si>
  <si>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</si>
  <si>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</si>
  <si>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</si>
  <si>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</si>
  <si>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</si>
  <si>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</si>
  <si>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</si>
  <si>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</si>
  <si>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</si>
  <si>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</si>
  <si>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</si>
  <si>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</si>
  <si>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</si>
  <si>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</si>
  <si>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</si>
  <si>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</si>
  <si>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</si>
  <si>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</si>
  <si>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</si>
  <si>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</si>
  <si>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</si>
  <si>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</si>
  <si>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</si>
  <si>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</si>
  <si>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</si>
  <si>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</si>
  <si>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</si>
  <si>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</si>
  <si>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</si>
  <si>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</si>
  <si>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</si>
  <si>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</si>
  <si>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</si>
  <si>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</si>
  <si>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</si>
  <si>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</si>
  <si>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</si>
  <si>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</si>
  <si>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</si>
  <si>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</si>
  <si>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</si>
  <si>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</si>
  <si>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</si>
  <si>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</si>
  <si>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</si>
  <si>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</si>
  <si>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</si>
  <si>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</si>
  <si>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</si>
  <si>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</si>
  <si>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</si>
  <si>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</si>
  <si>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</si>
  <si>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</si>
  <si>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</si>
  <si>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</si>
  <si>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</si>
  <si>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</si>
  <si>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</si>
  <si>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</si>
  <si>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</si>
  <si>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</si>
  <si>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</si>
  <si>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</si>
  <si>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</si>
  <si>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</si>
  <si>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</si>
  <si>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</si>
  <si>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</si>
  <si>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</si>
  <si>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</si>
  <si>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</si>
  <si>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</si>
  <si>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</si>
  <si>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</si>
  <si>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</si>
  <si>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</si>
  <si>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</si>
  <si>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</si>
  <si>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</si>
  <si>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</si>
  <si>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</si>
  <si>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</si>
  <si>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</si>
  <si>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</si>
  <si>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</si>
  <si>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</si>
  <si>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</si>
  <si>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</si>
  <si>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</si>
  <si>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</si>
  <si>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</si>
  <si>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</si>
  <si>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</si>
  <si>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</si>
  <si>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</si>
  <si>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</si>
  <si>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</si>
  <si>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</si>
  <si>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</si>
  <si>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</si>
  <si>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</si>
  <si>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</si>
  <si>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</si>
  <si>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</si>
  <si>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</si>
  <si>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</si>
  <si>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</si>
  <si>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</si>
  <si>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</si>
  <si>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</si>
  <si>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</si>
  <si>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</si>
  <si>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</si>
  <si>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</si>
  <si>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</si>
  <si>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</si>
  <si>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</si>
  <si>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</si>
  <si>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</si>
  <si>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</si>
  <si>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</si>
  <si>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</si>
  <si>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</si>
  <si>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</si>
  <si>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</si>
  <si>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</si>
  <si>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</si>
  <si>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</si>
  <si>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</si>
  <si>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</si>
  <si>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</si>
  <si>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</si>
  <si>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</si>
  <si>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</si>
  <si>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</si>
  <si>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</si>
  <si>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</si>
  <si>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</si>
  <si>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</si>
  <si>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</si>
  <si>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</si>
  <si>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</si>
  <si>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</si>
  <si>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</si>
  <si>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</si>
  <si>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</si>
  <si>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</si>
  <si>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</si>
  <si>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</si>
  <si>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</si>
  <si>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</si>
  <si>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</si>
  <si>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</si>
  <si>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</si>
  <si>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</si>
  <si>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</si>
  <si>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</si>
  <si>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</si>
  <si>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</si>
  <si>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</si>
  <si>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</si>
  <si>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</si>
  <si>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</si>
  <si>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</si>
  <si>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</si>
  <si>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</si>
  <si>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</si>
  <si>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</si>
  <si>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</si>
  <si>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</si>
  <si>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</si>
  <si>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</si>
  <si>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</si>
  <si>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</si>
  <si>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</si>
  <si>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</si>
  <si>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</si>
  <si>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</si>
  <si>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</si>
  <si>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</si>
  <si>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</si>
  <si>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</si>
  <si>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</si>
  <si>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</si>
  <si>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</si>
  <si>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ТРДН 16 000/110 У1</t>
  </si>
  <si>
    <t>Т-1, Т-2</t>
  </si>
  <si>
    <t>В-110 Т-1, В-110 Т-2</t>
  </si>
  <si>
    <t>ДГР-1, ДГР-2</t>
  </si>
  <si>
    <t>ТСН-1, ТСН-2</t>
  </si>
  <si>
    <t xml:space="preserve"> по состоянию на 01.01.2019</t>
  </si>
  <si>
    <t>КЛ</t>
  </si>
  <si>
    <t>32 МВА</t>
  </si>
  <si>
    <t>ССР</t>
  </si>
  <si>
    <t xml:space="preserve"> по состоянию на 01.01.года (N-1)</t>
  </si>
  <si>
    <t>по состоянию на 01.01.года X</t>
  </si>
  <si>
    <t>План (факт) года (N-1)</t>
  </si>
  <si>
    <t>Год N</t>
  </si>
  <si>
    <t>Год (N+1)</t>
  </si>
  <si>
    <t>Год (N+2)</t>
  </si>
  <si>
    <t>2-х цепная</t>
  </si>
  <si>
    <t>ВЛ-110</t>
  </si>
  <si>
    <t xml:space="preserve">План </t>
  </si>
  <si>
    <t xml:space="preserve">Акционерное общество "Западная энергетическая компания" </t>
  </si>
  <si>
    <t>8,34 млн.руб./МВА</t>
  </si>
  <si>
    <t xml:space="preserve"> факт 2019</t>
  </si>
  <si>
    <t>K-20-02</t>
  </si>
  <si>
    <t>Приобретение электросетевого комплекса ООО "Татэнерго"</t>
  </si>
  <si>
    <t>Прочие инвестиционные проекты</t>
  </si>
  <si>
    <t>Развитие электрической сети; Повышение качества оказываемых услуг в сфере электроэнергетики</t>
  </si>
  <si>
    <t>ВЛ 110 кВ Северная 330-О-30  Московская с отпайками (Л-166)</t>
  </si>
  <si>
    <t>АС-185/29</t>
  </si>
  <si>
    <t>2006</t>
  </si>
  <si>
    <t>Силовой трансформатор 10 кВ</t>
  </si>
  <si>
    <t>ТМ 10/0,4 кВ</t>
  </si>
  <si>
    <t>Т-1,Т-2</t>
  </si>
  <si>
    <t xml:space="preserve"> дугогасящий реактор</t>
  </si>
  <si>
    <t>2007</t>
  </si>
  <si>
    <t>Контейнерная трансформаторная подстанция в бетонном корпусе</t>
  </si>
  <si>
    <t>MRw-b10/2x630-8</t>
  </si>
  <si>
    <t>Распределительное устройство СН</t>
  </si>
  <si>
    <t xml:space="preserve"> RM6 </t>
  </si>
  <si>
    <t>RN-W</t>
  </si>
  <si>
    <t>Распределительное устройство НН</t>
  </si>
  <si>
    <t>MRw-b10/2x1600-8</t>
  </si>
  <si>
    <t>MRw-b10/2x400-8</t>
  </si>
  <si>
    <t xml:space="preserve"> ROBOTBLOK SF</t>
  </si>
  <si>
    <t>1 секция+2 секция</t>
  </si>
  <si>
    <t>ВН яч Т-1; ВН яч. Т-2; яч.СВН1; яч.СВН2; ВН КЛ 9-1/1 к ТП-09 аб; ВН КЛ 9-1/2 к ТП-09 аб; ВН3  ВН6 резерв</t>
  </si>
  <si>
    <t>ТП-11</t>
  </si>
  <si>
    <t>ВН яч Т-1; ВН яч. Т-2; яч.СВН1; яч.СВН2; ВН КЛ 63-04 к ПС Университетская; ВН КЛ 63-15 к ПС Университетская; ВН КЛ 4-11/1 к ТП-11;  ВН КЛ 4-11/2 к ТП-11</t>
  </si>
  <si>
    <t>ВН яч Т-1; ВН яч. Т-2; яч.СВН1; яч.СВН2; ВН КЛ 9-3/1 к ТП-09 аб; ВН КЛ 9-3/2 к ТП-09 аб; ВН яч 2 - резерв;  ВН яч 7- резерв</t>
  </si>
  <si>
    <t>ВН яч Т-1; ВН яч. Т-2; яч.СВН1; яч.СВН2; ВН КЛ 1-2/1 к ТП-01; ВН КЛ 1-2/2 к ТП-01; ВН-3 резерв;  ВН-6 резерв</t>
  </si>
  <si>
    <t>ВН яч Т-1; ВН яч. Т-2; яч.СВН1; яч.СВН2; ВН КЛ 4-11/1 к ТП-04; ВН КЛ 4-11/2 к ТП-04; ВН КЛ 11-12/1 к ТП-12 аб; ВН КЛ 11-12/2 к ТП-12 аб; ВН яч 3 резерв;  ВН яч 8 резерв</t>
  </si>
  <si>
    <t>MRw-b10/2x1000-10</t>
  </si>
  <si>
    <t>РТП-2</t>
  </si>
  <si>
    <t>ZR-W</t>
  </si>
  <si>
    <t>ВН яч Т-1; ВН яч. Т-2; яч.СВН1; яч.СВН2; ВН КЛ 64-26 к ТП-14 аб; ВН КЛ 64-02 к ТП-15 аб; ВН ТН-1; ВН ТН-2; ВН яч 3 резерв;  ВН яч 8 резерв</t>
  </si>
  <si>
    <t>КЛ 10кВ №1-2/1 ТП-01 1 С яч. №5 - ТП-02 1 С яч №4</t>
  </si>
  <si>
    <t>XRUHAKXS 3(1x150/50)</t>
  </si>
  <si>
    <t>2010</t>
  </si>
  <si>
    <t>КЛ 10кВ №1-2/2 ТП-01 2 С яч. №8 - ТП-02 2 С яч №5</t>
  </si>
  <si>
    <t>КЛ 10кВ №4-11/2 ТП-04 2 С яч. №8 - ТП-11 2 С яч №10</t>
  </si>
  <si>
    <t>XRUHAKXS 3(1x240/70)</t>
  </si>
  <si>
    <t>КЛ 10кВ №4-11/1 ТП-04 1 С яч. №1 - ТП-11 1 С яч №1</t>
  </si>
  <si>
    <t>КЛ 10кВ №9-1/1 ТП-09 (аб.) 1 С яч. №4 - ТП-01 1 С яч №3</t>
  </si>
  <si>
    <t>XRUHAKXS 3(1x150/50) от ТП-01 до муфты; XRUHAKXS 3(1x240/70) абонентский длиной 187 м от муфты до ТП-09</t>
  </si>
  <si>
    <t>КЛ 10кВ №9-1/2 ТП-09 (аб.) 2 С яч. №7 - ТП-01 2 С яч №10</t>
  </si>
  <si>
    <t>КЛ 10кВ №9-3/2 ТП-09 2 С яч. №10 - ТП-03 2 С яч №8</t>
  </si>
  <si>
    <t>КЛ 10кВ №63-03 ПС О-63 Университетская 1 С яч. №7 - ТП-09 1 С яч №3</t>
  </si>
  <si>
    <t>XRUHAKXS 3(1x240/70) от ПС О-63 до муфты; XRUHAKXS 3(1x240/70) абонентский длиной 95 м от муфты до ТП-09</t>
  </si>
  <si>
    <t>КЛ 10кВ №63-04 ПС О-63 Университетская 1 С яч. №8 - ТП-04 1 С яч №2</t>
  </si>
  <si>
    <t>АПвПу2г 3(1x240/70)</t>
  </si>
  <si>
    <t>КЛ 10кВ №63-15 ПС О-63 Университетская 2 С яч. №21 - ТП-04 2 С яч №7</t>
  </si>
  <si>
    <t>КЛ 10кВ №63-16 ПС О-63 Университетская 2 С яч. №22 - ТП-09 2 С яч №8</t>
  </si>
  <si>
    <t>ТП-01</t>
  </si>
  <si>
    <t>ТП-02</t>
  </si>
  <si>
    <t>ТП-03</t>
  </si>
  <si>
    <t>ТП-04</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</si>
  <si>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</si>
  <si>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</si>
  <si>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Конечным результатом реализации инвестиционного проекта является подключение шести распределительных пунктов (РП) для присоединения  с максимальной мощностью 10,52 МВт</t>
  </si>
  <si>
    <t>выключатель  колонковый 110 кВ LTB 145 I n 2000A, Iотк 40 кВА</t>
  </si>
  <si>
    <t>2005</t>
  </si>
  <si>
    <t>ЗРУ 10 кВ</t>
  </si>
  <si>
    <t>4 шкафа РУ 10 кВ VD4/P I n 1600A, Iотк 20 кВА</t>
  </si>
  <si>
    <t xml:space="preserve"> В Т-1,   I с 10 кВ, В Т-2 II с 10 кВ, СВ, СР 10 кВ  </t>
  </si>
  <si>
    <t>24 шкафа РУ 10 кВ VD4/P I n 630A, Iотк 20 кВА</t>
  </si>
  <si>
    <t xml:space="preserve"> Трансформатор  дугогасящего реактора</t>
  </si>
  <si>
    <t>ТДК-1,ТДК-2</t>
  </si>
  <si>
    <t>480 кВА</t>
  </si>
  <si>
    <t xml:space="preserve"> 630кВА</t>
  </si>
  <si>
    <t>В ТДК-1; В ТДК-2; В ТСН1, В ТСН2, В Л</t>
  </si>
  <si>
    <t>100 кВА</t>
  </si>
  <si>
    <t xml:space="preserve">трансформатор собственных нужд  </t>
  </si>
  <si>
    <t>У 110-2  5 шт.; У 110-2 +5  2 шт.; У 110-2 +9  1 шт;. УС 110-8 1 шт.; ПБ 110-8 3 шт.</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</si>
  <si>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Показатель увеличения мощности силовых трансформаторов на подстанциях 110 кВ  32 МВА,  Показатель увеличения мощности силовых трансформаторов на подстанциях 10 кВ  10,52 МВА . Показатель увеличения протяженности линий электропередачи 110 кВ 1,34 км.  Показатель увеличения протяженности линий электропередачи 10 кВ 5,739 км. </t>
  </si>
  <si>
    <t>сетевой комплекс ООО "Татэнерго"</t>
  </si>
  <si>
    <t>ПС 110/10 кВ О-63 " Университетская"</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</si>
  <si>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</si>
  <si>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</si>
  <si>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ст-сть оф без НДС</t>
  </si>
  <si>
    <t>договор купли- продажи недвиж имущества №1 от 26.11.2019</t>
  </si>
  <si>
    <t>ВЛ 110 кВ к ПС О-63</t>
  </si>
  <si>
    <t>ПС О-63 Университетская 240,6 кв.м ул Юбилейная ,3 Калининград</t>
  </si>
  <si>
    <t>ул Юбилейная ,3 Калининград МО "город Калининград"</t>
  </si>
  <si>
    <t>ТП-1 10/0,4 кВ (31м2) 1,26 мВА</t>
  </si>
  <si>
    <t>договор купли- продажи недвиж имущества №2 от 26.11.2019</t>
  </si>
  <si>
    <t>КЛ -10 кВ АПвПУ2г 1*240/70 04/1-11/104/2-11/2 ул Гагарина</t>
  </si>
  <si>
    <t>КЛ -10 кВ АПвПУ2г 1*240/70 0-63-04/1 063-04/2 ул Юбилейная</t>
  </si>
  <si>
    <t>РТЧ-2Ч 10/0,4 кВ 3,2 МВА Окружная м-н "Черемушки"</t>
  </si>
  <si>
    <t>ТП-11 10/0,4 кВ ,2 мВА ул. Гагарина около дома 2</t>
  </si>
  <si>
    <t xml:space="preserve">КЛ от ТП-01-ТП-02(между Куйбышева 100- между Куйбышева 101) </t>
  </si>
  <si>
    <t>ТП контейнерного типа 10/0,4 кВ mRw-b  2трансф. TNOSN 10/0,4 кВ 1600кВА</t>
  </si>
  <si>
    <t>КЛ 10 кВ ПС О-63 "Университетская" до ТП -1 (между Юбилейной,3 и Куйбышева,100)</t>
  </si>
  <si>
    <t>63-15</t>
  </si>
  <si>
    <t>63-04</t>
  </si>
  <si>
    <t>ТП-4</t>
  </si>
  <si>
    <t>ТП-04 10/0,4 кВ  2*0,630=1,26 мВА ул. Фортовая, около дома 7</t>
  </si>
  <si>
    <t>ТП-2</t>
  </si>
  <si>
    <t>ТП-03 10/0,4 кВ 2*630=1,26 мВА ул. Гагарина, около дома 55Б</t>
  </si>
  <si>
    <t>2-х ярусная  PП III Московский пр-т Дом Советов</t>
  </si>
  <si>
    <t>КЛ 1-2/1/;1-2/2</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</si>
  <si>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</si>
  <si>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</si>
  <si>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</si>
  <si>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</si>
  <si>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</si>
  <si>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</si>
  <si>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</si>
  <si>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</si>
  <si>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</si>
  <si>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</si>
  <si>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</si>
  <si>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</si>
  <si>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</si>
  <si>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</si>
  <si>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</si>
  <si>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</si>
  <si>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r>
      <t>ПС 110/10 кВ О-63 " Университетская"</t>
    </r>
    <r>
      <rPr>
        <u/>
        <sz val="12"/>
        <rFont val="Times New Roman"/>
        <family val="1"/>
        <charset val="204"/>
      </rPr>
      <t xml:space="preserve">; </t>
    </r>
    <r>
      <rPr>
        <sz val="12"/>
        <rFont val="Times New Roman"/>
        <family val="1"/>
        <charset val="204"/>
      </rPr>
      <t>ТП-01; ТП-04; ТП-11; РТП-2</t>
    </r>
  </si>
  <si>
    <t>∆P_тр = 44,94МВА; ∆L=5,739 км</t>
  </si>
  <si>
    <t>10,52 МВт</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</si>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</sst>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b/>
      <sz val="11"/>
      <color theme="1"/>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indexed="64"/>
      </patternFill>
    </fill>
    <fill>
      <patternFill patternType="solid">
        <fgColor rgb="FFFF0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52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7"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1" xfId="1" applyFont="1" applyFill="1" applyBorder="1" applyAlignment="1">
      <alignment horizontal="center" vertical="center" wrapText="1"/>
    </xf>
    <xf numFmtId="3" fontId="72" fillId="0" borderId="33" xfId="67" applyNumberFormat="1" applyFont="1" applyFill="1" applyBorder="1" applyAlignment="1">
      <alignment vertical="center"/>
    </xf>
    <xf numFmtId="0" fontId="73" fillId="0" borderId="25" xfId="128" applyFill="1" applyBorder="1" applyAlignment="1">
      <alignment horizontal="justify"/>
    </xf>
    <xf numFmtId="0" fontId="68" fillId="0" borderId="1" xfId="62" applyFont="1" applyBorder="1" applyAlignment="1">
      <alignment horizontal="center" vertical="center" wrapText="1"/>
    </xf>
    <xf numFmtId="0" fontId="10" fillId="0" borderId="0" xfId="62" applyFont="1" applyBorder="1" applyAlignment="1">
      <alignment horizontal="center" vertical="center" wrapText="1"/>
    </xf>
    <xf numFmtId="0" fontId="68" fillId="0" borderId="0" xfId="62" applyFont="1" applyBorder="1" applyAlignment="1">
      <alignment horizontal="center" vertical="center" wrapText="1"/>
    </xf>
    <xf numFmtId="49" fontId="68" fillId="0" borderId="0" xfId="62" applyNumberFormat="1" applyFont="1" applyBorder="1" applyAlignment="1">
      <alignment horizontal="center" vertical="center" wrapText="1"/>
    </xf>
    <xf numFmtId="4" fontId="0" fillId="0" borderId="0" xfId="0" applyNumberFormat="1"/>
    <xf numFmtId="4" fontId="74" fillId="0" borderId="0" xfId="0" applyNumberFormat="1" applyFont="1"/>
    <xf numFmtId="14" fontId="0" fillId="0" borderId="0" xfId="0" applyNumberFormat="1"/>
    <xf numFmtId="16" fontId="0" fillId="0" borderId="0" xfId="0" applyNumberFormat="1"/>
    <xf numFmtId="0" fontId="0" fillId="0" borderId="0" xfId="0" applyAlignment="1">
      <alignment vertical="center" wrapText="1" shrinkToFit="1"/>
    </xf>
    <xf numFmtId="0" fontId="0" fillId="0" borderId="0" xfId="0" applyAlignment="1">
      <alignment vertical="center" wrapText="1"/>
    </xf>
    <xf numFmtId="0" fontId="0" fillId="28" borderId="0" xfId="0" applyFill="1" applyAlignment="1">
      <alignment vertical="center" wrapText="1" shrinkToFit="1"/>
    </xf>
    <xf numFmtId="0" fontId="0" fillId="24" borderId="0" xfId="0" applyFill="1" applyAlignment="1">
      <alignment vertical="center" wrapText="1"/>
    </xf>
    <xf numFmtId="0" fontId="0" fillId="29" borderId="0" xfId="0" applyFill="1" applyAlignment="1">
      <alignment vertical="center" wrapText="1" shrinkToFit="1"/>
    </xf>
    <xf numFmtId="0" fontId="0" fillId="29" borderId="0" xfId="0" applyFill="1" applyAlignment="1">
      <alignment vertical="center" wrapText="1"/>
    </xf>
    <xf numFmtId="0" fontId="10" fillId="26" borderId="0" xfId="2" applyFont="1" applyFill="1"/>
    <xf numFmtId="0" fontId="44" fillId="26" borderId="0" xfId="1" applyFont="1" applyFill="1" applyAlignment="1">
      <alignment vertical="center"/>
    </xf>
    <xf numFmtId="0" fontId="11" fillId="26" borderId="0" xfId="1" applyFont="1" applyFill="1" applyBorder="1" applyAlignment="1">
      <alignment vertical="center"/>
    </xf>
    <xf numFmtId="0" fontId="10" fillId="26" borderId="10" xfId="2" applyFont="1" applyFill="1" applyBorder="1" applyAlignment="1">
      <alignment horizontal="center" vertical="center" wrapText="1"/>
    </xf>
    <xf numFmtId="0" fontId="38" fillId="26" borderId="1" xfId="2" applyFont="1" applyFill="1" applyBorder="1" applyAlignment="1">
      <alignment horizontal="center" vertical="center" wrapText="1"/>
    </xf>
    <xf numFmtId="173" fontId="38" fillId="26" borderId="1" xfId="2" applyNumberFormat="1" applyFont="1" applyFill="1" applyBorder="1" applyAlignment="1">
      <alignment horizontal="center" vertical="center" wrapText="1"/>
    </xf>
    <xf numFmtId="173" fontId="10" fillId="26" borderId="1" xfId="2" applyNumberFormat="1"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6"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4" fontId="80" fillId="0" borderId="48"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xf>
    <xf numFmtId="174"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5" fontId="41" fillId="0" borderId="48" xfId="0" applyNumberFormat="1" applyFont="1" applyFill="1" applyBorder="1" applyAlignment="1" applyProtection="1">
      <alignment horizontal="center"/>
    </xf>
    <xf numFmtId="170" fontId="80" fillId="0" borderId="48" xfId="0" applyNumberFormat="1" applyFont="1" applyFill="1" applyBorder="1" applyAlignment="1" applyProtection="1">
      <alignment horizontal="center" vertical="center"/>
    </xf>
    <xf numFmtId="164" fontId="80"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56" fillId="0" borderId="1" xfId="1" applyFont="1" applyFill="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38" fillId="26" borderId="10" xfId="2" applyFont="1" applyFill="1" applyBorder="1" applyAlignment="1">
      <alignment horizontal="center" vertical="center" wrapText="1"/>
    </xf>
    <xf numFmtId="0" fontId="11" fillId="26" borderId="0" xfId="2" applyFont="1" applyFill="1" applyAlignment="1">
      <alignment horizontal="right" vertical="center"/>
    </xf>
    <xf numFmtId="0" fontId="11" fillId="26" borderId="0" xfId="2" applyFont="1" applyFill="1" applyAlignment="1">
      <alignment horizontal="right"/>
    </xf>
    <xf numFmtId="0" fontId="53" fillId="26" borderId="0" xfId="2" applyFont="1" applyFill="1" applyAlignment="1">
      <alignment vertical="center"/>
    </xf>
    <xf numFmtId="0" fontId="11" fillId="26" borderId="0" xfId="2" applyFont="1" applyFill="1" applyAlignment="1"/>
    <xf numFmtId="173" fontId="10" fillId="26" borderId="0" xfId="2" applyNumberFormat="1" applyFont="1" applyFill="1"/>
    <xf numFmtId="0" fontId="38" fillId="26" borderId="0" xfId="52" applyFont="1" applyFill="1" applyAlignment="1"/>
    <xf numFmtId="0" fontId="38" fillId="26" borderId="1" xfId="2" applyFont="1" applyFill="1" applyBorder="1" applyAlignment="1">
      <alignment horizontal="center" vertical="center" textRotation="90"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0" fontId="10" fillId="26" borderId="6" xfId="2" applyFont="1"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wrapText="1"/>
    </xf>
    <xf numFmtId="0" fontId="10" fillId="26" borderId="0" xfId="2" applyFont="1" applyFill="1" applyBorder="1"/>
    <xf numFmtId="0" fontId="10" fillId="26" borderId="0" xfId="2" applyFont="1" applyFill="1" applyBorder="1" applyAlignment="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26" borderId="0" xfId="1" applyFont="1" applyFill="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52" fillId="26" borderId="0" xfId="1" applyFont="1" applyFill="1" applyAlignment="1">
      <alignment horizontal="center" vertical="center" wrapText="1"/>
    </xf>
    <xf numFmtId="0" fontId="10" fillId="26" borderId="0" xfId="2" applyFont="1"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0" fillId="0" borderId="0" xfId="0" applyAlignment="1">
      <alignment horizontal="center" vertical="center" textRotation="90" wrapText="1"/>
    </xf>
    <xf numFmtId="0" fontId="0" fillId="0" borderId="0" xfId="0" applyAlignment="1">
      <alignment horizontal="center" vertical="center" wrapText="1" shrinkToFit="1"/>
    </xf>
    <xf numFmtId="165" fontId="71" fillId="0" borderId="48" xfId="0" applyNumberFormat="1" applyFont="1" applyBorder="1" applyAlignment="1">
      <alignment vertical="center"/>
    </xf>
    <xf numFmtId="174" fontId="71" fillId="0" borderId="48" xfId="0" applyNumberFormat="1" applyFont="1" applyBorder="1" applyAlignment="1">
      <alignment vertic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7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10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80" zoomScaleSheetLayoutView="80" workbookViewId="0">
      <selection activeCell="C45" sqref="C4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8" t="s">
        <v>66</v>
      </c>
      <c r="F1" s="14"/>
      <c r="G1" s="14"/>
    </row>
    <row r="2" spans="1:22" s="10" customFormat="1" ht="18.75" customHeight="1" x14ac:dyDescent="0.3">
      <c r="A2" s="16"/>
      <c r="C2" s="13" t="s">
        <v>8</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375" t="s">
        <v>683</v>
      </c>
      <c r="B5" s="375"/>
      <c r="C5" s="375"/>
      <c r="D5" s="104"/>
      <c r="E5" s="104"/>
      <c r="F5" s="104"/>
      <c r="G5" s="104"/>
      <c r="H5" s="104"/>
      <c r="I5" s="104"/>
      <c r="J5" s="104"/>
    </row>
    <row r="6" spans="1:22" s="10" customFormat="1" ht="18.75" x14ac:dyDescent="0.3">
      <c r="A6" s="15"/>
      <c r="F6" s="14"/>
      <c r="G6" s="14"/>
      <c r="H6" s="13"/>
    </row>
    <row r="7" spans="1:22" s="10" customFormat="1" ht="18.75" x14ac:dyDescent="0.2">
      <c r="A7" s="379" t="s">
        <v>7</v>
      </c>
      <c r="B7" s="379"/>
      <c r="C7" s="379"/>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82" t="s">
        <v>569</v>
      </c>
      <c r="B9" s="382"/>
      <c r="C9" s="382"/>
      <c r="D9" s="6"/>
      <c r="E9" s="6"/>
      <c r="F9" s="6"/>
      <c r="G9" s="6"/>
      <c r="H9" s="6"/>
      <c r="I9" s="11"/>
      <c r="J9" s="11"/>
      <c r="K9" s="11"/>
      <c r="L9" s="11"/>
      <c r="M9" s="11"/>
      <c r="N9" s="11"/>
      <c r="O9" s="11"/>
      <c r="P9" s="11"/>
      <c r="Q9" s="11"/>
      <c r="R9" s="11"/>
      <c r="S9" s="11"/>
      <c r="T9" s="11"/>
      <c r="U9" s="11"/>
      <c r="V9" s="11"/>
    </row>
    <row r="10" spans="1:22" s="10" customFormat="1" ht="18.75" x14ac:dyDescent="0.2">
      <c r="A10" s="376" t="s">
        <v>6</v>
      </c>
      <c r="B10" s="376"/>
      <c r="C10" s="376"/>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80" t="s">
        <v>572</v>
      </c>
      <c r="B12" s="380"/>
      <c r="C12" s="380"/>
      <c r="D12" s="6"/>
      <c r="E12" s="6"/>
      <c r="F12" s="6"/>
      <c r="G12" s="6"/>
      <c r="H12" s="6"/>
      <c r="I12" s="11"/>
      <c r="J12" s="11"/>
      <c r="K12" s="11"/>
      <c r="L12" s="11"/>
      <c r="M12" s="11"/>
      <c r="N12" s="11"/>
      <c r="O12" s="11"/>
      <c r="P12" s="11"/>
      <c r="Q12" s="11"/>
      <c r="R12" s="11"/>
      <c r="S12" s="11"/>
      <c r="T12" s="11"/>
      <c r="U12" s="11"/>
      <c r="V12" s="11"/>
    </row>
    <row r="13" spans="1:22" s="10" customFormat="1" ht="18.75" x14ac:dyDescent="0.2">
      <c r="A13" s="376" t="s">
        <v>5</v>
      </c>
      <c r="B13" s="376"/>
      <c r="C13" s="37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84.75" customHeight="1" x14ac:dyDescent="0.2">
      <c r="A15" s="381" t="s">
        <v>573</v>
      </c>
      <c r="B15" s="381"/>
      <c r="C15" s="381"/>
      <c r="D15" s="6"/>
      <c r="E15" s="6"/>
      <c r="F15" s="6"/>
      <c r="G15" s="6"/>
      <c r="H15" s="6"/>
      <c r="I15" s="6"/>
      <c r="J15" s="6"/>
      <c r="K15" s="6"/>
      <c r="L15" s="6"/>
      <c r="M15" s="6"/>
      <c r="N15" s="6"/>
      <c r="O15" s="6"/>
      <c r="P15" s="6"/>
      <c r="Q15" s="6"/>
      <c r="R15" s="6"/>
      <c r="S15" s="6"/>
      <c r="T15" s="6"/>
      <c r="U15" s="6"/>
      <c r="V15" s="6"/>
    </row>
    <row r="16" spans="1:22" s="2" customFormat="1" ht="15" customHeight="1" x14ac:dyDescent="0.2">
      <c r="A16" s="376" t="s">
        <v>4</v>
      </c>
      <c r="B16" s="376"/>
      <c r="C16" s="37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77" t="s">
        <v>408</v>
      </c>
      <c r="B18" s="378"/>
      <c r="C18" s="37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3</v>
      </c>
      <c r="B20" s="27" t="s">
        <v>64</v>
      </c>
      <c r="C20" s="26" t="s">
        <v>63</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6">
        <v>1</v>
      </c>
      <c r="B21" s="27">
        <v>2</v>
      </c>
      <c r="C21" s="26">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62</v>
      </c>
      <c r="B22" s="30" t="s">
        <v>290</v>
      </c>
      <c r="C22" s="29" t="s">
        <v>574</v>
      </c>
      <c r="D22" s="22"/>
      <c r="E22" s="22"/>
      <c r="F22" s="22"/>
      <c r="G22" s="22"/>
      <c r="H22" s="22"/>
      <c r="I22" s="21"/>
      <c r="J22" s="21"/>
      <c r="K22" s="21"/>
      <c r="L22" s="21"/>
      <c r="M22" s="21"/>
      <c r="N22" s="21"/>
      <c r="O22" s="21"/>
      <c r="P22" s="21"/>
      <c r="Q22" s="21"/>
      <c r="R22" s="21"/>
      <c r="S22" s="21"/>
      <c r="T22" s="20"/>
      <c r="U22" s="20"/>
      <c r="V22" s="20"/>
    </row>
    <row r="23" spans="1:22" s="2" customFormat="1" ht="31.5" x14ac:dyDescent="0.2">
      <c r="A23" s="18" t="s">
        <v>61</v>
      </c>
      <c r="B23" s="25" t="s">
        <v>537</v>
      </c>
      <c r="C23" s="29" t="s">
        <v>575</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69"/>
      <c r="B24" s="370"/>
      <c r="C24" s="371"/>
      <c r="D24" s="22"/>
      <c r="E24" s="22"/>
      <c r="F24" s="22"/>
      <c r="G24" s="22"/>
      <c r="H24" s="22"/>
      <c r="I24" s="21"/>
      <c r="J24" s="21"/>
      <c r="K24" s="21"/>
      <c r="L24" s="21"/>
      <c r="M24" s="21"/>
      <c r="N24" s="21"/>
      <c r="O24" s="21"/>
      <c r="P24" s="21"/>
      <c r="Q24" s="21"/>
      <c r="R24" s="21"/>
      <c r="S24" s="21"/>
      <c r="T24" s="20"/>
      <c r="U24" s="20"/>
      <c r="V24" s="20"/>
    </row>
    <row r="25" spans="1:22" s="126" customFormat="1" ht="58.5" customHeight="1" x14ac:dyDescent="0.2">
      <c r="A25" s="18" t="s">
        <v>60</v>
      </c>
      <c r="B25" s="102" t="s">
        <v>357</v>
      </c>
      <c r="C25" s="24" t="s">
        <v>541</v>
      </c>
      <c r="D25" s="124"/>
      <c r="E25" s="124"/>
      <c r="F25" s="124"/>
      <c r="G25" s="124"/>
      <c r="H25" s="123"/>
      <c r="I25" s="123"/>
      <c r="J25" s="123"/>
      <c r="K25" s="123"/>
      <c r="L25" s="123"/>
      <c r="M25" s="123"/>
      <c r="N25" s="123"/>
      <c r="O25" s="123"/>
      <c r="P25" s="123"/>
      <c r="Q25" s="123"/>
      <c r="R25" s="123"/>
      <c r="S25" s="125"/>
      <c r="T25" s="125"/>
      <c r="U25" s="125"/>
      <c r="V25" s="125"/>
    </row>
    <row r="26" spans="1:22" s="126" customFormat="1" ht="42.75" customHeight="1" x14ac:dyDescent="0.2">
      <c r="A26" s="18" t="s">
        <v>59</v>
      </c>
      <c r="B26" s="102" t="s">
        <v>72</v>
      </c>
      <c r="C26" s="24" t="s">
        <v>423</v>
      </c>
      <c r="D26" s="124"/>
      <c r="E26" s="124"/>
      <c r="F26" s="124"/>
      <c r="G26" s="124"/>
      <c r="H26" s="123"/>
      <c r="I26" s="123"/>
      <c r="J26" s="123"/>
      <c r="K26" s="123"/>
      <c r="L26" s="123"/>
      <c r="M26" s="123"/>
      <c r="N26" s="123"/>
      <c r="O26" s="123"/>
      <c r="P26" s="123"/>
      <c r="Q26" s="123"/>
      <c r="R26" s="123"/>
      <c r="S26" s="125"/>
      <c r="T26" s="125"/>
      <c r="U26" s="125"/>
      <c r="V26" s="125"/>
    </row>
    <row r="27" spans="1:22" s="126" customFormat="1" ht="51.75" customHeight="1" x14ac:dyDescent="0.2">
      <c r="A27" s="18" t="s">
        <v>57</v>
      </c>
      <c r="B27" s="102" t="s">
        <v>71</v>
      </c>
      <c r="C27" s="24" t="s">
        <v>651</v>
      </c>
      <c r="D27" s="124"/>
      <c r="E27" s="124"/>
      <c r="F27" s="124"/>
      <c r="G27" s="124"/>
      <c r="H27" s="123"/>
      <c r="I27" s="123"/>
      <c r="J27" s="123"/>
      <c r="K27" s="123"/>
      <c r="L27" s="123"/>
      <c r="M27" s="123"/>
      <c r="N27" s="123"/>
      <c r="O27" s="123"/>
      <c r="P27" s="123"/>
      <c r="Q27" s="123"/>
      <c r="R27" s="123"/>
      <c r="S27" s="125"/>
      <c r="T27" s="125"/>
      <c r="U27" s="125"/>
      <c r="V27" s="125"/>
    </row>
    <row r="28" spans="1:22" s="126" customFormat="1" ht="42.75" customHeight="1" x14ac:dyDescent="0.2">
      <c r="A28" s="18" t="s">
        <v>56</v>
      </c>
      <c r="B28" s="102" t="s">
        <v>358</v>
      </c>
      <c r="C28" s="24" t="s">
        <v>436</v>
      </c>
      <c r="D28" s="124"/>
      <c r="E28" s="124"/>
      <c r="F28" s="124"/>
      <c r="G28" s="124"/>
      <c r="H28" s="123"/>
      <c r="I28" s="123"/>
      <c r="J28" s="123"/>
      <c r="K28" s="123"/>
      <c r="L28" s="123"/>
      <c r="M28" s="123"/>
      <c r="N28" s="123"/>
      <c r="O28" s="123"/>
      <c r="P28" s="123"/>
      <c r="Q28" s="123"/>
      <c r="R28" s="123"/>
      <c r="S28" s="125"/>
      <c r="T28" s="125"/>
      <c r="U28" s="125"/>
      <c r="V28" s="125"/>
    </row>
    <row r="29" spans="1:22" s="126" customFormat="1" ht="51.75" customHeight="1" x14ac:dyDescent="0.2">
      <c r="A29" s="18" t="s">
        <v>54</v>
      </c>
      <c r="B29" s="102" t="s">
        <v>359</v>
      </c>
      <c r="C29" s="24" t="s">
        <v>436</v>
      </c>
      <c r="D29" s="124"/>
      <c r="E29" s="124"/>
      <c r="F29" s="124"/>
      <c r="G29" s="124"/>
      <c r="H29" s="123"/>
      <c r="I29" s="123"/>
      <c r="J29" s="123"/>
      <c r="K29" s="123"/>
      <c r="L29" s="123"/>
      <c r="M29" s="123"/>
      <c r="N29" s="123"/>
      <c r="O29" s="123"/>
      <c r="P29" s="123"/>
      <c r="Q29" s="123"/>
      <c r="R29" s="123"/>
      <c r="S29" s="125"/>
      <c r="T29" s="125"/>
      <c r="U29" s="125"/>
      <c r="V29" s="125"/>
    </row>
    <row r="30" spans="1:22" s="126" customFormat="1" ht="51.75" customHeight="1" x14ac:dyDescent="0.2">
      <c r="A30" s="18" t="s">
        <v>52</v>
      </c>
      <c r="B30" s="102" t="s">
        <v>360</v>
      </c>
      <c r="C30" s="24" t="s">
        <v>436</v>
      </c>
      <c r="D30" s="124"/>
      <c r="E30" s="124"/>
      <c r="F30" s="124"/>
      <c r="G30" s="124"/>
      <c r="H30" s="123"/>
      <c r="I30" s="123"/>
      <c r="J30" s="123"/>
      <c r="K30" s="123"/>
      <c r="L30" s="123"/>
      <c r="M30" s="123"/>
      <c r="N30" s="123"/>
      <c r="O30" s="123"/>
      <c r="P30" s="123"/>
      <c r="Q30" s="123"/>
      <c r="R30" s="123"/>
      <c r="S30" s="125"/>
      <c r="T30" s="125"/>
      <c r="U30" s="125"/>
      <c r="V30" s="125"/>
    </row>
    <row r="31" spans="1:22" s="126" customFormat="1" ht="51.75" customHeight="1" x14ac:dyDescent="0.2">
      <c r="A31" s="18" t="s">
        <v>70</v>
      </c>
      <c r="B31" s="102" t="s">
        <v>361</v>
      </c>
      <c r="C31" s="24" t="s">
        <v>437</v>
      </c>
      <c r="D31" s="124"/>
      <c r="E31" s="124"/>
      <c r="F31" s="124"/>
      <c r="G31" s="124"/>
      <c r="H31" s="123"/>
      <c r="I31" s="123"/>
      <c r="J31" s="123"/>
      <c r="K31" s="123"/>
      <c r="L31" s="123"/>
      <c r="M31" s="123"/>
      <c r="N31" s="123"/>
      <c r="O31" s="123"/>
      <c r="P31" s="123"/>
      <c r="Q31" s="123"/>
      <c r="R31" s="123"/>
      <c r="S31" s="125"/>
      <c r="T31" s="125"/>
      <c r="U31" s="125"/>
      <c r="V31" s="125"/>
    </row>
    <row r="32" spans="1:22" s="126" customFormat="1" ht="51.75" customHeight="1" x14ac:dyDescent="0.2">
      <c r="A32" s="18" t="s">
        <v>68</v>
      </c>
      <c r="B32" s="102" t="s">
        <v>362</v>
      </c>
      <c r="C32" s="24" t="s">
        <v>437</v>
      </c>
      <c r="D32" s="124"/>
      <c r="E32" s="124"/>
      <c r="F32" s="124"/>
      <c r="G32" s="124"/>
      <c r="H32" s="123"/>
      <c r="I32" s="123"/>
      <c r="J32" s="123"/>
      <c r="K32" s="123"/>
      <c r="L32" s="123"/>
      <c r="M32" s="123"/>
      <c r="N32" s="123"/>
      <c r="O32" s="123"/>
      <c r="P32" s="123"/>
      <c r="Q32" s="123"/>
      <c r="R32" s="123"/>
      <c r="S32" s="125"/>
      <c r="T32" s="125"/>
      <c r="U32" s="125"/>
      <c r="V32" s="125"/>
    </row>
    <row r="33" spans="1:22" s="126" customFormat="1" ht="101.25" customHeight="1" x14ac:dyDescent="0.2">
      <c r="A33" s="18" t="s">
        <v>67</v>
      </c>
      <c r="B33" s="102" t="s">
        <v>363</v>
      </c>
      <c r="C33" s="102" t="s">
        <v>549</v>
      </c>
      <c r="D33" s="124"/>
      <c r="E33" s="124"/>
      <c r="F33" s="124"/>
      <c r="G33" s="124"/>
      <c r="H33" s="123"/>
      <c r="I33" s="123"/>
      <c r="J33" s="123"/>
      <c r="K33" s="123"/>
      <c r="L33" s="123"/>
      <c r="M33" s="123"/>
      <c r="N33" s="123"/>
      <c r="O33" s="123"/>
      <c r="P33" s="123"/>
      <c r="Q33" s="123"/>
      <c r="R33" s="123"/>
      <c r="S33" s="125"/>
      <c r="T33" s="125"/>
      <c r="U33" s="125"/>
      <c r="V33" s="125"/>
    </row>
    <row r="34" spans="1:22" ht="111" customHeight="1" x14ac:dyDescent="0.25">
      <c r="A34" s="18" t="s">
        <v>377</v>
      </c>
      <c r="B34" s="29" t="s">
        <v>364</v>
      </c>
      <c r="C34" s="19" t="s">
        <v>430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367</v>
      </c>
      <c r="B35" s="29" t="s">
        <v>69</v>
      </c>
      <c r="C35" s="19" t="s">
        <v>436</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378</v>
      </c>
      <c r="B36" s="29" t="s">
        <v>365</v>
      </c>
      <c r="C36" s="19" t="s">
        <v>436</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368</v>
      </c>
      <c r="B37" s="29" t="s">
        <v>366</v>
      </c>
      <c r="C37" s="19" t="s">
        <v>436</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379</v>
      </c>
      <c r="B38" s="29" t="s">
        <v>209</v>
      </c>
      <c r="C38" s="19" t="s">
        <v>436</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69"/>
      <c r="B39" s="370"/>
      <c r="C39" s="371"/>
      <c r="D39" s="17"/>
      <c r="E39" s="17"/>
      <c r="F39" s="17"/>
      <c r="G39" s="17"/>
      <c r="H39" s="17"/>
      <c r="I39" s="17"/>
      <c r="J39" s="17"/>
      <c r="K39" s="17"/>
      <c r="L39" s="17"/>
      <c r="M39" s="17"/>
      <c r="N39" s="17"/>
      <c r="O39" s="17"/>
      <c r="P39" s="17"/>
      <c r="Q39" s="17"/>
      <c r="R39" s="17"/>
      <c r="S39" s="17"/>
      <c r="T39" s="17"/>
      <c r="U39" s="17"/>
      <c r="V39" s="17"/>
    </row>
    <row r="40" spans="1:22" ht="63" x14ac:dyDescent="0.25">
      <c r="A40" s="18" t="s">
        <v>369</v>
      </c>
      <c r="B40" s="29" t="s">
        <v>420</v>
      </c>
      <c r="C40" s="343" t="s">
        <v>686</v>
      </c>
      <c r="D40" s="17"/>
      <c r="E40" s="17"/>
      <c r="F40" s="17"/>
      <c r="G40" s="17"/>
      <c r="H40" s="17"/>
      <c r="I40" s="17"/>
      <c r="J40" s="17"/>
      <c r="K40" s="17"/>
      <c r="L40" s="17"/>
      <c r="M40" s="17"/>
      <c r="N40" s="17"/>
      <c r="O40" s="17"/>
      <c r="P40" s="17"/>
      <c r="Q40" s="17"/>
      <c r="R40" s="17"/>
      <c r="S40" s="17"/>
      <c r="T40" s="17"/>
      <c r="U40" s="17"/>
      <c r="V40" s="17"/>
    </row>
    <row r="41" spans="1:22" ht="169.5" customHeight="1" x14ac:dyDescent="0.25">
      <c r="A41" s="18" t="s">
        <v>380</v>
      </c>
      <c r="B41" s="29" t="s">
        <v>403</v>
      </c>
      <c r="C41" s="158" t="s">
        <v>297</v>
      </c>
      <c r="D41" s="17"/>
      <c r="E41" s="17"/>
      <c r="F41" s="17"/>
      <c r="G41" s="17"/>
      <c r="H41" s="17"/>
      <c r="I41" s="17"/>
      <c r="J41" s="17"/>
      <c r="K41" s="17"/>
      <c r="L41" s="17"/>
      <c r="M41" s="17"/>
      <c r="N41" s="17"/>
      <c r="O41" s="17"/>
      <c r="P41" s="17"/>
      <c r="Q41" s="17"/>
      <c r="R41" s="17"/>
      <c r="S41" s="17"/>
      <c r="T41" s="17"/>
      <c r="U41" s="17"/>
      <c r="V41" s="17"/>
    </row>
    <row r="42" spans="1:22" ht="162.75" customHeight="1" x14ac:dyDescent="0.25">
      <c r="A42" s="18" t="s">
        <v>370</v>
      </c>
      <c r="B42" s="29" t="s">
        <v>417</v>
      </c>
      <c r="C42" s="158" t="s">
        <v>685</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383</v>
      </c>
      <c r="B43" s="29" t="s">
        <v>384</v>
      </c>
      <c r="C43" s="106" t="s">
        <v>545</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56" t="s">
        <v>371</v>
      </c>
      <c r="B44" s="158" t="s">
        <v>409</v>
      </c>
      <c r="C44" s="347" t="s">
        <v>687</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56" t="s">
        <v>404</v>
      </c>
      <c r="B45" s="158" t="s">
        <v>410</v>
      </c>
      <c r="C45" s="345">
        <f>11/16</f>
        <v>0.6875</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56" t="s">
        <v>372</v>
      </c>
      <c r="B46" s="158" t="s">
        <v>411</v>
      </c>
      <c r="C46" s="344" t="s">
        <v>440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372"/>
      <c r="B47" s="373"/>
      <c r="C47" s="374"/>
      <c r="D47" s="17"/>
      <c r="E47" s="17"/>
      <c r="F47" s="17"/>
      <c r="G47" s="17"/>
      <c r="H47" s="17"/>
      <c r="I47" s="17"/>
      <c r="J47" s="17"/>
      <c r="K47" s="17"/>
      <c r="L47" s="17"/>
      <c r="M47" s="17"/>
      <c r="N47" s="17"/>
      <c r="O47" s="17"/>
      <c r="P47" s="17"/>
      <c r="Q47" s="17"/>
      <c r="R47" s="17"/>
      <c r="S47" s="17"/>
      <c r="T47" s="17"/>
      <c r="U47" s="17"/>
      <c r="V47" s="17"/>
    </row>
    <row r="48" spans="1:22" ht="75.75" hidden="1" customHeight="1" x14ac:dyDescent="0.25">
      <c r="A48" s="156" t="s">
        <v>405</v>
      </c>
      <c r="B48" s="158" t="s">
        <v>418</v>
      </c>
      <c r="C48" s="346" t="str">
        <f>CONCATENATE(ROUND('6.2. Паспорт фин осв ввод факт'!AB24,2)," млн.руб.")</f>
        <v>294,53 млн.руб.</v>
      </c>
      <c r="D48" s="17" t="s">
        <v>543</v>
      </c>
      <c r="E48" s="17"/>
      <c r="F48" s="17"/>
      <c r="G48" s="17"/>
      <c r="H48" s="17"/>
      <c r="I48" s="17"/>
      <c r="J48" s="17"/>
      <c r="K48" s="17"/>
      <c r="L48" s="17"/>
      <c r="M48" s="17"/>
      <c r="N48" s="17"/>
      <c r="O48" s="17"/>
      <c r="P48" s="17"/>
      <c r="Q48" s="17"/>
      <c r="R48" s="17"/>
      <c r="S48" s="17"/>
      <c r="T48" s="17"/>
      <c r="U48" s="17"/>
      <c r="V48" s="17"/>
    </row>
    <row r="49" spans="1:22" ht="71.25" hidden="1" customHeight="1" x14ac:dyDescent="0.25">
      <c r="A49" s="156" t="s">
        <v>373</v>
      </c>
      <c r="B49" s="158" t="s">
        <v>419</v>
      </c>
      <c r="C49" s="346" t="str">
        <f>CONCATENATE(ROUND('6.2. Паспорт фин осв ввод факт'!AB30,2)," млн.руб.")</f>
        <v>249,6 млн.руб.</v>
      </c>
      <c r="D49" s="17" t="s">
        <v>543</v>
      </c>
      <c r="E49" s="17"/>
      <c r="F49" s="17"/>
      <c r="G49" s="17"/>
      <c r="H49" s="17"/>
      <c r="I49" s="17"/>
      <c r="J49" s="17"/>
      <c r="K49" s="17"/>
      <c r="L49" s="17"/>
      <c r="M49" s="17"/>
      <c r="N49" s="17"/>
      <c r="O49" s="17"/>
      <c r="P49" s="17"/>
      <c r="Q49" s="17"/>
      <c r="R49" s="17"/>
      <c r="S49" s="17"/>
      <c r="T49" s="17"/>
      <c r="U49" s="17"/>
      <c r="V49" s="17"/>
    </row>
    <row r="50" spans="1:22" ht="75.75" customHeight="1" x14ac:dyDescent="0.25">
      <c r="A50" s="156" t="s">
        <v>405</v>
      </c>
      <c r="B50" s="158" t="s">
        <v>418</v>
      </c>
      <c r="C50" s="346" t="str">
        <f>CONCATENATE(ROUND('6.2. Паспорт фин осв ввод'!AB24,2)," млн.руб.")</f>
        <v>170,64 млн.руб.</v>
      </c>
      <c r="D50" s="17" t="s">
        <v>544</v>
      </c>
      <c r="E50" s="17"/>
      <c r="F50" s="17"/>
      <c r="G50" s="17"/>
      <c r="H50" s="17"/>
      <c r="I50" s="17"/>
      <c r="J50" s="17"/>
      <c r="K50" s="17"/>
      <c r="L50" s="17"/>
      <c r="M50" s="17"/>
      <c r="N50" s="17"/>
      <c r="O50" s="17"/>
      <c r="P50" s="17"/>
      <c r="Q50" s="17"/>
      <c r="R50" s="17"/>
      <c r="S50" s="17"/>
      <c r="T50" s="17"/>
      <c r="U50" s="17"/>
      <c r="V50" s="17"/>
    </row>
    <row r="51" spans="1:22" ht="71.25" customHeight="1" x14ac:dyDescent="0.25">
      <c r="A51" s="18" t="s">
        <v>373</v>
      </c>
      <c r="B51" s="29" t="s">
        <v>419</v>
      </c>
      <c r="C51" s="211" t="str">
        <f>CONCATENATE(ROUND('6.2. Паспорт фин осв ввод'!AB30,2)," млн.руб.")</f>
        <v>166,24 млн.руб.</v>
      </c>
      <c r="D51" s="17" t="s">
        <v>544</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row r="339" spans="1:22"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row>
    <row r="340" spans="1:22"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3" customWidth="1"/>
    <col min="8" max="11" width="9.28515625" style="43" customWidth="1"/>
    <col min="12" max="27" width="9.28515625" style="42" customWidth="1"/>
    <col min="28" max="28" width="13.140625" style="42" customWidth="1"/>
    <col min="29" max="29" width="24.85546875" style="42" customWidth="1"/>
    <col min="30" max="30" width="9.140625" style="42"/>
    <col min="31" max="31" width="10.7109375" style="42" bestFit="1" customWidth="1"/>
    <col min="32" max="32" width="9.5703125" style="42" bestFit="1" customWidth="1"/>
    <col min="33" max="16384" width="9.140625" style="42"/>
  </cols>
  <sheetData>
    <row r="1" spans="1:29" ht="18.75" x14ac:dyDescent="0.25">
      <c r="A1" s="43"/>
      <c r="B1" s="43"/>
      <c r="C1" s="43"/>
      <c r="D1" s="43"/>
      <c r="E1" s="43"/>
      <c r="F1" s="43"/>
      <c r="L1" s="43"/>
      <c r="M1" s="43"/>
      <c r="T1" s="43"/>
      <c r="U1" s="43"/>
      <c r="AC1" s="28" t="s">
        <v>66</v>
      </c>
    </row>
    <row r="2" spans="1:29" ht="18.75" x14ac:dyDescent="0.3">
      <c r="A2" s="43"/>
      <c r="B2" s="43"/>
      <c r="C2" s="43"/>
      <c r="D2" s="43"/>
      <c r="E2" s="43"/>
      <c r="F2" s="43"/>
      <c r="L2" s="43"/>
      <c r="M2" s="43"/>
      <c r="T2" s="43"/>
      <c r="U2" s="43"/>
      <c r="AC2" s="13" t="s">
        <v>8</v>
      </c>
    </row>
    <row r="3" spans="1:29" ht="18.75" x14ac:dyDescent="0.3">
      <c r="A3" s="43"/>
      <c r="B3" s="43"/>
      <c r="C3" s="43"/>
      <c r="D3" s="43"/>
      <c r="E3" s="43"/>
      <c r="F3" s="43"/>
      <c r="L3" s="43"/>
      <c r="M3" s="43"/>
      <c r="T3" s="43"/>
      <c r="U3" s="43"/>
      <c r="AC3" s="13" t="s">
        <v>65</v>
      </c>
    </row>
    <row r="4" spans="1:29" ht="18.75" customHeight="1" x14ac:dyDescent="0.25">
      <c r="A4" s="449" t="str">
        <f>'1. паспорт местоположение'!A5:C5</f>
        <v>Год раскрытия информации: 2021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43"/>
      <c r="B5" s="43"/>
      <c r="C5" s="43"/>
      <c r="D5" s="43"/>
      <c r="E5" s="43"/>
      <c r="F5" s="43"/>
      <c r="L5" s="43"/>
      <c r="M5" s="43"/>
      <c r="T5" s="43"/>
      <c r="U5" s="43"/>
      <c r="AC5" s="13"/>
    </row>
    <row r="6" spans="1:29" ht="18.75" x14ac:dyDescent="0.25">
      <c r="A6" s="379" t="s">
        <v>7</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row>
    <row r="7" spans="1:29" ht="18.75" x14ac:dyDescent="0.25">
      <c r="A7" s="11"/>
      <c r="B7" s="11"/>
      <c r="C7" s="11"/>
      <c r="D7" s="11"/>
      <c r="E7" s="11"/>
      <c r="F7" s="11"/>
      <c r="G7" s="11"/>
      <c r="H7" s="11"/>
      <c r="I7" s="11"/>
      <c r="J7" s="66"/>
      <c r="K7" s="66"/>
      <c r="L7" s="66"/>
      <c r="M7" s="66"/>
      <c r="N7" s="66"/>
      <c r="O7" s="66"/>
      <c r="P7" s="66"/>
      <c r="Q7" s="66"/>
      <c r="R7" s="66"/>
      <c r="S7" s="66"/>
      <c r="T7" s="66"/>
      <c r="U7" s="66"/>
      <c r="V7" s="66"/>
      <c r="W7" s="66"/>
      <c r="X7" s="66"/>
      <c r="Y7" s="66"/>
      <c r="Z7" s="66"/>
      <c r="AA7" s="66"/>
      <c r="AB7" s="66"/>
      <c r="AC7" s="66"/>
    </row>
    <row r="8" spans="1:29" x14ac:dyDescent="0.25">
      <c r="A8" s="450" t="str">
        <f>'1. паспорт местоположение'!A9:C9</f>
        <v xml:space="preserve">Акционерное общество "Западная энергетическая компания" </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376" t="s">
        <v>6</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row>
    <row r="10" spans="1:29" ht="18.75" x14ac:dyDescent="0.25">
      <c r="A10" s="11"/>
      <c r="B10" s="11"/>
      <c r="C10" s="11"/>
      <c r="D10" s="11"/>
      <c r="E10" s="11"/>
      <c r="F10" s="11"/>
      <c r="G10" s="11"/>
      <c r="H10" s="11"/>
      <c r="I10" s="11"/>
      <c r="J10" s="66"/>
      <c r="K10" s="66"/>
      <c r="L10" s="66"/>
      <c r="M10" s="66"/>
      <c r="N10" s="66"/>
      <c r="O10" s="66"/>
      <c r="P10" s="66"/>
      <c r="Q10" s="66"/>
      <c r="R10" s="66"/>
      <c r="S10" s="66"/>
      <c r="T10" s="66"/>
      <c r="U10" s="66"/>
      <c r="V10" s="66"/>
      <c r="W10" s="66"/>
      <c r="X10" s="66"/>
      <c r="Y10" s="66"/>
      <c r="Z10" s="66"/>
      <c r="AA10" s="66"/>
      <c r="AB10" s="66"/>
      <c r="AC10" s="66"/>
    </row>
    <row r="11" spans="1:29" x14ac:dyDescent="0.25">
      <c r="A11" s="450" t="str">
        <f>'1. паспорт местоположение'!A12:C12</f>
        <v>K-20-02</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376" t="s">
        <v>5</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row>
    <row r="13" spans="1:29" ht="16.5" customHeight="1" x14ac:dyDescent="0.3">
      <c r="A13" s="9"/>
      <c r="B13" s="9"/>
      <c r="C13" s="9"/>
      <c r="D13" s="9"/>
      <c r="E13" s="9"/>
      <c r="F13" s="9"/>
      <c r="G13" s="9"/>
      <c r="H13" s="9"/>
      <c r="I13" s="9"/>
      <c r="J13" s="65"/>
      <c r="K13" s="65"/>
      <c r="L13" s="65"/>
      <c r="M13" s="65"/>
      <c r="N13" s="65"/>
      <c r="O13" s="65"/>
      <c r="P13" s="65"/>
      <c r="Q13" s="65"/>
      <c r="R13" s="65"/>
      <c r="S13" s="65"/>
      <c r="T13" s="65"/>
      <c r="U13" s="65"/>
      <c r="V13" s="65"/>
      <c r="W13" s="65"/>
      <c r="X13" s="65"/>
      <c r="Y13" s="65"/>
      <c r="Z13" s="65"/>
      <c r="AA13" s="65"/>
      <c r="AB13" s="65"/>
      <c r="AC13" s="65"/>
    </row>
    <row r="14" spans="1:29" ht="35.25" customHeight="1" x14ac:dyDescent="0.25">
      <c r="A14" s="451" t="str">
        <f>'1. паспорт местоположение'!A15:C15</f>
        <v>Приобретение электросетевого комплекса ООО "Татэнерго"</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376" t="s">
        <v>4</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43"/>
      <c r="L17" s="43"/>
      <c r="M17" s="43"/>
      <c r="N17" s="43"/>
      <c r="O17" s="43"/>
      <c r="P17" s="43"/>
      <c r="Q17" s="43"/>
      <c r="R17" s="43"/>
      <c r="S17" s="43"/>
      <c r="T17" s="43"/>
      <c r="U17" s="43"/>
      <c r="V17" s="43"/>
      <c r="W17" s="43"/>
      <c r="X17" s="43"/>
      <c r="Y17" s="43"/>
      <c r="Z17" s="43"/>
      <c r="AA17" s="43"/>
      <c r="AB17" s="43"/>
    </row>
    <row r="18" spans="1:32" x14ac:dyDescent="0.25">
      <c r="A18" s="457" t="s">
        <v>393</v>
      </c>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row>
    <row r="19" spans="1:32" x14ac:dyDescent="0.25">
      <c r="A19" s="43"/>
      <c r="B19" s="43"/>
      <c r="C19" s="43"/>
      <c r="D19" s="43"/>
      <c r="E19" s="43"/>
      <c r="F19" s="43"/>
      <c r="L19" s="43"/>
      <c r="M19" s="43"/>
      <c r="N19" s="43"/>
      <c r="O19" s="43"/>
      <c r="P19" s="43"/>
      <c r="Q19" s="43"/>
      <c r="R19" s="43"/>
      <c r="S19" s="43"/>
      <c r="T19" s="43"/>
      <c r="U19" s="43"/>
      <c r="V19" s="43"/>
      <c r="W19" s="43"/>
      <c r="X19" s="43"/>
      <c r="Y19" s="43"/>
      <c r="Z19" s="43"/>
      <c r="AA19" s="43"/>
      <c r="AB19" s="43"/>
    </row>
    <row r="20" spans="1:32" ht="33" customHeight="1" x14ac:dyDescent="0.25">
      <c r="A20" s="453" t="s">
        <v>183</v>
      </c>
      <c r="B20" s="453" t="s">
        <v>182</v>
      </c>
      <c r="C20" s="448" t="s">
        <v>181</v>
      </c>
      <c r="D20" s="448"/>
      <c r="E20" s="456" t="s">
        <v>180</v>
      </c>
      <c r="F20" s="456"/>
      <c r="G20" s="453" t="s">
        <v>424</v>
      </c>
      <c r="H20" s="459" t="s">
        <v>425</v>
      </c>
      <c r="I20" s="460"/>
      <c r="J20" s="460"/>
      <c r="K20" s="460"/>
      <c r="L20" s="459" t="s">
        <v>426</v>
      </c>
      <c r="M20" s="460"/>
      <c r="N20" s="460"/>
      <c r="O20" s="460"/>
      <c r="P20" s="459" t="s">
        <v>427</v>
      </c>
      <c r="Q20" s="460"/>
      <c r="R20" s="460"/>
      <c r="S20" s="460"/>
      <c r="T20" s="459" t="s">
        <v>442</v>
      </c>
      <c r="U20" s="460"/>
      <c r="V20" s="460"/>
      <c r="W20" s="460"/>
      <c r="X20" s="459" t="s">
        <v>443</v>
      </c>
      <c r="Y20" s="460"/>
      <c r="Z20" s="460"/>
      <c r="AA20" s="460"/>
      <c r="AB20" s="458" t="s">
        <v>179</v>
      </c>
      <c r="AC20" s="458"/>
      <c r="AD20" s="64"/>
      <c r="AE20" s="64"/>
      <c r="AF20" s="64"/>
    </row>
    <row r="21" spans="1:32" ht="99.75" customHeight="1" x14ac:dyDescent="0.25">
      <c r="A21" s="454"/>
      <c r="B21" s="454"/>
      <c r="C21" s="448"/>
      <c r="D21" s="448"/>
      <c r="E21" s="456"/>
      <c r="F21" s="456"/>
      <c r="G21" s="454"/>
      <c r="H21" s="448" t="s">
        <v>2</v>
      </c>
      <c r="I21" s="448"/>
      <c r="J21" s="448" t="s">
        <v>9</v>
      </c>
      <c r="K21" s="448"/>
      <c r="L21" s="448" t="s">
        <v>2</v>
      </c>
      <c r="M21" s="448"/>
      <c r="N21" s="448" t="s">
        <v>9</v>
      </c>
      <c r="O21" s="448"/>
      <c r="P21" s="448" t="s">
        <v>2</v>
      </c>
      <c r="Q21" s="448"/>
      <c r="R21" s="448" t="s">
        <v>178</v>
      </c>
      <c r="S21" s="448"/>
      <c r="T21" s="448" t="s">
        <v>2</v>
      </c>
      <c r="U21" s="448"/>
      <c r="V21" s="448" t="s">
        <v>178</v>
      </c>
      <c r="W21" s="448"/>
      <c r="X21" s="448" t="s">
        <v>2</v>
      </c>
      <c r="Y21" s="448"/>
      <c r="Z21" s="448" t="s">
        <v>178</v>
      </c>
      <c r="AA21" s="448"/>
      <c r="AB21" s="458"/>
      <c r="AC21" s="458"/>
    </row>
    <row r="22" spans="1:32" ht="89.25" customHeight="1" x14ac:dyDescent="0.25">
      <c r="A22" s="455"/>
      <c r="B22" s="455"/>
      <c r="C22" s="61" t="s">
        <v>2</v>
      </c>
      <c r="D22" s="61" t="s">
        <v>178</v>
      </c>
      <c r="E22" s="63" t="s">
        <v>441</v>
      </c>
      <c r="F22" s="63" t="s">
        <v>486</v>
      </c>
      <c r="G22" s="455"/>
      <c r="H22" s="62" t="s">
        <v>374</v>
      </c>
      <c r="I22" s="62" t="s">
        <v>375</v>
      </c>
      <c r="J22" s="62" t="s">
        <v>374</v>
      </c>
      <c r="K22" s="62" t="s">
        <v>375</v>
      </c>
      <c r="L22" s="62" t="s">
        <v>374</v>
      </c>
      <c r="M22" s="62" t="s">
        <v>375</v>
      </c>
      <c r="N22" s="62" t="s">
        <v>374</v>
      </c>
      <c r="O22" s="62" t="s">
        <v>375</v>
      </c>
      <c r="P22" s="62" t="s">
        <v>374</v>
      </c>
      <c r="Q22" s="62" t="s">
        <v>375</v>
      </c>
      <c r="R22" s="62" t="s">
        <v>374</v>
      </c>
      <c r="S22" s="62" t="s">
        <v>375</v>
      </c>
      <c r="T22" s="62" t="s">
        <v>374</v>
      </c>
      <c r="U22" s="62" t="s">
        <v>375</v>
      </c>
      <c r="V22" s="62" t="s">
        <v>374</v>
      </c>
      <c r="W22" s="62" t="s">
        <v>375</v>
      </c>
      <c r="X22" s="62" t="s">
        <v>374</v>
      </c>
      <c r="Y22" s="62" t="s">
        <v>375</v>
      </c>
      <c r="Z22" s="62" t="s">
        <v>374</v>
      </c>
      <c r="AA22" s="62" t="s">
        <v>375</v>
      </c>
      <c r="AB22" s="61" t="s">
        <v>2</v>
      </c>
      <c r="AC22" s="120" t="s">
        <v>9</v>
      </c>
    </row>
    <row r="23" spans="1:32" ht="19.5" customHeight="1" x14ac:dyDescent="0.25">
      <c r="A23" s="54">
        <v>1</v>
      </c>
      <c r="B23" s="54">
        <v>2</v>
      </c>
      <c r="C23" s="54">
        <v>3</v>
      </c>
      <c r="D23" s="54">
        <v>4</v>
      </c>
      <c r="E23" s="54">
        <v>5</v>
      </c>
      <c r="F23" s="54">
        <v>6</v>
      </c>
      <c r="G23" s="101">
        <v>7</v>
      </c>
      <c r="H23" s="101">
        <v>8</v>
      </c>
      <c r="I23" s="101">
        <v>9</v>
      </c>
      <c r="J23" s="101">
        <v>10</v>
      </c>
      <c r="K23" s="101">
        <v>11</v>
      </c>
      <c r="L23" s="122">
        <v>12</v>
      </c>
      <c r="M23" s="122">
        <v>13</v>
      </c>
      <c r="N23" s="122">
        <v>14</v>
      </c>
      <c r="O23" s="122">
        <v>15</v>
      </c>
      <c r="P23" s="122">
        <v>16</v>
      </c>
      <c r="Q23" s="122">
        <v>17</v>
      </c>
      <c r="R23" s="122">
        <v>18</v>
      </c>
      <c r="S23" s="122">
        <v>19</v>
      </c>
      <c r="T23" s="101">
        <v>12</v>
      </c>
      <c r="U23" s="101">
        <v>13</v>
      </c>
      <c r="V23" s="101">
        <v>14</v>
      </c>
      <c r="W23" s="101">
        <v>15</v>
      </c>
      <c r="X23" s="101">
        <v>16</v>
      </c>
      <c r="Y23" s="101">
        <v>17</v>
      </c>
      <c r="Z23" s="101">
        <v>18</v>
      </c>
      <c r="AA23" s="101">
        <v>19</v>
      </c>
      <c r="AB23" s="101">
        <v>20</v>
      </c>
      <c r="AC23" s="119">
        <f t="shared" ref="AC23" si="0">AB23+1</f>
        <v>21</v>
      </c>
    </row>
    <row r="24" spans="1:32" ht="47.25" customHeight="1" x14ac:dyDescent="0.25">
      <c r="A24" s="59">
        <v>1</v>
      </c>
      <c r="B24" s="58" t="s">
        <v>177</v>
      </c>
      <c r="C24" s="115">
        <f>SUM(C25:C29)</f>
        <v>294.53059319620257</v>
      </c>
      <c r="D24" s="115">
        <v>0</v>
      </c>
      <c r="E24" s="115">
        <f>SUM(E25:E29)</f>
        <v>294.53059319620257</v>
      </c>
      <c r="F24" s="115">
        <f>SUM(F25:F29)</f>
        <v>293.97652119620255</v>
      </c>
      <c r="G24" s="115">
        <f t="shared" ref="G24" si="1">SUM(G25:G29)</f>
        <v>0</v>
      </c>
      <c r="H24" s="115">
        <f t="shared" ref="H24:M24" si="2">SUM(H25:H29)</f>
        <v>0.55407200000000001</v>
      </c>
      <c r="I24" s="115">
        <f t="shared" si="2"/>
        <v>0</v>
      </c>
      <c r="J24" s="115">
        <f t="shared" si="2"/>
        <v>0.55407200000000001</v>
      </c>
      <c r="K24" s="115">
        <f t="shared" si="2"/>
        <v>0</v>
      </c>
      <c r="L24" s="115">
        <f t="shared" si="2"/>
        <v>160.58748429999991</v>
      </c>
      <c r="M24" s="115">
        <f t="shared" si="2"/>
        <v>128.46998823999991</v>
      </c>
      <c r="N24" s="115">
        <f t="shared" ref="N24" si="3">SUM(N25:N29)</f>
        <v>134.10904273</v>
      </c>
      <c r="O24" s="115">
        <f t="shared" ref="O24:AA24" si="4">SUM(O25:O29)</f>
        <v>101.99154667000002</v>
      </c>
      <c r="P24" s="115">
        <f t="shared" si="4"/>
        <v>133.38903689620324</v>
      </c>
      <c r="Q24" s="115">
        <f t="shared" si="4"/>
        <v>0</v>
      </c>
      <c r="R24" s="115">
        <f t="shared" si="4"/>
        <v>0</v>
      </c>
      <c r="S24" s="115">
        <f t="shared" si="4"/>
        <v>0</v>
      </c>
      <c r="T24" s="115">
        <f t="shared" si="4"/>
        <v>0</v>
      </c>
      <c r="U24" s="115">
        <f t="shared" si="4"/>
        <v>0</v>
      </c>
      <c r="V24" s="115">
        <f t="shared" si="4"/>
        <v>0</v>
      </c>
      <c r="W24" s="115">
        <f t="shared" si="4"/>
        <v>0</v>
      </c>
      <c r="X24" s="115">
        <f t="shared" si="4"/>
        <v>0</v>
      </c>
      <c r="Y24" s="115">
        <f t="shared" si="4"/>
        <v>0</v>
      </c>
      <c r="Z24" s="115">
        <f t="shared" si="4"/>
        <v>0</v>
      </c>
      <c r="AA24" s="115">
        <f t="shared" si="4"/>
        <v>0</v>
      </c>
      <c r="AB24" s="121">
        <f t="shared" ref="AB24:AB64" si="5">SUM(H24,L24,P24,T24,X24)</f>
        <v>294.53059319620314</v>
      </c>
      <c r="AC24" s="121">
        <f>J24+N24+R24+V24+Z24</f>
        <v>134.66311472999999</v>
      </c>
    </row>
    <row r="25" spans="1:32" ht="24" customHeight="1" x14ac:dyDescent="0.25">
      <c r="A25" s="56" t="s">
        <v>176</v>
      </c>
      <c r="B25" s="32" t="s">
        <v>175</v>
      </c>
      <c r="C25" s="115">
        <v>0</v>
      </c>
      <c r="D25" s="115">
        <v>0</v>
      </c>
      <c r="E25" s="115">
        <f>C25</f>
        <v>0</v>
      </c>
      <c r="F25" s="115">
        <f>E25-G25-H25</f>
        <v>0</v>
      </c>
      <c r="G25" s="117">
        <v>0</v>
      </c>
      <c r="H25" s="117">
        <v>0</v>
      </c>
      <c r="I25" s="117">
        <v>0</v>
      </c>
      <c r="J25" s="117">
        <v>0</v>
      </c>
      <c r="K25" s="117">
        <v>0</v>
      </c>
      <c r="L25" s="117">
        <f>F25</f>
        <v>0</v>
      </c>
      <c r="M25" s="117">
        <v>0</v>
      </c>
      <c r="N25" s="117">
        <f t="shared" ref="N25:N27" si="6">F25</f>
        <v>0</v>
      </c>
      <c r="O25" s="117">
        <v>0</v>
      </c>
      <c r="P25" s="117">
        <v>0</v>
      </c>
      <c r="Q25" s="117">
        <v>0</v>
      </c>
      <c r="R25" s="117">
        <v>0</v>
      </c>
      <c r="S25" s="117">
        <v>0</v>
      </c>
      <c r="T25" s="117">
        <v>0</v>
      </c>
      <c r="U25" s="117">
        <v>0</v>
      </c>
      <c r="V25" s="117">
        <v>0</v>
      </c>
      <c r="W25" s="117">
        <v>0</v>
      </c>
      <c r="X25" s="117">
        <v>0</v>
      </c>
      <c r="Y25" s="117">
        <v>0</v>
      </c>
      <c r="Z25" s="117">
        <v>0</v>
      </c>
      <c r="AA25" s="117">
        <v>0</v>
      </c>
      <c r="AB25" s="121">
        <f t="shared" si="5"/>
        <v>0</v>
      </c>
      <c r="AC25" s="121">
        <f t="shared" ref="AC25:AC64" si="7">J25+N25+R25+V25+Z25</f>
        <v>0</v>
      </c>
    </row>
    <row r="26" spans="1:32" x14ac:dyDescent="0.25">
      <c r="A26" s="56" t="s">
        <v>174</v>
      </c>
      <c r="B26" s="32" t="s">
        <v>173</v>
      </c>
      <c r="C26" s="115">
        <v>0</v>
      </c>
      <c r="D26" s="115">
        <v>0</v>
      </c>
      <c r="E26" s="115">
        <f>C26</f>
        <v>0</v>
      </c>
      <c r="F26" s="115">
        <f>E26-G26-H26</f>
        <v>0</v>
      </c>
      <c r="G26" s="117">
        <v>0</v>
      </c>
      <c r="H26" s="117">
        <v>0</v>
      </c>
      <c r="I26" s="117">
        <v>0</v>
      </c>
      <c r="J26" s="117">
        <v>0</v>
      </c>
      <c r="K26" s="117">
        <v>0</v>
      </c>
      <c r="L26" s="117">
        <f>F26</f>
        <v>0</v>
      </c>
      <c r="M26" s="117">
        <v>0</v>
      </c>
      <c r="N26" s="117">
        <f t="shared" si="6"/>
        <v>0</v>
      </c>
      <c r="O26" s="117">
        <v>0</v>
      </c>
      <c r="P26" s="117">
        <v>0</v>
      </c>
      <c r="Q26" s="117">
        <v>0</v>
      </c>
      <c r="R26" s="117">
        <v>0</v>
      </c>
      <c r="S26" s="117">
        <v>0</v>
      </c>
      <c r="T26" s="117">
        <v>0</v>
      </c>
      <c r="U26" s="117">
        <v>0</v>
      </c>
      <c r="V26" s="117">
        <v>0</v>
      </c>
      <c r="W26" s="117">
        <v>0</v>
      </c>
      <c r="X26" s="117">
        <v>0</v>
      </c>
      <c r="Y26" s="117">
        <v>0</v>
      </c>
      <c r="Z26" s="117">
        <v>0</v>
      </c>
      <c r="AA26" s="117">
        <v>0</v>
      </c>
      <c r="AB26" s="121">
        <f t="shared" si="5"/>
        <v>0</v>
      </c>
      <c r="AC26" s="121">
        <f t="shared" si="7"/>
        <v>0</v>
      </c>
    </row>
    <row r="27" spans="1:32" ht="31.5" x14ac:dyDescent="0.25">
      <c r="A27" s="56" t="s">
        <v>172</v>
      </c>
      <c r="B27" s="32" t="s">
        <v>356</v>
      </c>
      <c r="C27" s="115">
        <v>0</v>
      </c>
      <c r="D27" s="115">
        <v>0</v>
      </c>
      <c r="E27" s="115">
        <f>C27</f>
        <v>0</v>
      </c>
      <c r="F27" s="115">
        <f>E27-G27-H27</f>
        <v>0</v>
      </c>
      <c r="G27" s="117">
        <v>0</v>
      </c>
      <c r="H27" s="117">
        <v>0</v>
      </c>
      <c r="I27" s="117">
        <v>0</v>
      </c>
      <c r="J27" s="117">
        <v>0</v>
      </c>
      <c r="K27" s="117">
        <v>0</v>
      </c>
      <c r="L27" s="117">
        <f>F27</f>
        <v>0</v>
      </c>
      <c r="M27" s="117">
        <v>0</v>
      </c>
      <c r="N27" s="117">
        <f t="shared" si="6"/>
        <v>0</v>
      </c>
      <c r="O27" s="117">
        <v>0</v>
      </c>
      <c r="P27" s="117">
        <v>0</v>
      </c>
      <c r="Q27" s="117">
        <v>0</v>
      </c>
      <c r="R27" s="117">
        <v>0</v>
      </c>
      <c r="S27" s="117">
        <v>0</v>
      </c>
      <c r="T27" s="117">
        <v>0</v>
      </c>
      <c r="U27" s="117">
        <v>0</v>
      </c>
      <c r="V27" s="117">
        <v>0</v>
      </c>
      <c r="W27" s="117">
        <v>0</v>
      </c>
      <c r="X27" s="117">
        <v>0</v>
      </c>
      <c r="Y27" s="117">
        <v>0</v>
      </c>
      <c r="Z27" s="117">
        <v>0</v>
      </c>
      <c r="AA27" s="117">
        <v>0</v>
      </c>
      <c r="AB27" s="121">
        <f t="shared" si="5"/>
        <v>0</v>
      </c>
      <c r="AC27" s="121">
        <f t="shared" si="7"/>
        <v>0</v>
      </c>
      <c r="AF27" s="116"/>
    </row>
    <row r="28" spans="1:32" x14ac:dyDescent="0.25">
      <c r="A28" s="56" t="s">
        <v>171</v>
      </c>
      <c r="B28" s="32" t="s">
        <v>170</v>
      </c>
      <c r="C28" s="115">
        <f>C30*1.18</f>
        <v>294.53059319620257</v>
      </c>
      <c r="D28" s="115">
        <v>0</v>
      </c>
      <c r="E28" s="115">
        <f>C28</f>
        <v>294.53059319620257</v>
      </c>
      <c r="F28" s="115">
        <f>E28-G28-H28</f>
        <v>293.97652119620255</v>
      </c>
      <c r="G28" s="117">
        <v>0</v>
      </c>
      <c r="H28" s="117">
        <v>0.55407200000000001</v>
      </c>
      <c r="I28" s="117">
        <v>0</v>
      </c>
      <c r="J28" s="117">
        <v>0.55407200000000001</v>
      </c>
      <c r="K28" s="117">
        <v>0</v>
      </c>
      <c r="L28" s="117">
        <v>160.58748429999991</v>
      </c>
      <c r="M28" s="117">
        <v>128.46998823999991</v>
      </c>
      <c r="N28" s="117">
        <v>134.10904273</v>
      </c>
      <c r="O28" s="117">
        <v>101.99154667000002</v>
      </c>
      <c r="P28" s="117">
        <v>133.38903689620324</v>
      </c>
      <c r="Q28" s="117">
        <v>0</v>
      </c>
      <c r="R28" s="117">
        <v>0</v>
      </c>
      <c r="S28" s="117">
        <v>0</v>
      </c>
      <c r="T28" s="117">
        <v>0</v>
      </c>
      <c r="U28" s="117">
        <v>0</v>
      </c>
      <c r="V28" s="117">
        <v>0</v>
      </c>
      <c r="W28" s="117">
        <v>0</v>
      </c>
      <c r="X28" s="117">
        <v>0</v>
      </c>
      <c r="Y28" s="117">
        <v>0</v>
      </c>
      <c r="Z28" s="117">
        <v>0</v>
      </c>
      <c r="AA28" s="117">
        <v>0</v>
      </c>
      <c r="AB28" s="121">
        <f t="shared" si="5"/>
        <v>294.53059319620314</v>
      </c>
      <c r="AC28" s="121">
        <f t="shared" si="7"/>
        <v>134.66311472999999</v>
      </c>
    </row>
    <row r="29" spans="1:32" x14ac:dyDescent="0.25">
      <c r="A29" s="56" t="s">
        <v>169</v>
      </c>
      <c r="B29" s="60" t="s">
        <v>168</v>
      </c>
      <c r="C29" s="115">
        <v>0</v>
      </c>
      <c r="D29" s="115">
        <v>0</v>
      </c>
      <c r="E29" s="115">
        <f>C29</f>
        <v>0</v>
      </c>
      <c r="F29" s="115">
        <f>E29-G29-H29</f>
        <v>0</v>
      </c>
      <c r="G29" s="117">
        <v>0</v>
      </c>
      <c r="H29" s="117">
        <v>0</v>
      </c>
      <c r="I29" s="117">
        <v>0</v>
      </c>
      <c r="J29" s="117">
        <v>0</v>
      </c>
      <c r="K29" s="117">
        <v>0</v>
      </c>
      <c r="L29" s="117">
        <f>F29</f>
        <v>0</v>
      </c>
      <c r="M29" s="117">
        <v>0</v>
      </c>
      <c r="N29" s="117">
        <v>0</v>
      </c>
      <c r="O29" s="117">
        <v>0</v>
      </c>
      <c r="P29" s="117">
        <v>0</v>
      </c>
      <c r="Q29" s="117">
        <v>0</v>
      </c>
      <c r="R29" s="117">
        <v>0</v>
      </c>
      <c r="S29" s="117">
        <v>0</v>
      </c>
      <c r="T29" s="117">
        <v>0</v>
      </c>
      <c r="U29" s="117">
        <v>0</v>
      </c>
      <c r="V29" s="117">
        <v>0</v>
      </c>
      <c r="W29" s="117">
        <v>0</v>
      </c>
      <c r="X29" s="117">
        <v>0</v>
      </c>
      <c r="Y29" s="117">
        <v>0</v>
      </c>
      <c r="Z29" s="117">
        <v>0</v>
      </c>
      <c r="AA29" s="117">
        <v>0</v>
      </c>
      <c r="AB29" s="121">
        <f t="shared" si="5"/>
        <v>0</v>
      </c>
      <c r="AC29" s="121">
        <f t="shared" si="7"/>
        <v>0</v>
      </c>
      <c r="AF29" s="116"/>
    </row>
    <row r="30" spans="1:32" ht="47.25" x14ac:dyDescent="0.25">
      <c r="A30" s="59" t="s">
        <v>61</v>
      </c>
      <c r="B30" s="58" t="s">
        <v>167</v>
      </c>
      <c r="C30" s="115">
        <f>SUM(C31:C34)</f>
        <v>249.60219762390051</v>
      </c>
      <c r="D30" s="115">
        <v>0</v>
      </c>
      <c r="E30" s="115">
        <f>SUM(E31:E34)</f>
        <v>249.60219762390051</v>
      </c>
      <c r="F30" s="115">
        <f>SUM(F31:F34)</f>
        <v>249.13264508152764</v>
      </c>
      <c r="G30" s="115">
        <f t="shared" ref="G30" si="8">SUM(G31:G34)</f>
        <v>0</v>
      </c>
      <c r="H30" s="115">
        <f>SUM(H31:H34)</f>
        <v>0.46955254237288102</v>
      </c>
      <c r="I30" s="115">
        <f>SUM(I31:I34)</f>
        <v>0</v>
      </c>
      <c r="J30" s="115">
        <f>SUM(J31:J34)</f>
        <v>0.46955254237288102</v>
      </c>
      <c r="K30" s="115">
        <f>SUM(K31:K34)</f>
        <v>0</v>
      </c>
      <c r="L30" s="115">
        <f>145.62859444541</f>
        <v>145.62859444540999</v>
      </c>
      <c r="M30" s="115">
        <v>145.6285944454101</v>
      </c>
      <c r="N30" s="115">
        <v>94.271501650000005</v>
      </c>
      <c r="O30" s="115">
        <v>94.27150164999999</v>
      </c>
      <c r="P30" s="115">
        <v>103.504050636118</v>
      </c>
      <c r="Q30" s="115">
        <f t="shared" ref="Q30:AA30" si="9">SUM(Q31:Q34)</f>
        <v>0</v>
      </c>
      <c r="R30" s="115">
        <f t="shared" si="9"/>
        <v>0</v>
      </c>
      <c r="S30" s="115">
        <f t="shared" si="9"/>
        <v>0</v>
      </c>
      <c r="T30" s="115">
        <f t="shared" si="9"/>
        <v>0</v>
      </c>
      <c r="U30" s="115">
        <f t="shared" si="9"/>
        <v>0</v>
      </c>
      <c r="V30" s="115">
        <f t="shared" si="9"/>
        <v>0</v>
      </c>
      <c r="W30" s="115">
        <f t="shared" si="9"/>
        <v>0</v>
      </c>
      <c r="X30" s="115">
        <f t="shared" si="9"/>
        <v>0</v>
      </c>
      <c r="Y30" s="115">
        <f t="shared" si="9"/>
        <v>0</v>
      </c>
      <c r="Z30" s="115">
        <f t="shared" si="9"/>
        <v>0</v>
      </c>
      <c r="AA30" s="115">
        <f t="shared" si="9"/>
        <v>0</v>
      </c>
      <c r="AB30" s="121">
        <f t="shared" si="5"/>
        <v>249.60219762390085</v>
      </c>
      <c r="AC30" s="121">
        <f t="shared" si="7"/>
        <v>94.741054192372886</v>
      </c>
      <c r="AE30" s="116"/>
    </row>
    <row r="31" spans="1:32" x14ac:dyDescent="0.25">
      <c r="A31" s="59" t="s">
        <v>166</v>
      </c>
      <c r="B31" s="32" t="s">
        <v>165</v>
      </c>
      <c r="C31" s="115">
        <f>4.7144209*1.41456447846*0.7</f>
        <v>4.6681966391545968</v>
      </c>
      <c r="D31" s="115">
        <v>0</v>
      </c>
      <c r="E31" s="115">
        <f>C31</f>
        <v>4.6681966391545968</v>
      </c>
      <c r="F31" s="115">
        <f>E31-G31-H31</f>
        <v>4.6681966391545968</v>
      </c>
      <c r="G31" s="117">
        <v>0</v>
      </c>
      <c r="H31" s="117">
        <v>0</v>
      </c>
      <c r="I31" s="117">
        <v>0</v>
      </c>
      <c r="J31" s="117">
        <v>0</v>
      </c>
      <c r="K31" s="117">
        <v>0</v>
      </c>
      <c r="L31" s="117">
        <f>F31</f>
        <v>4.6681966391545968</v>
      </c>
      <c r="M31" s="117">
        <v>4.6681966391545968</v>
      </c>
      <c r="N31" s="117">
        <v>0</v>
      </c>
      <c r="O31" s="117">
        <v>0</v>
      </c>
      <c r="P31" s="117">
        <v>0</v>
      </c>
      <c r="Q31" s="117">
        <v>0</v>
      </c>
      <c r="R31" s="117">
        <v>0</v>
      </c>
      <c r="S31" s="117">
        <v>0</v>
      </c>
      <c r="T31" s="117">
        <v>0</v>
      </c>
      <c r="U31" s="117">
        <v>0</v>
      </c>
      <c r="V31" s="117">
        <v>0</v>
      </c>
      <c r="W31" s="117">
        <v>0</v>
      </c>
      <c r="X31" s="117">
        <v>0</v>
      </c>
      <c r="Y31" s="117">
        <v>0</v>
      </c>
      <c r="Z31" s="117">
        <v>0</v>
      </c>
      <c r="AA31" s="117">
        <v>0</v>
      </c>
      <c r="AB31" s="121">
        <f t="shared" si="5"/>
        <v>4.6681966391545968</v>
      </c>
      <c r="AC31" s="121">
        <f t="shared" si="7"/>
        <v>0</v>
      </c>
    </row>
    <row r="32" spans="1:32" ht="31.5" x14ac:dyDescent="0.25">
      <c r="A32" s="59" t="s">
        <v>164</v>
      </c>
      <c r="B32" s="32" t="s">
        <v>163</v>
      </c>
      <c r="C32" s="115">
        <f>22.591709*1.41456447846*0.7</f>
        <v>22.370200341373565</v>
      </c>
      <c r="D32" s="115">
        <v>0</v>
      </c>
      <c r="E32" s="115">
        <f>C32</f>
        <v>22.370200341373565</v>
      </c>
      <c r="F32" s="115">
        <f>E32-G32-H32</f>
        <v>22.370200341373565</v>
      </c>
      <c r="G32" s="117">
        <v>0</v>
      </c>
      <c r="H32" s="117">
        <v>0</v>
      </c>
      <c r="I32" s="117">
        <v>0</v>
      </c>
      <c r="J32" s="117">
        <v>0</v>
      </c>
      <c r="K32" s="117">
        <v>0</v>
      </c>
      <c r="L32" s="117">
        <f>F32-P32</f>
        <v>13.076330611391265</v>
      </c>
      <c r="M32" s="117">
        <v>13.076330611391265</v>
      </c>
      <c r="N32" s="117">
        <v>1.979398</v>
      </c>
      <c r="O32" s="117">
        <v>1.979398</v>
      </c>
      <c r="P32" s="117">
        <f>F32*(P30/F30)</f>
        <v>9.2938697299822994</v>
      </c>
      <c r="Q32" s="117">
        <v>0</v>
      </c>
      <c r="R32" s="117">
        <v>0</v>
      </c>
      <c r="S32" s="117">
        <v>0</v>
      </c>
      <c r="T32" s="117">
        <v>0</v>
      </c>
      <c r="U32" s="117">
        <v>0</v>
      </c>
      <c r="V32" s="117">
        <v>0</v>
      </c>
      <c r="W32" s="117">
        <v>0</v>
      </c>
      <c r="X32" s="117">
        <v>0</v>
      </c>
      <c r="Y32" s="117">
        <v>0</v>
      </c>
      <c r="Z32" s="117">
        <v>0</v>
      </c>
      <c r="AA32" s="117">
        <v>0</v>
      </c>
      <c r="AB32" s="121">
        <f t="shared" si="5"/>
        <v>22.370200341373565</v>
      </c>
      <c r="AC32" s="121">
        <f t="shared" si="7"/>
        <v>1.979398</v>
      </c>
    </row>
    <row r="33" spans="1:29" x14ac:dyDescent="0.25">
      <c r="A33" s="59" t="s">
        <v>162</v>
      </c>
      <c r="B33" s="32" t="s">
        <v>161</v>
      </c>
      <c r="C33" s="118">
        <f>210.6058062*1.41456447846*0.7</f>
        <v>208.54084468556556</v>
      </c>
      <c r="D33" s="118">
        <v>0</v>
      </c>
      <c r="E33" s="115">
        <f>C33</f>
        <v>208.54084468556556</v>
      </c>
      <c r="F33" s="115">
        <f>E33-G33-H33</f>
        <v>208.54084468556556</v>
      </c>
      <c r="G33" s="117">
        <v>0</v>
      </c>
      <c r="H33" s="117">
        <v>0</v>
      </c>
      <c r="I33" s="117">
        <v>0</v>
      </c>
      <c r="J33" s="117">
        <v>0</v>
      </c>
      <c r="K33" s="117">
        <v>0</v>
      </c>
      <c r="L33" s="117">
        <f>F33-P33</f>
        <v>121.90096599375441</v>
      </c>
      <c r="M33" s="117">
        <v>121.90096599375441</v>
      </c>
      <c r="N33" s="117">
        <v>91.699434690000004</v>
      </c>
      <c r="O33" s="117">
        <v>91.699434690000004</v>
      </c>
      <c r="P33" s="117">
        <f>F33*(P30/F30)</f>
        <v>86.639878691811148</v>
      </c>
      <c r="Q33" s="117">
        <v>0</v>
      </c>
      <c r="R33" s="117">
        <v>0</v>
      </c>
      <c r="S33" s="117">
        <v>0</v>
      </c>
      <c r="T33" s="117">
        <v>0</v>
      </c>
      <c r="U33" s="117">
        <v>0</v>
      </c>
      <c r="V33" s="117">
        <v>0</v>
      </c>
      <c r="W33" s="117">
        <v>0</v>
      </c>
      <c r="X33" s="117">
        <v>0</v>
      </c>
      <c r="Y33" s="117">
        <v>0</v>
      </c>
      <c r="Z33" s="117">
        <v>0</v>
      </c>
      <c r="AA33" s="117">
        <v>0</v>
      </c>
      <c r="AB33" s="121">
        <f t="shared" si="5"/>
        <v>208.54084468556556</v>
      </c>
      <c r="AC33" s="121">
        <f t="shared" si="7"/>
        <v>91.699434690000004</v>
      </c>
    </row>
    <row r="34" spans="1:29" x14ac:dyDescent="0.25">
      <c r="A34" s="59" t="s">
        <v>160</v>
      </c>
      <c r="B34" s="32" t="s">
        <v>159</v>
      </c>
      <c r="C34" s="115">
        <f>14.1618106*1.41456447846*0.7</f>
        <v>14.022955957806809</v>
      </c>
      <c r="D34" s="115">
        <v>0</v>
      </c>
      <c r="E34" s="115">
        <f>C34</f>
        <v>14.022955957806809</v>
      </c>
      <c r="F34" s="115">
        <f>E34-G34-H34</f>
        <v>13.553403415433928</v>
      </c>
      <c r="G34" s="117">
        <v>0</v>
      </c>
      <c r="H34" s="117">
        <v>0.46955254237288102</v>
      </c>
      <c r="I34" s="117">
        <v>0</v>
      </c>
      <c r="J34" s="117">
        <v>0.46955254237288102</v>
      </c>
      <c r="K34" s="117">
        <v>0</v>
      </c>
      <c r="L34" s="117">
        <f>L30-L31-L32-L33</f>
        <v>5.9831012011097187</v>
      </c>
      <c r="M34" s="117">
        <v>5.9831012011097187</v>
      </c>
      <c r="N34" s="117">
        <v>0.59266895999999991</v>
      </c>
      <c r="O34" s="117">
        <v>0.59266895999999991</v>
      </c>
      <c r="P34" s="117">
        <f>P30-P31-P32-P33</f>
        <v>7.570302214324542</v>
      </c>
      <c r="Q34" s="117">
        <v>0</v>
      </c>
      <c r="R34" s="117">
        <v>0</v>
      </c>
      <c r="S34" s="117">
        <v>0</v>
      </c>
      <c r="T34" s="117">
        <v>0</v>
      </c>
      <c r="U34" s="117">
        <v>0</v>
      </c>
      <c r="V34" s="117">
        <v>0</v>
      </c>
      <c r="W34" s="117">
        <v>0</v>
      </c>
      <c r="X34" s="117">
        <v>0</v>
      </c>
      <c r="Y34" s="117">
        <v>0</v>
      </c>
      <c r="Z34" s="117">
        <v>0</v>
      </c>
      <c r="AA34" s="117">
        <v>0</v>
      </c>
      <c r="AB34" s="121">
        <f t="shared" si="5"/>
        <v>14.022955957807142</v>
      </c>
      <c r="AC34" s="121">
        <f t="shared" si="7"/>
        <v>1.0622215023728809</v>
      </c>
    </row>
    <row r="35" spans="1:29" ht="31.5" x14ac:dyDescent="0.25">
      <c r="A35" s="59" t="s">
        <v>60</v>
      </c>
      <c r="B35" s="58" t="s">
        <v>158</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21">
        <f t="shared" si="5"/>
        <v>0</v>
      </c>
      <c r="AC35" s="121">
        <f t="shared" si="7"/>
        <v>0</v>
      </c>
    </row>
    <row r="36" spans="1:29" ht="31.5" x14ac:dyDescent="0.25">
      <c r="A36" s="56" t="s">
        <v>157</v>
      </c>
      <c r="B36" s="55" t="s">
        <v>156</v>
      </c>
      <c r="C36" s="115">
        <v>0</v>
      </c>
      <c r="D36" s="115">
        <v>0</v>
      </c>
      <c r="E36" s="115">
        <v>0</v>
      </c>
      <c r="F36" s="115">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v>0</v>
      </c>
      <c r="Z36" s="117">
        <v>0</v>
      </c>
      <c r="AA36" s="117">
        <v>0</v>
      </c>
      <c r="AB36" s="121">
        <f t="shared" si="5"/>
        <v>0</v>
      </c>
      <c r="AC36" s="121">
        <f t="shared" si="7"/>
        <v>0</v>
      </c>
    </row>
    <row r="37" spans="1:29" x14ac:dyDescent="0.25">
      <c r="A37" s="56" t="s">
        <v>155</v>
      </c>
      <c r="B37" s="55" t="s">
        <v>145</v>
      </c>
      <c r="C37" s="115">
        <v>80</v>
      </c>
      <c r="D37" s="115">
        <v>0</v>
      </c>
      <c r="E37" s="115">
        <f>C37</f>
        <v>80</v>
      </c>
      <c r="F37" s="115">
        <f>E37-G37-H37</f>
        <v>80</v>
      </c>
      <c r="G37" s="117">
        <v>0</v>
      </c>
      <c r="H37" s="117">
        <v>0</v>
      </c>
      <c r="I37" s="117">
        <v>0</v>
      </c>
      <c r="J37" s="117">
        <v>0</v>
      </c>
      <c r="K37" s="117">
        <v>0</v>
      </c>
      <c r="L37" s="117">
        <v>0</v>
      </c>
      <c r="M37" s="117">
        <v>0</v>
      </c>
      <c r="N37" s="117">
        <v>0</v>
      </c>
      <c r="O37" s="117">
        <v>0</v>
      </c>
      <c r="P37" s="117">
        <f t="shared" ref="P37:P42" si="10">F37</f>
        <v>80</v>
      </c>
      <c r="Q37" s="117">
        <v>0</v>
      </c>
      <c r="R37" s="117">
        <v>0</v>
      </c>
      <c r="S37" s="117">
        <v>0</v>
      </c>
      <c r="T37" s="117">
        <v>0</v>
      </c>
      <c r="U37" s="117">
        <v>0</v>
      </c>
      <c r="V37" s="117">
        <v>0</v>
      </c>
      <c r="W37" s="117">
        <v>0</v>
      </c>
      <c r="X37" s="117">
        <v>0</v>
      </c>
      <c r="Y37" s="117">
        <v>0</v>
      </c>
      <c r="Z37" s="117">
        <v>0</v>
      </c>
      <c r="AA37" s="117">
        <v>0</v>
      </c>
      <c r="AB37" s="121">
        <f t="shared" si="5"/>
        <v>80</v>
      </c>
      <c r="AC37" s="121">
        <f t="shared" si="7"/>
        <v>0</v>
      </c>
    </row>
    <row r="38" spans="1:29" x14ac:dyDescent="0.25">
      <c r="A38" s="56" t="s">
        <v>154</v>
      </c>
      <c r="B38" s="55" t="s">
        <v>143</v>
      </c>
      <c r="C38" s="115">
        <v>0</v>
      </c>
      <c r="D38" s="115">
        <v>0</v>
      </c>
      <c r="E38" s="115">
        <v>0</v>
      </c>
      <c r="F38" s="115">
        <v>0</v>
      </c>
      <c r="G38" s="117">
        <v>0</v>
      </c>
      <c r="H38" s="117">
        <v>0</v>
      </c>
      <c r="I38" s="117">
        <v>0</v>
      </c>
      <c r="J38" s="117">
        <v>0</v>
      </c>
      <c r="K38" s="117">
        <v>0</v>
      </c>
      <c r="L38" s="117">
        <v>0</v>
      </c>
      <c r="M38" s="117">
        <v>0</v>
      </c>
      <c r="N38" s="117">
        <v>0</v>
      </c>
      <c r="O38" s="117">
        <v>0</v>
      </c>
      <c r="P38" s="117">
        <f t="shared" si="10"/>
        <v>0</v>
      </c>
      <c r="Q38" s="117">
        <v>0</v>
      </c>
      <c r="R38" s="117">
        <v>0</v>
      </c>
      <c r="S38" s="117">
        <v>0</v>
      </c>
      <c r="T38" s="117">
        <v>0</v>
      </c>
      <c r="U38" s="117">
        <v>0</v>
      </c>
      <c r="V38" s="117">
        <v>0</v>
      </c>
      <c r="W38" s="117">
        <v>0</v>
      </c>
      <c r="X38" s="117">
        <v>0</v>
      </c>
      <c r="Y38" s="117">
        <v>0</v>
      </c>
      <c r="Z38" s="117">
        <v>0</v>
      </c>
      <c r="AA38" s="117">
        <v>0</v>
      </c>
      <c r="AB38" s="121">
        <f t="shared" si="5"/>
        <v>0</v>
      </c>
      <c r="AC38" s="121">
        <f t="shared" si="7"/>
        <v>0</v>
      </c>
    </row>
    <row r="39" spans="1:29" ht="31.5" x14ac:dyDescent="0.25">
      <c r="A39" s="56" t="s">
        <v>153</v>
      </c>
      <c r="B39" s="32" t="s">
        <v>141</v>
      </c>
      <c r="C39" s="115">
        <v>0</v>
      </c>
      <c r="D39" s="115">
        <v>0</v>
      </c>
      <c r="E39" s="115">
        <v>0</v>
      </c>
      <c r="F39" s="115">
        <v>0</v>
      </c>
      <c r="G39" s="117">
        <v>0</v>
      </c>
      <c r="H39" s="117">
        <v>0</v>
      </c>
      <c r="I39" s="117">
        <v>0</v>
      </c>
      <c r="J39" s="117">
        <v>0</v>
      </c>
      <c r="K39" s="117">
        <v>0</v>
      </c>
      <c r="L39" s="117">
        <v>0</v>
      </c>
      <c r="M39" s="117">
        <v>0</v>
      </c>
      <c r="N39" s="117">
        <v>0</v>
      </c>
      <c r="O39" s="117">
        <v>0</v>
      </c>
      <c r="P39" s="117">
        <f t="shared" si="10"/>
        <v>0</v>
      </c>
      <c r="Q39" s="117">
        <v>0</v>
      </c>
      <c r="R39" s="117">
        <v>0</v>
      </c>
      <c r="S39" s="117">
        <v>0</v>
      </c>
      <c r="T39" s="117">
        <v>0</v>
      </c>
      <c r="U39" s="117">
        <v>0</v>
      </c>
      <c r="V39" s="117">
        <v>0</v>
      </c>
      <c r="W39" s="117">
        <v>0</v>
      </c>
      <c r="X39" s="117">
        <v>0</v>
      </c>
      <c r="Y39" s="117">
        <v>0</v>
      </c>
      <c r="Z39" s="117">
        <v>0</v>
      </c>
      <c r="AA39" s="117">
        <v>0</v>
      </c>
      <c r="AB39" s="121">
        <f t="shared" si="5"/>
        <v>0</v>
      </c>
      <c r="AC39" s="121">
        <f t="shared" si="7"/>
        <v>0</v>
      </c>
    </row>
    <row r="40" spans="1:29" ht="31.5" x14ac:dyDescent="0.25">
      <c r="A40" s="56" t="s">
        <v>152</v>
      </c>
      <c r="B40" s="32" t="s">
        <v>139</v>
      </c>
      <c r="C40" s="115">
        <v>0</v>
      </c>
      <c r="D40" s="115">
        <v>0</v>
      </c>
      <c r="E40" s="115">
        <v>0</v>
      </c>
      <c r="F40" s="115">
        <v>0</v>
      </c>
      <c r="G40" s="117">
        <v>0</v>
      </c>
      <c r="H40" s="117">
        <v>0</v>
      </c>
      <c r="I40" s="117">
        <v>0</v>
      </c>
      <c r="J40" s="117">
        <v>0</v>
      </c>
      <c r="K40" s="117">
        <v>0</v>
      </c>
      <c r="L40" s="117">
        <v>0</v>
      </c>
      <c r="M40" s="117">
        <v>0</v>
      </c>
      <c r="N40" s="117">
        <v>0</v>
      </c>
      <c r="O40" s="117">
        <v>0</v>
      </c>
      <c r="P40" s="117">
        <f t="shared" si="10"/>
        <v>0</v>
      </c>
      <c r="Q40" s="117">
        <v>0</v>
      </c>
      <c r="R40" s="117">
        <v>0</v>
      </c>
      <c r="S40" s="117">
        <v>0</v>
      </c>
      <c r="T40" s="117">
        <v>0</v>
      </c>
      <c r="U40" s="117">
        <v>0</v>
      </c>
      <c r="V40" s="117">
        <v>0</v>
      </c>
      <c r="W40" s="117">
        <v>0</v>
      </c>
      <c r="X40" s="117">
        <v>0</v>
      </c>
      <c r="Y40" s="117">
        <v>0</v>
      </c>
      <c r="Z40" s="117">
        <v>0</v>
      </c>
      <c r="AA40" s="117">
        <v>0</v>
      </c>
      <c r="AB40" s="121">
        <f t="shared" si="5"/>
        <v>0</v>
      </c>
      <c r="AC40" s="121">
        <f t="shared" si="7"/>
        <v>0</v>
      </c>
    </row>
    <row r="41" spans="1:29" x14ac:dyDescent="0.25">
      <c r="A41" s="56" t="s">
        <v>151</v>
      </c>
      <c r="B41" s="32" t="s">
        <v>137</v>
      </c>
      <c r="C41" s="115">
        <v>0</v>
      </c>
      <c r="D41" s="115">
        <v>0</v>
      </c>
      <c r="E41" s="115">
        <v>0</v>
      </c>
      <c r="F41" s="115">
        <v>0</v>
      </c>
      <c r="G41" s="117">
        <v>0</v>
      </c>
      <c r="H41" s="117">
        <v>0</v>
      </c>
      <c r="I41" s="117">
        <v>0</v>
      </c>
      <c r="J41" s="117">
        <v>0</v>
      </c>
      <c r="K41" s="117">
        <v>0</v>
      </c>
      <c r="L41" s="117">
        <v>0</v>
      </c>
      <c r="M41" s="117">
        <v>0</v>
      </c>
      <c r="N41" s="117">
        <v>0</v>
      </c>
      <c r="O41" s="117">
        <v>0</v>
      </c>
      <c r="P41" s="117">
        <f t="shared" si="10"/>
        <v>0</v>
      </c>
      <c r="Q41" s="117">
        <v>0</v>
      </c>
      <c r="R41" s="117">
        <v>0</v>
      </c>
      <c r="S41" s="117">
        <v>0</v>
      </c>
      <c r="T41" s="117">
        <v>0</v>
      </c>
      <c r="U41" s="117">
        <v>0</v>
      </c>
      <c r="V41" s="117">
        <v>0</v>
      </c>
      <c r="W41" s="117">
        <v>0</v>
      </c>
      <c r="X41" s="117">
        <v>0</v>
      </c>
      <c r="Y41" s="117">
        <v>0</v>
      </c>
      <c r="Z41" s="117">
        <v>0</v>
      </c>
      <c r="AA41" s="117">
        <v>0</v>
      </c>
      <c r="AB41" s="121">
        <f t="shared" si="5"/>
        <v>0</v>
      </c>
      <c r="AC41" s="121">
        <f t="shared" si="7"/>
        <v>0</v>
      </c>
    </row>
    <row r="42" spans="1:29" ht="18.75" x14ac:dyDescent="0.25">
      <c r="A42" s="56" t="s">
        <v>150</v>
      </c>
      <c r="B42" s="55" t="s">
        <v>533</v>
      </c>
      <c r="C42" s="115">
        <v>34</v>
      </c>
      <c r="D42" s="115">
        <v>0</v>
      </c>
      <c r="E42" s="115">
        <v>34</v>
      </c>
      <c r="F42" s="115">
        <v>34</v>
      </c>
      <c r="G42" s="117">
        <v>0</v>
      </c>
      <c r="H42" s="117">
        <v>0</v>
      </c>
      <c r="I42" s="117">
        <v>0</v>
      </c>
      <c r="J42" s="117">
        <v>0</v>
      </c>
      <c r="K42" s="117">
        <v>0</v>
      </c>
      <c r="L42" s="117">
        <v>0</v>
      </c>
      <c r="M42" s="117">
        <v>0</v>
      </c>
      <c r="N42" s="117">
        <v>0</v>
      </c>
      <c r="O42" s="117">
        <v>0</v>
      </c>
      <c r="P42" s="117">
        <f t="shared" si="10"/>
        <v>34</v>
      </c>
      <c r="Q42" s="117">
        <v>0</v>
      </c>
      <c r="R42" s="117">
        <v>0</v>
      </c>
      <c r="S42" s="117">
        <v>0</v>
      </c>
      <c r="T42" s="117">
        <v>0</v>
      </c>
      <c r="U42" s="117">
        <v>0</v>
      </c>
      <c r="V42" s="117">
        <v>0</v>
      </c>
      <c r="W42" s="117">
        <v>0</v>
      </c>
      <c r="X42" s="117">
        <v>0</v>
      </c>
      <c r="Y42" s="117">
        <v>0</v>
      </c>
      <c r="Z42" s="117">
        <v>0</v>
      </c>
      <c r="AA42" s="117">
        <v>0</v>
      </c>
      <c r="AB42" s="121">
        <f t="shared" si="5"/>
        <v>34</v>
      </c>
      <c r="AC42" s="121">
        <f t="shared" si="7"/>
        <v>0</v>
      </c>
    </row>
    <row r="43" spans="1:29" x14ac:dyDescent="0.25">
      <c r="A43" s="59" t="s">
        <v>59</v>
      </c>
      <c r="B43" s="58" t="s">
        <v>149</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21">
        <f t="shared" si="5"/>
        <v>0</v>
      </c>
      <c r="AC43" s="121">
        <f t="shared" si="7"/>
        <v>0</v>
      </c>
    </row>
    <row r="44" spans="1:29" x14ac:dyDescent="0.25">
      <c r="A44" s="56" t="s">
        <v>148</v>
      </c>
      <c r="B44" s="32" t="s">
        <v>147</v>
      </c>
      <c r="C44" s="115">
        <v>0</v>
      </c>
      <c r="D44" s="115">
        <v>0</v>
      </c>
      <c r="E44" s="115">
        <v>0</v>
      </c>
      <c r="F44" s="115">
        <v>0</v>
      </c>
      <c r="G44" s="117">
        <v>0</v>
      </c>
      <c r="H44" s="117">
        <v>0</v>
      </c>
      <c r="I44" s="117">
        <v>0</v>
      </c>
      <c r="J44" s="117">
        <v>0</v>
      </c>
      <c r="K44" s="117">
        <v>0</v>
      </c>
      <c r="L44" s="117">
        <v>0</v>
      </c>
      <c r="M44" s="117">
        <v>0</v>
      </c>
      <c r="N44" s="117">
        <v>0</v>
      </c>
      <c r="O44" s="117">
        <v>0</v>
      </c>
      <c r="P44" s="117">
        <f t="shared" ref="P44:P50" si="11">F44</f>
        <v>0</v>
      </c>
      <c r="Q44" s="117">
        <v>0</v>
      </c>
      <c r="R44" s="117">
        <v>0</v>
      </c>
      <c r="S44" s="117">
        <v>0</v>
      </c>
      <c r="T44" s="117">
        <v>0</v>
      </c>
      <c r="U44" s="117">
        <v>0</v>
      </c>
      <c r="V44" s="117">
        <v>0</v>
      </c>
      <c r="W44" s="117">
        <v>0</v>
      </c>
      <c r="X44" s="117">
        <v>0</v>
      </c>
      <c r="Y44" s="117">
        <v>0</v>
      </c>
      <c r="Z44" s="117">
        <v>0</v>
      </c>
      <c r="AA44" s="117">
        <v>0</v>
      </c>
      <c r="AB44" s="121">
        <f t="shared" si="5"/>
        <v>0</v>
      </c>
      <c r="AC44" s="121">
        <f t="shared" si="7"/>
        <v>0</v>
      </c>
    </row>
    <row r="45" spans="1:29" x14ac:dyDescent="0.25">
      <c r="A45" s="56" t="s">
        <v>146</v>
      </c>
      <c r="B45" s="32" t="s">
        <v>145</v>
      </c>
      <c r="C45" s="115">
        <f>C37</f>
        <v>80</v>
      </c>
      <c r="D45" s="115">
        <v>0</v>
      </c>
      <c r="E45" s="115">
        <f>C45</f>
        <v>80</v>
      </c>
      <c r="F45" s="115">
        <f>E45-G45-H45</f>
        <v>80</v>
      </c>
      <c r="G45" s="117">
        <v>0</v>
      </c>
      <c r="H45" s="117">
        <v>0</v>
      </c>
      <c r="I45" s="117">
        <v>0</v>
      </c>
      <c r="J45" s="117">
        <v>0</v>
      </c>
      <c r="K45" s="117">
        <v>0</v>
      </c>
      <c r="L45" s="117">
        <v>0</v>
      </c>
      <c r="M45" s="117">
        <v>0</v>
      </c>
      <c r="N45" s="117">
        <v>0</v>
      </c>
      <c r="O45" s="117">
        <v>0</v>
      </c>
      <c r="P45" s="117">
        <f t="shared" si="11"/>
        <v>80</v>
      </c>
      <c r="Q45" s="117">
        <v>0</v>
      </c>
      <c r="R45" s="117">
        <v>0</v>
      </c>
      <c r="S45" s="117">
        <v>0</v>
      </c>
      <c r="T45" s="117">
        <v>0</v>
      </c>
      <c r="U45" s="117">
        <v>0</v>
      </c>
      <c r="V45" s="117">
        <v>0</v>
      </c>
      <c r="W45" s="117">
        <v>0</v>
      </c>
      <c r="X45" s="117">
        <v>0</v>
      </c>
      <c r="Y45" s="117">
        <v>0</v>
      </c>
      <c r="Z45" s="117">
        <v>0</v>
      </c>
      <c r="AA45" s="117">
        <v>0</v>
      </c>
      <c r="AB45" s="121">
        <f t="shared" si="5"/>
        <v>80</v>
      </c>
      <c r="AC45" s="121">
        <f t="shared" si="7"/>
        <v>0</v>
      </c>
    </row>
    <row r="46" spans="1:29" x14ac:dyDescent="0.25">
      <c r="A46" s="56" t="s">
        <v>144</v>
      </c>
      <c r="B46" s="32" t="s">
        <v>143</v>
      </c>
      <c r="C46" s="115">
        <v>0</v>
      </c>
      <c r="D46" s="115">
        <v>0</v>
      </c>
      <c r="E46" s="115">
        <v>0</v>
      </c>
      <c r="F46" s="115">
        <v>0</v>
      </c>
      <c r="G46" s="117">
        <v>0</v>
      </c>
      <c r="H46" s="117">
        <v>0</v>
      </c>
      <c r="I46" s="117">
        <v>0</v>
      </c>
      <c r="J46" s="117">
        <v>0</v>
      </c>
      <c r="K46" s="117">
        <v>0</v>
      </c>
      <c r="L46" s="117">
        <v>0</v>
      </c>
      <c r="M46" s="117">
        <v>0</v>
      </c>
      <c r="N46" s="117">
        <v>0</v>
      </c>
      <c r="O46" s="117">
        <v>0</v>
      </c>
      <c r="P46" s="117">
        <f t="shared" si="11"/>
        <v>0</v>
      </c>
      <c r="Q46" s="117">
        <v>0</v>
      </c>
      <c r="R46" s="117">
        <v>0</v>
      </c>
      <c r="S46" s="117">
        <v>0</v>
      </c>
      <c r="T46" s="117">
        <v>0</v>
      </c>
      <c r="U46" s="117">
        <v>0</v>
      </c>
      <c r="V46" s="117">
        <v>0</v>
      </c>
      <c r="W46" s="117">
        <v>0</v>
      </c>
      <c r="X46" s="117">
        <v>0</v>
      </c>
      <c r="Y46" s="117">
        <v>0</v>
      </c>
      <c r="Z46" s="117">
        <v>0</v>
      </c>
      <c r="AA46" s="117">
        <v>0</v>
      </c>
      <c r="AB46" s="121">
        <f t="shared" si="5"/>
        <v>0</v>
      </c>
      <c r="AC46" s="121">
        <f t="shared" si="7"/>
        <v>0</v>
      </c>
    </row>
    <row r="47" spans="1:29" ht="31.5" x14ac:dyDescent="0.25">
      <c r="A47" s="56" t="s">
        <v>142</v>
      </c>
      <c r="B47" s="32" t="s">
        <v>141</v>
      </c>
      <c r="C47" s="115">
        <v>0</v>
      </c>
      <c r="D47" s="115">
        <v>0</v>
      </c>
      <c r="E47" s="115">
        <v>0</v>
      </c>
      <c r="F47" s="115">
        <v>0</v>
      </c>
      <c r="G47" s="117">
        <v>0</v>
      </c>
      <c r="H47" s="117">
        <v>0</v>
      </c>
      <c r="I47" s="117">
        <v>0</v>
      </c>
      <c r="J47" s="117">
        <v>0</v>
      </c>
      <c r="K47" s="117">
        <v>0</v>
      </c>
      <c r="L47" s="117">
        <v>0</v>
      </c>
      <c r="M47" s="117">
        <v>0</v>
      </c>
      <c r="N47" s="117">
        <v>0</v>
      </c>
      <c r="O47" s="117">
        <v>0</v>
      </c>
      <c r="P47" s="117">
        <f t="shared" si="11"/>
        <v>0</v>
      </c>
      <c r="Q47" s="117">
        <v>0</v>
      </c>
      <c r="R47" s="117">
        <v>0</v>
      </c>
      <c r="S47" s="117">
        <v>0</v>
      </c>
      <c r="T47" s="117">
        <v>0</v>
      </c>
      <c r="U47" s="117">
        <v>0</v>
      </c>
      <c r="V47" s="117">
        <v>0</v>
      </c>
      <c r="W47" s="117">
        <v>0</v>
      </c>
      <c r="X47" s="117">
        <v>0</v>
      </c>
      <c r="Y47" s="117">
        <v>0</v>
      </c>
      <c r="Z47" s="117">
        <v>0</v>
      </c>
      <c r="AA47" s="117">
        <v>0</v>
      </c>
      <c r="AB47" s="121">
        <f t="shared" si="5"/>
        <v>0</v>
      </c>
      <c r="AC47" s="121">
        <f t="shared" si="7"/>
        <v>0</v>
      </c>
    </row>
    <row r="48" spans="1:29" ht="31.5" x14ac:dyDescent="0.25">
      <c r="A48" s="56" t="s">
        <v>140</v>
      </c>
      <c r="B48" s="32" t="s">
        <v>139</v>
      </c>
      <c r="C48" s="115">
        <v>0</v>
      </c>
      <c r="D48" s="115">
        <v>0</v>
      </c>
      <c r="E48" s="115">
        <v>0</v>
      </c>
      <c r="F48" s="115">
        <v>0</v>
      </c>
      <c r="G48" s="117">
        <v>0</v>
      </c>
      <c r="H48" s="117">
        <v>0</v>
      </c>
      <c r="I48" s="117">
        <v>0</v>
      </c>
      <c r="J48" s="117">
        <v>0</v>
      </c>
      <c r="K48" s="117">
        <v>0</v>
      </c>
      <c r="L48" s="117">
        <v>0</v>
      </c>
      <c r="M48" s="117">
        <v>0</v>
      </c>
      <c r="N48" s="117">
        <v>0</v>
      </c>
      <c r="O48" s="117">
        <v>0</v>
      </c>
      <c r="P48" s="117">
        <f t="shared" si="11"/>
        <v>0</v>
      </c>
      <c r="Q48" s="117">
        <v>0</v>
      </c>
      <c r="R48" s="117">
        <v>0</v>
      </c>
      <c r="S48" s="117">
        <v>0</v>
      </c>
      <c r="T48" s="117">
        <v>0</v>
      </c>
      <c r="U48" s="117">
        <v>0</v>
      </c>
      <c r="V48" s="117">
        <v>0</v>
      </c>
      <c r="W48" s="117">
        <v>0</v>
      </c>
      <c r="X48" s="117">
        <v>0</v>
      </c>
      <c r="Y48" s="117">
        <v>0</v>
      </c>
      <c r="Z48" s="117">
        <v>0</v>
      </c>
      <c r="AA48" s="117">
        <v>0</v>
      </c>
      <c r="AB48" s="121">
        <f t="shared" si="5"/>
        <v>0</v>
      </c>
      <c r="AC48" s="121">
        <f t="shared" si="7"/>
        <v>0</v>
      </c>
    </row>
    <row r="49" spans="1:29" x14ac:dyDescent="0.25">
      <c r="A49" s="56" t="s">
        <v>138</v>
      </c>
      <c r="B49" s="32" t="s">
        <v>137</v>
      </c>
      <c r="C49" s="115">
        <v>0</v>
      </c>
      <c r="D49" s="115">
        <v>0</v>
      </c>
      <c r="E49" s="115">
        <v>0</v>
      </c>
      <c r="F49" s="115">
        <v>0</v>
      </c>
      <c r="G49" s="117">
        <v>0</v>
      </c>
      <c r="H49" s="117">
        <v>0</v>
      </c>
      <c r="I49" s="117">
        <v>0</v>
      </c>
      <c r="J49" s="117">
        <v>0</v>
      </c>
      <c r="K49" s="117">
        <v>0</v>
      </c>
      <c r="L49" s="117">
        <v>0</v>
      </c>
      <c r="M49" s="117">
        <v>0</v>
      </c>
      <c r="N49" s="117">
        <v>0</v>
      </c>
      <c r="O49" s="117">
        <v>0</v>
      </c>
      <c r="P49" s="117">
        <f t="shared" si="11"/>
        <v>0</v>
      </c>
      <c r="Q49" s="117">
        <v>0</v>
      </c>
      <c r="R49" s="117">
        <v>0</v>
      </c>
      <c r="S49" s="117">
        <v>0</v>
      </c>
      <c r="T49" s="117">
        <v>0</v>
      </c>
      <c r="U49" s="117">
        <v>0</v>
      </c>
      <c r="V49" s="117">
        <v>0</v>
      </c>
      <c r="W49" s="117">
        <v>0</v>
      </c>
      <c r="X49" s="117">
        <v>0</v>
      </c>
      <c r="Y49" s="117">
        <v>0</v>
      </c>
      <c r="Z49" s="117">
        <v>0</v>
      </c>
      <c r="AA49" s="117">
        <v>0</v>
      </c>
      <c r="AB49" s="121">
        <f t="shared" si="5"/>
        <v>0</v>
      </c>
      <c r="AC49" s="121">
        <f t="shared" si="7"/>
        <v>0</v>
      </c>
    </row>
    <row r="50" spans="1:29" ht="18.75" x14ac:dyDescent="0.25">
      <c r="A50" s="56" t="s">
        <v>136</v>
      </c>
      <c r="B50" s="55" t="s">
        <v>533</v>
      </c>
      <c r="C50" s="115">
        <v>34</v>
      </c>
      <c r="D50" s="115">
        <v>0</v>
      </c>
      <c r="E50" s="115">
        <v>34</v>
      </c>
      <c r="F50" s="115">
        <v>34</v>
      </c>
      <c r="G50" s="117">
        <v>0</v>
      </c>
      <c r="H50" s="117">
        <v>0</v>
      </c>
      <c r="I50" s="117">
        <v>0</v>
      </c>
      <c r="J50" s="117">
        <v>0</v>
      </c>
      <c r="K50" s="117">
        <v>0</v>
      </c>
      <c r="L50" s="117">
        <v>0</v>
      </c>
      <c r="M50" s="117">
        <v>0</v>
      </c>
      <c r="N50" s="117">
        <v>0</v>
      </c>
      <c r="O50" s="117">
        <v>0</v>
      </c>
      <c r="P50" s="117">
        <f t="shared" si="11"/>
        <v>34</v>
      </c>
      <c r="Q50" s="117">
        <v>0</v>
      </c>
      <c r="R50" s="117">
        <v>0</v>
      </c>
      <c r="S50" s="117">
        <v>0</v>
      </c>
      <c r="T50" s="117">
        <v>0</v>
      </c>
      <c r="U50" s="117">
        <v>0</v>
      </c>
      <c r="V50" s="117">
        <v>0</v>
      </c>
      <c r="W50" s="117">
        <v>0</v>
      </c>
      <c r="X50" s="117">
        <v>0</v>
      </c>
      <c r="Y50" s="117">
        <v>0</v>
      </c>
      <c r="Z50" s="117">
        <v>0</v>
      </c>
      <c r="AA50" s="117">
        <v>0</v>
      </c>
      <c r="AB50" s="121">
        <f t="shared" si="5"/>
        <v>34</v>
      </c>
      <c r="AC50" s="121">
        <f t="shared" si="7"/>
        <v>0</v>
      </c>
    </row>
    <row r="51" spans="1:29" ht="35.25" customHeight="1" x14ac:dyDescent="0.25">
      <c r="A51" s="59" t="s">
        <v>57</v>
      </c>
      <c r="B51" s="58" t="s">
        <v>135</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21">
        <f t="shared" si="5"/>
        <v>0</v>
      </c>
      <c r="AC51" s="121">
        <f t="shared" si="7"/>
        <v>0</v>
      </c>
    </row>
    <row r="52" spans="1:29" x14ac:dyDescent="0.25">
      <c r="A52" s="56" t="s">
        <v>134</v>
      </c>
      <c r="B52" s="32" t="s">
        <v>133</v>
      </c>
      <c r="C52" s="115">
        <f>C30</f>
        <v>249.60219762390051</v>
      </c>
      <c r="D52" s="115">
        <v>0</v>
      </c>
      <c r="E52" s="115">
        <f>C52</f>
        <v>249.60219762390051</v>
      </c>
      <c r="F52" s="115">
        <f>E52-G52-H52</f>
        <v>249.60219762390051</v>
      </c>
      <c r="G52" s="117">
        <v>0</v>
      </c>
      <c r="H52" s="117">
        <v>0</v>
      </c>
      <c r="I52" s="117">
        <v>0</v>
      </c>
      <c r="J52" s="117">
        <v>0</v>
      </c>
      <c r="K52" s="117">
        <v>0</v>
      </c>
      <c r="L52" s="117">
        <v>0</v>
      </c>
      <c r="M52" s="117">
        <v>0</v>
      </c>
      <c r="N52" s="117">
        <v>0</v>
      </c>
      <c r="O52" s="117">
        <v>0</v>
      </c>
      <c r="P52" s="117">
        <f t="shared" ref="P52:P57" si="12">F52</f>
        <v>249.60219762390051</v>
      </c>
      <c r="Q52" s="117">
        <v>0</v>
      </c>
      <c r="R52" s="117">
        <v>0</v>
      </c>
      <c r="S52" s="117">
        <v>0</v>
      </c>
      <c r="T52" s="117">
        <v>0</v>
      </c>
      <c r="U52" s="117">
        <v>0</v>
      </c>
      <c r="V52" s="117">
        <v>0</v>
      </c>
      <c r="W52" s="117">
        <v>0</v>
      </c>
      <c r="X52" s="117">
        <v>0</v>
      </c>
      <c r="Y52" s="117">
        <v>0</v>
      </c>
      <c r="Z52" s="117">
        <v>0</v>
      </c>
      <c r="AA52" s="117">
        <v>0</v>
      </c>
      <c r="AB52" s="121">
        <f t="shared" si="5"/>
        <v>249.60219762390051</v>
      </c>
      <c r="AC52" s="121">
        <f t="shared" si="7"/>
        <v>0</v>
      </c>
    </row>
    <row r="53" spans="1:29" x14ac:dyDescent="0.25">
      <c r="A53" s="56" t="s">
        <v>132</v>
      </c>
      <c r="B53" s="32" t="s">
        <v>126</v>
      </c>
      <c r="C53" s="115">
        <v>0</v>
      </c>
      <c r="D53" s="115">
        <v>0</v>
      </c>
      <c r="E53" s="115">
        <f>C53</f>
        <v>0</v>
      </c>
      <c r="F53" s="115">
        <f>E53-G53-H53</f>
        <v>0</v>
      </c>
      <c r="G53" s="117">
        <v>0</v>
      </c>
      <c r="H53" s="117">
        <v>0</v>
      </c>
      <c r="I53" s="117">
        <v>0</v>
      </c>
      <c r="J53" s="117">
        <v>0</v>
      </c>
      <c r="K53" s="117">
        <v>0</v>
      </c>
      <c r="L53" s="117">
        <v>0</v>
      </c>
      <c r="M53" s="117">
        <v>0</v>
      </c>
      <c r="N53" s="117">
        <v>0</v>
      </c>
      <c r="O53" s="117">
        <v>0</v>
      </c>
      <c r="P53" s="117">
        <f t="shared" si="12"/>
        <v>0</v>
      </c>
      <c r="Q53" s="117">
        <v>0</v>
      </c>
      <c r="R53" s="117">
        <v>0</v>
      </c>
      <c r="S53" s="117">
        <v>0</v>
      </c>
      <c r="T53" s="117">
        <v>0</v>
      </c>
      <c r="U53" s="117">
        <v>0</v>
      </c>
      <c r="V53" s="117">
        <v>0</v>
      </c>
      <c r="W53" s="117">
        <v>0</v>
      </c>
      <c r="X53" s="117">
        <v>0</v>
      </c>
      <c r="Y53" s="117">
        <v>0</v>
      </c>
      <c r="Z53" s="117">
        <v>0</v>
      </c>
      <c r="AA53" s="117">
        <v>0</v>
      </c>
      <c r="AB53" s="121">
        <f t="shared" si="5"/>
        <v>0</v>
      </c>
      <c r="AC53" s="121">
        <f t="shared" si="7"/>
        <v>0</v>
      </c>
    </row>
    <row r="54" spans="1:29" x14ac:dyDescent="0.25">
      <c r="A54" s="56" t="s">
        <v>131</v>
      </c>
      <c r="B54" s="55" t="s">
        <v>125</v>
      </c>
      <c r="C54" s="115">
        <f>C45</f>
        <v>80</v>
      </c>
      <c r="D54" s="115">
        <v>0</v>
      </c>
      <c r="E54" s="115">
        <f>C54</f>
        <v>80</v>
      </c>
      <c r="F54" s="115">
        <f>E54-G54-H54</f>
        <v>80</v>
      </c>
      <c r="G54" s="117">
        <v>0</v>
      </c>
      <c r="H54" s="117">
        <v>0</v>
      </c>
      <c r="I54" s="117">
        <v>0</v>
      </c>
      <c r="J54" s="117">
        <v>0</v>
      </c>
      <c r="K54" s="117">
        <v>0</v>
      </c>
      <c r="L54" s="117">
        <v>0</v>
      </c>
      <c r="M54" s="117">
        <v>0</v>
      </c>
      <c r="N54" s="117">
        <v>0</v>
      </c>
      <c r="O54" s="117">
        <v>0</v>
      </c>
      <c r="P54" s="117">
        <f t="shared" si="12"/>
        <v>80</v>
      </c>
      <c r="Q54" s="117">
        <v>0</v>
      </c>
      <c r="R54" s="117">
        <v>0</v>
      </c>
      <c r="S54" s="117">
        <v>0</v>
      </c>
      <c r="T54" s="117">
        <v>0</v>
      </c>
      <c r="U54" s="117">
        <v>0</v>
      </c>
      <c r="V54" s="117">
        <v>0</v>
      </c>
      <c r="W54" s="117">
        <v>0</v>
      </c>
      <c r="X54" s="117">
        <v>0</v>
      </c>
      <c r="Y54" s="117">
        <v>0</v>
      </c>
      <c r="Z54" s="117">
        <v>0</v>
      </c>
      <c r="AA54" s="117">
        <v>0</v>
      </c>
      <c r="AB54" s="121">
        <f t="shared" si="5"/>
        <v>80</v>
      </c>
      <c r="AC54" s="121">
        <f t="shared" si="7"/>
        <v>0</v>
      </c>
    </row>
    <row r="55" spans="1:29" x14ac:dyDescent="0.25">
      <c r="A55" s="56" t="s">
        <v>130</v>
      </c>
      <c r="B55" s="55" t="s">
        <v>124</v>
      </c>
      <c r="C55" s="115">
        <v>0</v>
      </c>
      <c r="D55" s="115">
        <v>0</v>
      </c>
      <c r="E55" s="115">
        <v>0</v>
      </c>
      <c r="F55" s="115">
        <v>0</v>
      </c>
      <c r="G55" s="117">
        <v>0</v>
      </c>
      <c r="H55" s="117">
        <v>0</v>
      </c>
      <c r="I55" s="117">
        <v>0</v>
      </c>
      <c r="J55" s="117">
        <v>0</v>
      </c>
      <c r="K55" s="117">
        <v>0</v>
      </c>
      <c r="L55" s="117">
        <v>0</v>
      </c>
      <c r="M55" s="117">
        <v>0</v>
      </c>
      <c r="N55" s="117">
        <v>0</v>
      </c>
      <c r="O55" s="117">
        <v>0</v>
      </c>
      <c r="P55" s="117">
        <f t="shared" si="12"/>
        <v>0</v>
      </c>
      <c r="Q55" s="117">
        <v>0</v>
      </c>
      <c r="R55" s="117">
        <v>0</v>
      </c>
      <c r="S55" s="117">
        <v>0</v>
      </c>
      <c r="T55" s="117">
        <v>0</v>
      </c>
      <c r="U55" s="117">
        <v>0</v>
      </c>
      <c r="V55" s="117">
        <v>0</v>
      </c>
      <c r="W55" s="117">
        <v>0</v>
      </c>
      <c r="X55" s="117">
        <v>0</v>
      </c>
      <c r="Y55" s="117">
        <v>0</v>
      </c>
      <c r="Z55" s="117">
        <v>0</v>
      </c>
      <c r="AA55" s="117">
        <v>0</v>
      </c>
      <c r="AB55" s="121">
        <f t="shared" si="5"/>
        <v>0</v>
      </c>
      <c r="AC55" s="121">
        <f t="shared" si="7"/>
        <v>0</v>
      </c>
    </row>
    <row r="56" spans="1:29" x14ac:dyDescent="0.25">
      <c r="A56" s="56" t="s">
        <v>129</v>
      </c>
      <c r="B56" s="55" t="s">
        <v>123</v>
      </c>
      <c r="C56" s="115">
        <v>0</v>
      </c>
      <c r="D56" s="115">
        <v>0</v>
      </c>
      <c r="E56" s="115">
        <v>0</v>
      </c>
      <c r="F56" s="115">
        <v>0</v>
      </c>
      <c r="G56" s="117">
        <v>0</v>
      </c>
      <c r="H56" s="117">
        <v>0</v>
      </c>
      <c r="I56" s="117">
        <v>0</v>
      </c>
      <c r="J56" s="117">
        <v>0</v>
      </c>
      <c r="K56" s="117">
        <v>0</v>
      </c>
      <c r="L56" s="117">
        <v>0</v>
      </c>
      <c r="M56" s="117">
        <v>0</v>
      </c>
      <c r="N56" s="117">
        <v>0</v>
      </c>
      <c r="O56" s="117">
        <v>0</v>
      </c>
      <c r="P56" s="117">
        <f t="shared" si="12"/>
        <v>0</v>
      </c>
      <c r="Q56" s="117">
        <v>0</v>
      </c>
      <c r="R56" s="117">
        <v>0</v>
      </c>
      <c r="S56" s="117">
        <v>0</v>
      </c>
      <c r="T56" s="117">
        <v>0</v>
      </c>
      <c r="U56" s="117">
        <v>0</v>
      </c>
      <c r="V56" s="117">
        <v>0</v>
      </c>
      <c r="W56" s="117">
        <v>0</v>
      </c>
      <c r="X56" s="117">
        <v>0</v>
      </c>
      <c r="Y56" s="117">
        <v>0</v>
      </c>
      <c r="Z56" s="117">
        <v>0</v>
      </c>
      <c r="AA56" s="117">
        <v>0</v>
      </c>
      <c r="AB56" s="121">
        <f t="shared" si="5"/>
        <v>0</v>
      </c>
      <c r="AC56" s="121">
        <f t="shared" si="7"/>
        <v>0</v>
      </c>
    </row>
    <row r="57" spans="1:29" ht="18.75" x14ac:dyDescent="0.25">
      <c r="A57" s="56" t="s">
        <v>128</v>
      </c>
      <c r="B57" s="55" t="s">
        <v>533</v>
      </c>
      <c r="C57" s="115">
        <v>34</v>
      </c>
      <c r="D57" s="115">
        <v>0</v>
      </c>
      <c r="E57" s="115">
        <v>34</v>
      </c>
      <c r="F57" s="115">
        <v>34</v>
      </c>
      <c r="G57" s="117">
        <v>0</v>
      </c>
      <c r="H57" s="117">
        <v>0</v>
      </c>
      <c r="I57" s="117">
        <v>0</v>
      </c>
      <c r="J57" s="117">
        <v>0</v>
      </c>
      <c r="K57" s="117">
        <v>0</v>
      </c>
      <c r="L57" s="117">
        <v>0</v>
      </c>
      <c r="M57" s="117">
        <v>0</v>
      </c>
      <c r="N57" s="117">
        <v>0</v>
      </c>
      <c r="O57" s="117">
        <v>0</v>
      </c>
      <c r="P57" s="117">
        <f t="shared" si="12"/>
        <v>34</v>
      </c>
      <c r="Q57" s="117">
        <v>0</v>
      </c>
      <c r="R57" s="117">
        <v>0</v>
      </c>
      <c r="S57" s="117">
        <v>0</v>
      </c>
      <c r="T57" s="117">
        <v>0</v>
      </c>
      <c r="U57" s="117">
        <v>0</v>
      </c>
      <c r="V57" s="117">
        <v>0</v>
      </c>
      <c r="W57" s="117">
        <v>0</v>
      </c>
      <c r="X57" s="117">
        <v>0</v>
      </c>
      <c r="Y57" s="117">
        <v>0</v>
      </c>
      <c r="Z57" s="117">
        <v>0</v>
      </c>
      <c r="AA57" s="117">
        <v>0</v>
      </c>
      <c r="AB57" s="121">
        <f t="shared" si="5"/>
        <v>34</v>
      </c>
      <c r="AC57" s="121">
        <f t="shared" si="7"/>
        <v>0</v>
      </c>
    </row>
    <row r="58" spans="1:29" ht="36.75" customHeight="1" x14ac:dyDescent="0.25">
      <c r="A58" s="59" t="s">
        <v>56</v>
      </c>
      <c r="B58" s="70" t="s">
        <v>207</v>
      </c>
      <c r="C58" s="115">
        <v>0</v>
      </c>
      <c r="D58" s="115">
        <v>0</v>
      </c>
      <c r="E58" s="115">
        <v>0</v>
      </c>
      <c r="F58" s="115">
        <v>0</v>
      </c>
      <c r="G58" s="115">
        <v>0</v>
      </c>
      <c r="H58" s="115">
        <v>0</v>
      </c>
      <c r="I58" s="115">
        <v>0</v>
      </c>
      <c r="J58" s="115">
        <v>0</v>
      </c>
      <c r="K58" s="115">
        <v>0</v>
      </c>
      <c r="L58" s="115">
        <v>0</v>
      </c>
      <c r="M58" s="115">
        <v>0</v>
      </c>
      <c r="N58" s="115">
        <v>0</v>
      </c>
      <c r="O58" s="115">
        <v>0</v>
      </c>
      <c r="P58" s="115">
        <v>0</v>
      </c>
      <c r="Q58" s="115">
        <v>0</v>
      </c>
      <c r="R58" s="115">
        <v>0</v>
      </c>
      <c r="S58" s="115">
        <v>0</v>
      </c>
      <c r="T58" s="115">
        <v>0</v>
      </c>
      <c r="U58" s="115">
        <v>0</v>
      </c>
      <c r="V58" s="115">
        <v>0</v>
      </c>
      <c r="W58" s="115">
        <v>0</v>
      </c>
      <c r="X58" s="115">
        <v>0</v>
      </c>
      <c r="Y58" s="115">
        <v>0</v>
      </c>
      <c r="Z58" s="115">
        <v>0</v>
      </c>
      <c r="AA58" s="115">
        <v>0</v>
      </c>
      <c r="AB58" s="121">
        <f t="shared" si="5"/>
        <v>0</v>
      </c>
      <c r="AC58" s="121">
        <f t="shared" si="7"/>
        <v>0</v>
      </c>
    </row>
    <row r="59" spans="1:29" x14ac:dyDescent="0.25">
      <c r="A59" s="59" t="s">
        <v>54</v>
      </c>
      <c r="B59" s="58" t="s">
        <v>127</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21">
        <f t="shared" si="5"/>
        <v>0</v>
      </c>
      <c r="AC59" s="121">
        <f t="shared" si="7"/>
        <v>0</v>
      </c>
    </row>
    <row r="60" spans="1:29" x14ac:dyDescent="0.25">
      <c r="A60" s="56" t="s">
        <v>201</v>
      </c>
      <c r="B60" s="57" t="s">
        <v>147</v>
      </c>
      <c r="C60" s="115">
        <v>0</v>
      </c>
      <c r="D60" s="115">
        <v>0</v>
      </c>
      <c r="E60" s="115">
        <v>0</v>
      </c>
      <c r="F60" s="115">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21">
        <f t="shared" si="5"/>
        <v>0</v>
      </c>
      <c r="AC60" s="121">
        <f t="shared" si="7"/>
        <v>0</v>
      </c>
    </row>
    <row r="61" spans="1:29" x14ac:dyDescent="0.25">
      <c r="A61" s="56" t="s">
        <v>202</v>
      </c>
      <c r="B61" s="57" t="s">
        <v>145</v>
      </c>
      <c r="C61" s="115">
        <v>0</v>
      </c>
      <c r="D61" s="115">
        <v>0</v>
      </c>
      <c r="E61" s="115">
        <v>0</v>
      </c>
      <c r="F61" s="115">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21">
        <f t="shared" si="5"/>
        <v>0</v>
      </c>
      <c r="AC61" s="121">
        <f t="shared" si="7"/>
        <v>0</v>
      </c>
    </row>
    <row r="62" spans="1:29" x14ac:dyDescent="0.25">
      <c r="A62" s="56" t="s">
        <v>203</v>
      </c>
      <c r="B62" s="57" t="s">
        <v>143</v>
      </c>
      <c r="C62" s="115">
        <v>0</v>
      </c>
      <c r="D62" s="115">
        <v>0</v>
      </c>
      <c r="E62" s="115">
        <v>0</v>
      </c>
      <c r="F62" s="115">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21">
        <f t="shared" si="5"/>
        <v>0</v>
      </c>
      <c r="AC62" s="121">
        <f t="shared" si="7"/>
        <v>0</v>
      </c>
    </row>
    <row r="63" spans="1:29" x14ac:dyDescent="0.25">
      <c r="A63" s="56" t="s">
        <v>204</v>
      </c>
      <c r="B63" s="57" t="s">
        <v>206</v>
      </c>
      <c r="C63" s="115">
        <v>0</v>
      </c>
      <c r="D63" s="115">
        <v>0</v>
      </c>
      <c r="E63" s="115">
        <v>0</v>
      </c>
      <c r="F63" s="115">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21">
        <f t="shared" si="5"/>
        <v>0</v>
      </c>
      <c r="AC63" s="121">
        <f t="shared" si="7"/>
        <v>0</v>
      </c>
    </row>
    <row r="64" spans="1:29" ht="18.75" x14ac:dyDescent="0.25">
      <c r="A64" s="56" t="s">
        <v>205</v>
      </c>
      <c r="B64" s="55" t="s">
        <v>122</v>
      </c>
      <c r="C64" s="115">
        <v>0</v>
      </c>
      <c r="D64" s="115">
        <v>0</v>
      </c>
      <c r="E64" s="115">
        <v>0</v>
      </c>
      <c r="F64" s="115">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0</v>
      </c>
      <c r="AA64" s="117">
        <v>0</v>
      </c>
      <c r="AB64" s="121">
        <f t="shared" si="5"/>
        <v>0</v>
      </c>
      <c r="AC64" s="121">
        <f t="shared" si="7"/>
        <v>0</v>
      </c>
    </row>
    <row r="65" spans="1:28" x14ac:dyDescent="0.25">
      <c r="A65" s="52"/>
      <c r="B65" s="53"/>
      <c r="C65" s="53"/>
      <c r="D65" s="53"/>
      <c r="E65" s="53"/>
      <c r="F65" s="53"/>
      <c r="G65" s="53"/>
      <c r="H65" s="53"/>
      <c r="I65" s="53"/>
      <c r="J65" s="53"/>
      <c r="K65" s="53"/>
      <c r="L65" s="52"/>
      <c r="M65" s="52"/>
      <c r="N65" s="43"/>
      <c r="O65" s="43"/>
      <c r="P65" s="43"/>
      <c r="Q65" s="43"/>
      <c r="R65" s="43"/>
      <c r="S65" s="43"/>
      <c r="T65" s="52"/>
      <c r="U65" s="52"/>
      <c r="V65" s="43"/>
      <c r="W65" s="43"/>
      <c r="X65" s="43"/>
      <c r="Y65" s="43"/>
      <c r="Z65" s="43"/>
      <c r="AA65" s="43"/>
      <c r="AB65" s="43"/>
    </row>
    <row r="66" spans="1:28" ht="54" customHeight="1" x14ac:dyDescent="0.25">
      <c r="A66" s="43"/>
      <c r="B66" s="463"/>
      <c r="C66" s="463"/>
      <c r="D66" s="463"/>
      <c r="E66" s="463"/>
      <c r="F66" s="463"/>
      <c r="G66" s="463"/>
      <c r="H66" s="463"/>
      <c r="I66" s="463"/>
      <c r="J66" s="47"/>
      <c r="K66" s="47"/>
      <c r="L66" s="51"/>
      <c r="M66" s="51"/>
      <c r="N66" s="51"/>
      <c r="O66" s="51"/>
      <c r="P66" s="51"/>
      <c r="Q66" s="51"/>
      <c r="R66" s="51"/>
      <c r="S66" s="51"/>
      <c r="T66" s="51"/>
      <c r="U66" s="51"/>
      <c r="V66" s="51"/>
      <c r="W66" s="51"/>
      <c r="X66" s="51"/>
      <c r="Y66" s="51"/>
      <c r="Z66" s="51"/>
      <c r="AA66" s="51"/>
      <c r="AB66" s="51"/>
    </row>
    <row r="67" spans="1:28" x14ac:dyDescent="0.25">
      <c r="A67" s="43"/>
      <c r="B67" s="43"/>
      <c r="C67" s="43"/>
      <c r="D67" s="43"/>
      <c r="E67" s="43"/>
      <c r="F67" s="43"/>
      <c r="L67" s="43"/>
      <c r="M67" s="43"/>
      <c r="N67" s="43"/>
      <c r="O67" s="43"/>
      <c r="P67" s="43"/>
      <c r="Q67" s="43"/>
      <c r="R67" s="43"/>
      <c r="S67" s="43"/>
      <c r="T67" s="43"/>
      <c r="U67" s="43"/>
      <c r="V67" s="43"/>
      <c r="W67" s="43"/>
      <c r="X67" s="43"/>
      <c r="Y67" s="43"/>
      <c r="Z67" s="43"/>
      <c r="AA67" s="43"/>
      <c r="AB67" s="43"/>
    </row>
    <row r="68" spans="1:28" ht="50.25" customHeight="1" x14ac:dyDescent="0.25">
      <c r="A68" s="43"/>
      <c r="B68" s="464"/>
      <c r="C68" s="464"/>
      <c r="D68" s="464"/>
      <c r="E68" s="464"/>
      <c r="F68" s="464"/>
      <c r="G68" s="464"/>
      <c r="H68" s="464"/>
      <c r="I68" s="464"/>
      <c r="J68" s="48"/>
      <c r="K68" s="48"/>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L69" s="43"/>
      <c r="M69" s="43"/>
      <c r="N69" s="43"/>
      <c r="O69" s="43"/>
      <c r="P69" s="43"/>
      <c r="Q69" s="43"/>
      <c r="R69" s="43"/>
      <c r="S69" s="43"/>
      <c r="T69" s="43"/>
      <c r="U69" s="43"/>
      <c r="V69" s="43"/>
      <c r="W69" s="43"/>
      <c r="X69" s="43"/>
      <c r="Y69" s="43"/>
      <c r="Z69" s="43"/>
      <c r="AA69" s="43"/>
      <c r="AB69" s="43"/>
    </row>
    <row r="70" spans="1:28" ht="36.75" customHeight="1" x14ac:dyDescent="0.25">
      <c r="A70" s="43"/>
      <c r="B70" s="463"/>
      <c r="C70" s="463"/>
      <c r="D70" s="463"/>
      <c r="E70" s="463"/>
      <c r="F70" s="463"/>
      <c r="G70" s="463"/>
      <c r="H70" s="463"/>
      <c r="I70" s="463"/>
      <c r="J70" s="47"/>
      <c r="K70" s="47"/>
      <c r="L70" s="43"/>
      <c r="M70" s="43"/>
      <c r="N70" s="43"/>
      <c r="O70" s="43"/>
      <c r="P70" s="43"/>
      <c r="Q70" s="43"/>
      <c r="R70" s="43"/>
      <c r="S70" s="43"/>
      <c r="T70" s="43"/>
      <c r="U70" s="43"/>
      <c r="V70" s="43"/>
      <c r="W70" s="43"/>
      <c r="X70" s="43"/>
      <c r="Y70" s="43"/>
      <c r="Z70" s="43"/>
      <c r="AA70" s="43"/>
      <c r="AB70" s="43"/>
    </row>
    <row r="71" spans="1:28" x14ac:dyDescent="0.25">
      <c r="A71" s="43"/>
      <c r="B71" s="50"/>
      <c r="C71" s="50"/>
      <c r="D71" s="50"/>
      <c r="E71" s="50"/>
      <c r="F71" s="50"/>
      <c r="L71" s="43"/>
      <c r="M71" s="43"/>
      <c r="N71" s="49"/>
      <c r="O71" s="43"/>
      <c r="P71" s="43"/>
      <c r="Q71" s="43"/>
      <c r="R71" s="43"/>
      <c r="S71" s="43"/>
      <c r="T71" s="43"/>
      <c r="U71" s="43"/>
      <c r="V71" s="49"/>
      <c r="W71" s="43"/>
      <c r="X71" s="43"/>
      <c r="Y71" s="43"/>
      <c r="Z71" s="43"/>
      <c r="AA71" s="43"/>
      <c r="AB71" s="43"/>
    </row>
    <row r="72" spans="1:28" ht="51" customHeight="1" x14ac:dyDescent="0.25">
      <c r="A72" s="43"/>
      <c r="B72" s="463"/>
      <c r="C72" s="463"/>
      <c r="D72" s="463"/>
      <c r="E72" s="463"/>
      <c r="F72" s="463"/>
      <c r="G72" s="463"/>
      <c r="H72" s="463"/>
      <c r="I72" s="463"/>
      <c r="J72" s="47"/>
      <c r="K72" s="47"/>
      <c r="L72" s="43"/>
      <c r="M72" s="43"/>
      <c r="N72" s="49"/>
      <c r="O72" s="43"/>
      <c r="P72" s="43"/>
      <c r="Q72" s="43"/>
      <c r="R72" s="43"/>
      <c r="S72" s="43"/>
      <c r="T72" s="43"/>
      <c r="U72" s="43"/>
      <c r="V72" s="49"/>
      <c r="W72" s="43"/>
      <c r="X72" s="43"/>
      <c r="Y72" s="43"/>
      <c r="Z72" s="43"/>
      <c r="AA72" s="43"/>
      <c r="AB72" s="43"/>
    </row>
    <row r="73" spans="1:28" ht="32.25" customHeight="1" x14ac:dyDescent="0.25">
      <c r="A73" s="43"/>
      <c r="B73" s="464"/>
      <c r="C73" s="464"/>
      <c r="D73" s="464"/>
      <c r="E73" s="464"/>
      <c r="F73" s="464"/>
      <c r="G73" s="464"/>
      <c r="H73" s="464"/>
      <c r="I73" s="464"/>
      <c r="J73" s="48"/>
      <c r="K73" s="48"/>
      <c r="L73" s="43"/>
      <c r="M73" s="43"/>
      <c r="N73" s="43"/>
      <c r="O73" s="43"/>
      <c r="P73" s="43"/>
      <c r="Q73" s="43"/>
      <c r="R73" s="43"/>
      <c r="S73" s="43"/>
      <c r="T73" s="43"/>
      <c r="U73" s="43"/>
      <c r="V73" s="43"/>
      <c r="W73" s="43"/>
      <c r="X73" s="43"/>
      <c r="Y73" s="43"/>
      <c r="Z73" s="43"/>
      <c r="AA73" s="43"/>
      <c r="AB73" s="43"/>
    </row>
    <row r="74" spans="1:28" ht="51.75" customHeight="1" x14ac:dyDescent="0.25">
      <c r="A74" s="43"/>
      <c r="B74" s="463"/>
      <c r="C74" s="463"/>
      <c r="D74" s="463"/>
      <c r="E74" s="463"/>
      <c r="F74" s="463"/>
      <c r="G74" s="463"/>
      <c r="H74" s="463"/>
      <c r="I74" s="463"/>
      <c r="J74" s="47"/>
      <c r="K74" s="47"/>
      <c r="L74" s="43"/>
      <c r="M74" s="43"/>
      <c r="N74" s="43"/>
      <c r="O74" s="43"/>
      <c r="P74" s="43"/>
      <c r="Q74" s="43"/>
      <c r="R74" s="43"/>
      <c r="S74" s="43"/>
      <c r="T74" s="43"/>
      <c r="U74" s="43"/>
      <c r="V74" s="43"/>
      <c r="W74" s="43"/>
      <c r="X74" s="43"/>
      <c r="Y74" s="43"/>
      <c r="Z74" s="43"/>
      <c r="AA74" s="43"/>
      <c r="AB74" s="43"/>
    </row>
    <row r="75" spans="1:28" ht="21.75" customHeight="1" x14ac:dyDescent="0.25">
      <c r="A75" s="43"/>
      <c r="B75" s="461"/>
      <c r="C75" s="461"/>
      <c r="D75" s="461"/>
      <c r="E75" s="461"/>
      <c r="F75" s="461"/>
      <c r="G75" s="461"/>
      <c r="H75" s="461"/>
      <c r="I75" s="461"/>
      <c r="J75" s="46"/>
      <c r="K75" s="46"/>
      <c r="L75" s="45"/>
      <c r="M75" s="45"/>
      <c r="N75" s="43"/>
      <c r="O75" s="43"/>
      <c r="P75" s="43"/>
      <c r="Q75" s="43"/>
      <c r="R75" s="43"/>
      <c r="S75" s="43"/>
      <c r="T75" s="45"/>
      <c r="U75" s="45"/>
      <c r="V75" s="43"/>
      <c r="W75" s="43"/>
      <c r="X75" s="43"/>
      <c r="Y75" s="43"/>
      <c r="Z75" s="43"/>
      <c r="AA75" s="43"/>
      <c r="AB75" s="43"/>
    </row>
    <row r="76" spans="1:28" ht="23.25" customHeight="1" x14ac:dyDescent="0.25">
      <c r="A76" s="43"/>
      <c r="B76" s="45"/>
      <c r="C76" s="45"/>
      <c r="D76" s="45"/>
      <c r="E76" s="45"/>
      <c r="F76" s="45"/>
      <c r="L76" s="43"/>
      <c r="M76" s="43"/>
      <c r="N76" s="43"/>
      <c r="O76" s="43"/>
      <c r="P76" s="43"/>
      <c r="Q76" s="43"/>
      <c r="R76" s="43"/>
      <c r="S76" s="43"/>
      <c r="T76" s="43"/>
      <c r="U76" s="43"/>
      <c r="V76" s="43"/>
      <c r="W76" s="43"/>
      <c r="X76" s="43"/>
      <c r="Y76" s="43"/>
      <c r="Z76" s="43"/>
      <c r="AA76" s="43"/>
      <c r="AB76" s="43"/>
    </row>
    <row r="77" spans="1:28" ht="18.75" customHeight="1" x14ac:dyDescent="0.25">
      <c r="A77" s="43"/>
      <c r="B77" s="462"/>
      <c r="C77" s="462"/>
      <c r="D77" s="462"/>
      <c r="E77" s="462"/>
      <c r="F77" s="462"/>
      <c r="G77" s="462"/>
      <c r="H77" s="462"/>
      <c r="I77" s="462"/>
      <c r="J77" s="44"/>
      <c r="K77" s="44"/>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L79" s="43"/>
      <c r="M79" s="43"/>
      <c r="N79" s="43"/>
      <c r="O79" s="43"/>
      <c r="P79" s="43"/>
      <c r="Q79" s="43"/>
      <c r="R79" s="43"/>
      <c r="S79" s="43"/>
      <c r="T79" s="43"/>
      <c r="U79" s="43"/>
      <c r="V79" s="43"/>
      <c r="W79" s="43"/>
      <c r="X79" s="43"/>
      <c r="Y79" s="43"/>
      <c r="Z79" s="43"/>
      <c r="AA79" s="43"/>
      <c r="AB79" s="43"/>
    </row>
    <row r="80" spans="1:28" x14ac:dyDescent="0.25">
      <c r="G80" s="42"/>
      <c r="H80" s="42"/>
      <c r="I80" s="42"/>
      <c r="J80" s="42"/>
      <c r="K80" s="42"/>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73" priority="26" operator="notEqual">
      <formula>0</formula>
    </cfRule>
  </conditionalFormatting>
  <conditionalFormatting sqref="AB24:AB64">
    <cfRule type="cellIs" dxfId="72" priority="25" operator="notEqual">
      <formula>0</formula>
    </cfRule>
  </conditionalFormatting>
  <conditionalFormatting sqref="I34 K25:M29 K46:K49 K55:K56 K51:M51 K58:M64 Q44:Q50 M46:M50 L45:L50 Q52:Q57 L52:M57 O52:O57 O35:Q43 O44:O50 O58:Q64 O51:Q51 O25:Q29 P31:Q34 K31:M44">
    <cfRule type="cellIs" dxfId="71" priority="24" operator="notEqual">
      <formula>0</formula>
    </cfRule>
  </conditionalFormatting>
  <conditionalFormatting sqref="G30:I30 K30:M30 O30:Y30">
    <cfRule type="cellIs" dxfId="70" priority="23" operator="notEqual">
      <formula>0</formula>
    </cfRule>
  </conditionalFormatting>
  <conditionalFormatting sqref="E45:I45">
    <cfRule type="cellIs" dxfId="69" priority="22" operator="notEqual">
      <formula>0</formula>
    </cfRule>
  </conditionalFormatting>
  <conditionalFormatting sqref="K45 M45">
    <cfRule type="cellIs" dxfId="68" priority="21" operator="notEqual">
      <formula>0</formula>
    </cfRule>
  </conditionalFormatting>
  <conditionalFormatting sqref="E52:I54">
    <cfRule type="cellIs" dxfId="67" priority="20" operator="notEqual">
      <formula>0</formula>
    </cfRule>
  </conditionalFormatting>
  <conditionalFormatting sqref="K52:K54">
    <cfRule type="cellIs" dxfId="66" priority="19" operator="notEqual">
      <formula>0</formula>
    </cfRule>
  </conditionalFormatting>
  <conditionalFormatting sqref="K50">
    <cfRule type="cellIs" dxfId="65" priority="17" operator="notEqual">
      <formula>0</formula>
    </cfRule>
  </conditionalFormatting>
  <conditionalFormatting sqref="K57">
    <cfRule type="cellIs" dxfId="64" priority="15" operator="notEqual">
      <formula>0</formula>
    </cfRule>
  </conditionalFormatting>
  <conditionalFormatting sqref="P44:P50">
    <cfRule type="cellIs" dxfId="63" priority="14" operator="notEqual">
      <formula>0</formula>
    </cfRule>
  </conditionalFormatting>
  <conditionalFormatting sqref="P52:P57">
    <cfRule type="cellIs" dxfId="62" priority="13" operator="notEqual">
      <formula>0</formula>
    </cfRule>
  </conditionalFormatting>
  <conditionalFormatting sqref="D24:D64">
    <cfRule type="cellIs" dxfId="61" priority="12" operator="notEqual">
      <formula>0</formula>
    </cfRule>
  </conditionalFormatting>
  <conditionalFormatting sqref="Z31:AA64 Z24:AA29">
    <cfRule type="cellIs" dxfId="60" priority="11" operator="notEqual">
      <formula>0</formula>
    </cfRule>
  </conditionalFormatting>
  <conditionalFormatting sqref="Z30:AA30">
    <cfRule type="cellIs" dxfId="59" priority="10" operator="notEqual">
      <formula>0</formula>
    </cfRule>
  </conditionalFormatting>
  <conditionalFormatting sqref="J55:J64 J46:J51 J31:J44 J24:J29">
    <cfRule type="cellIs" dxfId="58" priority="9" operator="notEqual">
      <formula>0</formula>
    </cfRule>
  </conditionalFormatting>
  <conditionalFormatting sqref="J30">
    <cfRule type="cellIs" dxfId="57" priority="8" operator="notEqual">
      <formula>0</formula>
    </cfRule>
  </conditionalFormatting>
  <conditionalFormatting sqref="J45">
    <cfRule type="cellIs" dxfId="56" priority="7" operator="notEqual">
      <formula>0</formula>
    </cfRule>
  </conditionalFormatting>
  <conditionalFormatting sqref="J52:J54">
    <cfRule type="cellIs" dxfId="55" priority="6" operator="notEqual">
      <formula>0</formula>
    </cfRule>
  </conditionalFormatting>
  <conditionalFormatting sqref="AC24:AC64">
    <cfRule type="cellIs" dxfId="54" priority="5" operator="notEqual">
      <formula>0</formula>
    </cfRule>
  </conditionalFormatting>
  <conditionalFormatting sqref="N24">
    <cfRule type="cellIs" dxfId="53" priority="4" operator="notEqual">
      <formula>0</formula>
    </cfRule>
  </conditionalFormatting>
  <conditionalFormatting sqref="N25:N29 N31:N64">
    <cfRule type="cellIs" dxfId="52" priority="3" operator="notEqual">
      <formula>0</formula>
    </cfRule>
  </conditionalFormatting>
  <conditionalFormatting sqref="N30">
    <cfRule type="cellIs" dxfId="51" priority="2" operator="notEqual">
      <formula>0</formula>
    </cfRule>
  </conditionalFormatting>
  <conditionalFormatting sqref="O31:O34">
    <cfRule type="cellIs" dxfId="5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32" zoomScale="70" zoomScaleNormal="70" zoomScaleSheetLayoutView="70" workbookViewId="0">
      <selection activeCell="P57" sqref="P57"/>
    </sheetView>
  </sheetViews>
  <sheetFormatPr defaultColWidth="9.140625" defaultRowHeight="15.75" x14ac:dyDescent="0.25"/>
  <cols>
    <col min="1" max="1" width="9.140625" style="244"/>
    <col min="2" max="2" width="57.85546875" style="244" customWidth="1"/>
    <col min="3" max="3" width="13" style="244" customWidth="1"/>
    <col min="4" max="4" width="15.140625" style="244" customWidth="1"/>
    <col min="5" max="5" width="15.7109375" style="244" customWidth="1"/>
    <col min="6" max="6" width="17.7109375" style="244" customWidth="1"/>
    <col min="7" max="7" width="15.85546875" style="244" customWidth="1"/>
    <col min="8" max="15" width="9.28515625" style="244" customWidth="1"/>
    <col min="16" max="17" width="8" style="244" customWidth="1"/>
    <col min="18" max="19" width="8.5703125" style="244" customWidth="1"/>
    <col min="20" max="21" width="8" style="244" customWidth="1"/>
    <col min="22" max="23" width="8.5703125" style="244" customWidth="1"/>
    <col min="24" max="25" width="8" style="244" customWidth="1"/>
    <col min="26" max="27" width="8.5703125" style="244" customWidth="1"/>
    <col min="28" max="28" width="15.42578125" style="244" customWidth="1"/>
    <col min="29" max="29" width="18.7109375" style="244" customWidth="1"/>
    <col min="30" max="16384" width="9.140625" style="244"/>
  </cols>
  <sheetData>
    <row r="1" spans="1:29" ht="18.75" x14ac:dyDescent="0.25">
      <c r="AC1" s="349" t="s">
        <v>66</v>
      </c>
    </row>
    <row r="2" spans="1:29" ht="18.75" x14ac:dyDescent="0.3">
      <c r="AC2" s="350" t="s">
        <v>8</v>
      </c>
    </row>
    <row r="3" spans="1:29" ht="18.75" x14ac:dyDescent="0.3">
      <c r="AC3" s="350" t="s">
        <v>65</v>
      </c>
    </row>
    <row r="4" spans="1:29" ht="18.75" customHeight="1" x14ac:dyDescent="0.25">
      <c r="A4" s="466" t="str">
        <f>'6.1. Паспорт сетевой график'!A5:K5</f>
        <v>Год раскрытия информации: 2021 год</v>
      </c>
      <c r="B4" s="466"/>
      <c r="C4" s="466"/>
      <c r="D4" s="466"/>
      <c r="E4" s="466"/>
      <c r="F4" s="466"/>
      <c r="G4" s="466"/>
      <c r="H4" s="466"/>
      <c r="I4" s="466"/>
      <c r="J4" s="466"/>
      <c r="K4" s="466"/>
      <c r="L4" s="466"/>
      <c r="M4" s="466"/>
      <c r="N4" s="466"/>
      <c r="O4" s="466"/>
      <c r="P4" s="466"/>
      <c r="Q4" s="466"/>
      <c r="R4" s="466"/>
      <c r="S4" s="466"/>
      <c r="T4" s="466"/>
      <c r="U4" s="466"/>
      <c r="V4" s="466"/>
      <c r="W4" s="466"/>
      <c r="X4" s="466"/>
      <c r="Y4" s="466"/>
      <c r="Z4" s="466"/>
      <c r="AA4" s="466"/>
      <c r="AB4" s="466"/>
      <c r="AC4" s="466"/>
    </row>
    <row r="5" spans="1:29" ht="18.75" x14ac:dyDescent="0.3">
      <c r="AC5" s="350"/>
    </row>
    <row r="6" spans="1:29" ht="18.75" x14ac:dyDescent="0.25">
      <c r="A6" s="467" t="s">
        <v>7</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row>
    <row r="7" spans="1:29" ht="18.75" x14ac:dyDescent="0.25">
      <c r="A7" s="245"/>
      <c r="B7" s="245"/>
      <c r="C7" s="245"/>
      <c r="D7" s="245"/>
      <c r="E7" s="245"/>
      <c r="F7" s="245"/>
      <c r="G7" s="245"/>
      <c r="H7" s="351"/>
      <c r="I7" s="351"/>
      <c r="J7" s="351"/>
      <c r="K7" s="351"/>
      <c r="L7" s="351"/>
      <c r="M7" s="351"/>
      <c r="N7" s="351"/>
      <c r="O7" s="351"/>
      <c r="P7" s="351"/>
      <c r="Q7" s="351"/>
      <c r="R7" s="351"/>
      <c r="S7" s="351"/>
      <c r="T7" s="351"/>
      <c r="U7" s="351"/>
      <c r="V7" s="351"/>
      <c r="W7" s="351"/>
      <c r="X7" s="351"/>
      <c r="Y7" s="351"/>
      <c r="Z7" s="351"/>
      <c r="AA7" s="351"/>
      <c r="AB7" s="351"/>
      <c r="AC7" s="351"/>
    </row>
    <row r="8" spans="1:29" x14ac:dyDescent="0.25">
      <c r="A8" s="468" t="str">
        <f>'6.1. Паспорт сетевой график'!A9</f>
        <v xml:space="preserve">Акционерное общество "Западная энергетическая компания" </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465" t="s">
        <v>6</v>
      </c>
      <c r="B9" s="465"/>
      <c r="C9" s="465"/>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row>
    <row r="10" spans="1:29" ht="18.75" x14ac:dyDescent="0.25">
      <c r="A10" s="245"/>
      <c r="B10" s="245"/>
      <c r="C10" s="245"/>
      <c r="D10" s="245"/>
      <c r="E10" s="245"/>
      <c r="F10" s="245"/>
      <c r="G10" s="245"/>
      <c r="H10" s="351"/>
      <c r="I10" s="351"/>
      <c r="J10" s="351"/>
      <c r="K10" s="351"/>
      <c r="L10" s="351"/>
      <c r="M10" s="351"/>
      <c r="N10" s="351"/>
      <c r="O10" s="351"/>
      <c r="P10" s="351"/>
      <c r="Q10" s="351"/>
      <c r="R10" s="351"/>
      <c r="S10" s="351"/>
      <c r="T10" s="351"/>
      <c r="U10" s="351"/>
      <c r="V10" s="351"/>
      <c r="W10" s="351"/>
      <c r="X10" s="351"/>
      <c r="Y10" s="351"/>
      <c r="Z10" s="351"/>
      <c r="AA10" s="351"/>
      <c r="AB10" s="351"/>
      <c r="AC10" s="351"/>
    </row>
    <row r="11" spans="1:29" x14ac:dyDescent="0.25">
      <c r="A11" s="468" t="str">
        <f>'6.1. Паспорт сетевой график'!A12</f>
        <v>K-20-02</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465" t="s">
        <v>5</v>
      </c>
      <c r="B12" s="465"/>
      <c r="C12" s="465"/>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465"/>
      <c r="AC12" s="465"/>
    </row>
    <row r="13" spans="1:29" ht="16.5" customHeight="1" x14ac:dyDescent="0.3">
      <c r="A13" s="246"/>
      <c r="B13" s="246"/>
      <c r="C13" s="246"/>
      <c r="D13" s="246"/>
      <c r="E13" s="246"/>
      <c r="F13" s="246"/>
      <c r="G13" s="246"/>
      <c r="H13" s="352"/>
      <c r="I13" s="352"/>
      <c r="J13" s="352"/>
      <c r="K13" s="352"/>
      <c r="L13" s="352"/>
      <c r="M13" s="352"/>
      <c r="N13" s="352"/>
      <c r="O13" s="352"/>
      <c r="P13" s="352"/>
      <c r="Q13" s="352"/>
      <c r="R13" s="352"/>
      <c r="S13" s="352"/>
      <c r="T13" s="352"/>
      <c r="U13" s="352"/>
      <c r="V13" s="352"/>
      <c r="W13" s="352"/>
      <c r="X13" s="352"/>
      <c r="Y13" s="352"/>
      <c r="Z13" s="352"/>
      <c r="AA13" s="352"/>
      <c r="AB13" s="352"/>
      <c r="AC13" s="352"/>
    </row>
    <row r="14" spans="1:29" ht="36" customHeight="1" x14ac:dyDescent="0.25">
      <c r="A14" s="469" t="str">
        <f>'6.1. Паспорт сетевой график'!A15</f>
        <v>Приобретение электросетевого комплекса ООО "Татэнерго"</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465" t="s">
        <v>4</v>
      </c>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row>
    <row r="16" spans="1:29"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row>
    <row r="17" spans="1:32" x14ac:dyDescent="0.25">
      <c r="I17" s="353"/>
    </row>
    <row r="18" spans="1:32" ht="30" customHeight="1" x14ac:dyDescent="0.25">
      <c r="A18" s="471" t="s">
        <v>393</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row>
    <row r="19" spans="1:32" ht="49.5" hidden="1" customHeight="1" x14ac:dyDescent="0.25">
      <c r="E19" s="247" t="s">
        <v>560</v>
      </c>
      <c r="F19" s="247" t="s">
        <v>561</v>
      </c>
      <c r="G19" s="247" t="s">
        <v>562</v>
      </c>
      <c r="H19" s="244" t="s">
        <v>563</v>
      </c>
      <c r="L19" s="244" t="s">
        <v>564</v>
      </c>
      <c r="P19" s="244" t="s">
        <v>565</v>
      </c>
    </row>
    <row r="20" spans="1:32" ht="33" customHeight="1" x14ac:dyDescent="0.25">
      <c r="A20" s="472" t="s">
        <v>183</v>
      </c>
      <c r="B20" s="472" t="s">
        <v>182</v>
      </c>
      <c r="C20" s="475" t="s">
        <v>181</v>
      </c>
      <c r="D20" s="475"/>
      <c r="E20" s="476" t="s">
        <v>180</v>
      </c>
      <c r="F20" s="476"/>
      <c r="G20" s="472" t="s">
        <v>571</v>
      </c>
      <c r="H20" s="477">
        <v>2020</v>
      </c>
      <c r="I20" s="478"/>
      <c r="J20" s="478"/>
      <c r="K20" s="479"/>
      <c r="L20" s="477">
        <v>2021</v>
      </c>
      <c r="M20" s="478"/>
      <c r="N20" s="478"/>
      <c r="O20" s="479"/>
      <c r="P20" s="477">
        <v>2022</v>
      </c>
      <c r="Q20" s="478"/>
      <c r="R20" s="478"/>
      <c r="S20" s="479"/>
      <c r="T20" s="477">
        <v>2023</v>
      </c>
      <c r="U20" s="478"/>
      <c r="V20" s="478"/>
      <c r="W20" s="479"/>
      <c r="X20" s="477">
        <v>2024</v>
      </c>
      <c r="Y20" s="478"/>
      <c r="Z20" s="478"/>
      <c r="AA20" s="478"/>
      <c r="AB20" s="480" t="s">
        <v>179</v>
      </c>
      <c r="AC20" s="480"/>
      <c r="AD20" s="354"/>
      <c r="AE20" s="354"/>
      <c r="AF20" s="354"/>
    </row>
    <row r="21" spans="1:32" ht="99.75" customHeight="1" x14ac:dyDescent="0.25">
      <c r="A21" s="473"/>
      <c r="B21" s="473"/>
      <c r="C21" s="475"/>
      <c r="D21" s="475"/>
      <c r="E21" s="476"/>
      <c r="F21" s="476"/>
      <c r="G21" s="473"/>
      <c r="H21" s="475" t="s">
        <v>2</v>
      </c>
      <c r="I21" s="475"/>
      <c r="J21" s="475" t="s">
        <v>9</v>
      </c>
      <c r="K21" s="475"/>
      <c r="L21" s="475" t="s">
        <v>2</v>
      </c>
      <c r="M21" s="475"/>
      <c r="N21" s="475" t="s">
        <v>539</v>
      </c>
      <c r="O21" s="475"/>
      <c r="P21" s="475" t="s">
        <v>2</v>
      </c>
      <c r="Q21" s="475"/>
      <c r="R21" s="475" t="s">
        <v>178</v>
      </c>
      <c r="S21" s="475"/>
      <c r="T21" s="475" t="s">
        <v>2</v>
      </c>
      <c r="U21" s="475"/>
      <c r="V21" s="475" t="s">
        <v>178</v>
      </c>
      <c r="W21" s="475"/>
      <c r="X21" s="475" t="s">
        <v>2</v>
      </c>
      <c r="Y21" s="475"/>
      <c r="Z21" s="475" t="s">
        <v>178</v>
      </c>
      <c r="AA21" s="475"/>
      <c r="AB21" s="480"/>
      <c r="AC21" s="480"/>
    </row>
    <row r="22" spans="1:32" ht="89.25" customHeight="1" x14ac:dyDescent="0.25">
      <c r="A22" s="474"/>
      <c r="B22" s="474"/>
      <c r="C22" s="348" t="s">
        <v>2</v>
      </c>
      <c r="D22" s="348" t="s">
        <v>178</v>
      </c>
      <c r="E22" s="247" t="s">
        <v>556</v>
      </c>
      <c r="F22" s="247" t="s">
        <v>684</v>
      </c>
      <c r="G22" s="474"/>
      <c r="H22" s="355" t="s">
        <v>374</v>
      </c>
      <c r="I22" s="355" t="s">
        <v>375</v>
      </c>
      <c r="J22" s="355" t="s">
        <v>374</v>
      </c>
      <c r="K22" s="355" t="s">
        <v>375</v>
      </c>
      <c r="L22" s="355" t="s">
        <v>374</v>
      </c>
      <c r="M22" s="355" t="s">
        <v>375</v>
      </c>
      <c r="N22" s="355" t="s">
        <v>374</v>
      </c>
      <c r="O22" s="355" t="s">
        <v>375</v>
      </c>
      <c r="P22" s="355" t="s">
        <v>374</v>
      </c>
      <c r="Q22" s="355" t="s">
        <v>375</v>
      </c>
      <c r="R22" s="355" t="s">
        <v>374</v>
      </c>
      <c r="S22" s="355" t="s">
        <v>375</v>
      </c>
      <c r="T22" s="355" t="s">
        <v>374</v>
      </c>
      <c r="U22" s="355" t="s">
        <v>375</v>
      </c>
      <c r="V22" s="355" t="s">
        <v>374</v>
      </c>
      <c r="W22" s="355" t="s">
        <v>375</v>
      </c>
      <c r="X22" s="355" t="s">
        <v>374</v>
      </c>
      <c r="Y22" s="355" t="s">
        <v>375</v>
      </c>
      <c r="Z22" s="355" t="s">
        <v>374</v>
      </c>
      <c r="AA22" s="355" t="s">
        <v>375</v>
      </c>
      <c r="AB22" s="348" t="s">
        <v>568</v>
      </c>
      <c r="AC22" s="348" t="s">
        <v>540</v>
      </c>
    </row>
    <row r="23" spans="1:32" ht="19.5" customHeight="1" x14ac:dyDescent="0.25">
      <c r="A23" s="248">
        <v>1</v>
      </c>
      <c r="B23" s="248">
        <v>2</v>
      </c>
      <c r="C23" s="248">
        <v>3</v>
      </c>
      <c r="D23" s="248">
        <v>4</v>
      </c>
      <c r="E23" s="248">
        <v>5</v>
      </c>
      <c r="F23" s="248">
        <v>6</v>
      </c>
      <c r="G23" s="248">
        <v>7</v>
      </c>
      <c r="H23" s="248">
        <v>8</v>
      </c>
      <c r="I23" s="248">
        <v>9</v>
      </c>
      <c r="J23" s="248">
        <v>10</v>
      </c>
      <c r="K23" s="248">
        <v>11</v>
      </c>
      <c r="L23" s="248">
        <v>12</v>
      </c>
      <c r="M23" s="248">
        <v>13</v>
      </c>
      <c r="N23" s="248">
        <v>14</v>
      </c>
      <c r="O23" s="248">
        <v>15</v>
      </c>
      <c r="P23" s="248">
        <v>16</v>
      </c>
      <c r="Q23" s="248">
        <v>17</v>
      </c>
      <c r="R23" s="248">
        <v>18</v>
      </c>
      <c r="S23" s="248">
        <v>19</v>
      </c>
      <c r="T23" s="248">
        <v>20</v>
      </c>
      <c r="U23" s="248">
        <v>21</v>
      </c>
      <c r="V23" s="248">
        <v>22</v>
      </c>
      <c r="W23" s="248">
        <v>23</v>
      </c>
      <c r="X23" s="248">
        <v>24</v>
      </c>
      <c r="Y23" s="248">
        <v>25</v>
      </c>
      <c r="Z23" s="248">
        <v>26</v>
      </c>
      <c r="AA23" s="248">
        <v>27</v>
      </c>
      <c r="AB23" s="248">
        <v>28</v>
      </c>
      <c r="AC23" s="248">
        <v>29</v>
      </c>
    </row>
    <row r="24" spans="1:32" ht="47.25" customHeight="1" x14ac:dyDescent="0.25">
      <c r="A24" s="356">
        <v>1</v>
      </c>
      <c r="B24" s="357" t="s">
        <v>177</v>
      </c>
      <c r="C24" s="249">
        <v>170.64252412600001</v>
      </c>
      <c r="D24" s="249">
        <v>0</v>
      </c>
      <c r="E24" s="249">
        <f>G24+J24</f>
        <v>199.48431003600001</v>
      </c>
      <c r="F24" s="249">
        <v>0</v>
      </c>
      <c r="G24" s="249">
        <v>28.841785909999999</v>
      </c>
      <c r="H24" s="249">
        <v>170.64252412600001</v>
      </c>
      <c r="I24" s="249">
        <f>SUM(I25:I29)</f>
        <v>0</v>
      </c>
      <c r="J24" s="249">
        <v>170.64252412600001</v>
      </c>
      <c r="K24" s="249">
        <v>0</v>
      </c>
      <c r="L24" s="249">
        <v>0</v>
      </c>
      <c r="M24" s="249">
        <f t="shared" ref="M24:Y24" si="0">SUM(M25:M29)</f>
        <v>0</v>
      </c>
      <c r="N24" s="249">
        <v>0</v>
      </c>
      <c r="O24" s="249">
        <v>0</v>
      </c>
      <c r="P24" s="249">
        <f t="shared" si="0"/>
        <v>0</v>
      </c>
      <c r="Q24" s="249">
        <f t="shared" si="0"/>
        <v>0</v>
      </c>
      <c r="R24" s="249">
        <v>0</v>
      </c>
      <c r="S24" s="249">
        <v>0</v>
      </c>
      <c r="T24" s="249">
        <f t="shared" si="0"/>
        <v>0</v>
      </c>
      <c r="U24" s="249">
        <f t="shared" si="0"/>
        <v>0</v>
      </c>
      <c r="V24" s="249">
        <v>0</v>
      </c>
      <c r="W24" s="249">
        <v>0</v>
      </c>
      <c r="X24" s="249">
        <f t="shared" si="0"/>
        <v>0</v>
      </c>
      <c r="Y24" s="249">
        <f t="shared" si="0"/>
        <v>0</v>
      </c>
      <c r="Z24" s="249">
        <v>0</v>
      </c>
      <c r="AA24" s="249">
        <v>0</v>
      </c>
      <c r="AB24" s="249">
        <v>170.64252412600001</v>
      </c>
      <c r="AC24" s="249">
        <v>0</v>
      </c>
      <c r="AD24" s="353"/>
    </row>
    <row r="25" spans="1:32" ht="24" customHeight="1" x14ac:dyDescent="0.25">
      <c r="A25" s="358" t="s">
        <v>176</v>
      </c>
      <c r="B25" s="359" t="s">
        <v>175</v>
      </c>
      <c r="C25" s="249">
        <v>0</v>
      </c>
      <c r="D25" s="249">
        <v>0</v>
      </c>
      <c r="E25" s="249">
        <f t="shared" ref="E25:E64" si="1">G25+J25</f>
        <v>0</v>
      </c>
      <c r="F25" s="249">
        <v>0</v>
      </c>
      <c r="G25" s="250">
        <v>0</v>
      </c>
      <c r="H25" s="250">
        <v>0</v>
      </c>
      <c r="I25" s="250">
        <v>0</v>
      </c>
      <c r="J25" s="249">
        <v>0</v>
      </c>
      <c r="K25" s="249">
        <v>0</v>
      </c>
      <c r="L25" s="249">
        <v>0</v>
      </c>
      <c r="M25" s="250">
        <v>0</v>
      </c>
      <c r="N25" s="249">
        <v>0</v>
      </c>
      <c r="O25" s="249">
        <v>0</v>
      </c>
      <c r="P25" s="250">
        <v>0</v>
      </c>
      <c r="Q25" s="250">
        <v>0</v>
      </c>
      <c r="R25" s="249">
        <v>0</v>
      </c>
      <c r="S25" s="249">
        <v>0</v>
      </c>
      <c r="T25" s="250">
        <v>0</v>
      </c>
      <c r="U25" s="250">
        <v>0</v>
      </c>
      <c r="V25" s="249">
        <v>0</v>
      </c>
      <c r="W25" s="249">
        <v>0</v>
      </c>
      <c r="X25" s="250">
        <v>0</v>
      </c>
      <c r="Y25" s="250">
        <v>0</v>
      </c>
      <c r="Z25" s="249">
        <v>0</v>
      </c>
      <c r="AA25" s="249">
        <v>0</v>
      </c>
      <c r="AB25" s="249">
        <v>0</v>
      </c>
      <c r="AC25" s="249">
        <v>0</v>
      </c>
    </row>
    <row r="26" spans="1:32" x14ac:dyDescent="0.25">
      <c r="A26" s="358" t="s">
        <v>174</v>
      </c>
      <c r="B26" s="359" t="s">
        <v>173</v>
      </c>
      <c r="C26" s="249">
        <v>0</v>
      </c>
      <c r="D26" s="249">
        <v>0</v>
      </c>
      <c r="E26" s="249">
        <f t="shared" si="1"/>
        <v>0</v>
      </c>
      <c r="F26" s="249">
        <v>0</v>
      </c>
      <c r="G26" s="250">
        <v>0</v>
      </c>
      <c r="H26" s="250">
        <v>0</v>
      </c>
      <c r="I26" s="250">
        <v>0</v>
      </c>
      <c r="J26" s="249">
        <v>0</v>
      </c>
      <c r="K26" s="249">
        <v>0</v>
      </c>
      <c r="L26" s="249">
        <v>0</v>
      </c>
      <c r="M26" s="250">
        <v>0</v>
      </c>
      <c r="N26" s="249">
        <v>0</v>
      </c>
      <c r="O26" s="249">
        <v>0</v>
      </c>
      <c r="P26" s="250">
        <v>0</v>
      </c>
      <c r="Q26" s="250">
        <v>0</v>
      </c>
      <c r="R26" s="249">
        <v>0</v>
      </c>
      <c r="S26" s="249">
        <v>0</v>
      </c>
      <c r="T26" s="250">
        <v>0</v>
      </c>
      <c r="U26" s="250">
        <v>0</v>
      </c>
      <c r="V26" s="249">
        <v>0</v>
      </c>
      <c r="W26" s="249">
        <v>0</v>
      </c>
      <c r="X26" s="250">
        <v>0</v>
      </c>
      <c r="Y26" s="250">
        <v>0</v>
      </c>
      <c r="Z26" s="249">
        <v>0</v>
      </c>
      <c r="AA26" s="249">
        <v>0</v>
      </c>
      <c r="AB26" s="249">
        <v>0</v>
      </c>
      <c r="AC26" s="249">
        <v>0</v>
      </c>
    </row>
    <row r="27" spans="1:32" ht="31.5" x14ac:dyDescent="0.25">
      <c r="A27" s="358" t="s">
        <v>172</v>
      </c>
      <c r="B27" s="359" t="s">
        <v>356</v>
      </c>
      <c r="C27" s="249">
        <v>0</v>
      </c>
      <c r="D27" s="249">
        <v>0</v>
      </c>
      <c r="E27" s="249">
        <f t="shared" si="1"/>
        <v>0</v>
      </c>
      <c r="F27" s="249">
        <v>0</v>
      </c>
      <c r="G27" s="250">
        <v>0</v>
      </c>
      <c r="H27" s="250">
        <v>0</v>
      </c>
      <c r="I27" s="250">
        <v>0</v>
      </c>
      <c r="J27" s="249">
        <v>0</v>
      </c>
      <c r="K27" s="249">
        <v>0</v>
      </c>
      <c r="L27" s="249">
        <v>0</v>
      </c>
      <c r="M27" s="250">
        <v>0</v>
      </c>
      <c r="N27" s="249">
        <v>0</v>
      </c>
      <c r="O27" s="249">
        <v>0</v>
      </c>
      <c r="P27" s="250">
        <v>0</v>
      </c>
      <c r="Q27" s="250">
        <v>0</v>
      </c>
      <c r="R27" s="249">
        <v>0</v>
      </c>
      <c r="S27" s="249">
        <v>0</v>
      </c>
      <c r="T27" s="250">
        <v>0</v>
      </c>
      <c r="U27" s="250">
        <v>0</v>
      </c>
      <c r="V27" s="249">
        <v>0</v>
      </c>
      <c r="W27" s="249">
        <v>0</v>
      </c>
      <c r="X27" s="250">
        <v>0</v>
      </c>
      <c r="Y27" s="250">
        <v>0</v>
      </c>
      <c r="Z27" s="249">
        <v>0</v>
      </c>
      <c r="AA27" s="249">
        <v>0</v>
      </c>
      <c r="AB27" s="249">
        <v>0</v>
      </c>
      <c r="AC27" s="249">
        <v>0</v>
      </c>
    </row>
    <row r="28" spans="1:32" x14ac:dyDescent="0.25">
      <c r="A28" s="358" t="s">
        <v>171</v>
      </c>
      <c r="B28" s="359" t="s">
        <v>542</v>
      </c>
      <c r="C28" s="249">
        <v>0</v>
      </c>
      <c r="D28" s="249">
        <v>0</v>
      </c>
      <c r="E28" s="249">
        <f t="shared" si="1"/>
        <v>0</v>
      </c>
      <c r="F28" s="249">
        <v>0</v>
      </c>
      <c r="G28" s="250">
        <v>0</v>
      </c>
      <c r="H28" s="250">
        <v>0</v>
      </c>
      <c r="I28" s="250">
        <v>0</v>
      </c>
      <c r="J28" s="249">
        <v>0</v>
      </c>
      <c r="K28" s="249">
        <v>0</v>
      </c>
      <c r="L28" s="249">
        <v>0</v>
      </c>
      <c r="M28" s="250">
        <v>0</v>
      </c>
      <c r="N28" s="249">
        <v>0</v>
      </c>
      <c r="O28" s="249">
        <v>0</v>
      </c>
      <c r="P28" s="250">
        <v>0</v>
      </c>
      <c r="Q28" s="250">
        <v>0</v>
      </c>
      <c r="R28" s="249">
        <v>0</v>
      </c>
      <c r="S28" s="249">
        <v>0</v>
      </c>
      <c r="T28" s="250">
        <v>0</v>
      </c>
      <c r="U28" s="250">
        <v>0</v>
      </c>
      <c r="V28" s="249">
        <v>0</v>
      </c>
      <c r="W28" s="249">
        <v>0</v>
      </c>
      <c r="X28" s="250">
        <v>0</v>
      </c>
      <c r="Y28" s="250">
        <v>0</v>
      </c>
      <c r="Z28" s="249">
        <v>0</v>
      </c>
      <c r="AA28" s="249">
        <v>0</v>
      </c>
      <c r="AB28" s="249">
        <v>0</v>
      </c>
      <c r="AC28" s="249">
        <v>0</v>
      </c>
    </row>
    <row r="29" spans="1:32" x14ac:dyDescent="0.25">
      <c r="A29" s="358" t="s">
        <v>169</v>
      </c>
      <c r="B29" s="360" t="s">
        <v>168</v>
      </c>
      <c r="C29" s="249">
        <v>170.64252412600001</v>
      </c>
      <c r="D29" s="249">
        <v>0</v>
      </c>
      <c r="E29" s="249">
        <f t="shared" si="1"/>
        <v>199.48431003600001</v>
      </c>
      <c r="F29" s="249">
        <v>0</v>
      </c>
      <c r="G29" s="250">
        <v>28.841785909999999</v>
      </c>
      <c r="H29" s="250">
        <v>170.64252412600001</v>
      </c>
      <c r="I29" s="250">
        <v>0</v>
      </c>
      <c r="J29" s="249">
        <v>170.64252412600001</v>
      </c>
      <c r="K29" s="249">
        <v>0</v>
      </c>
      <c r="L29" s="249">
        <v>0</v>
      </c>
      <c r="M29" s="250">
        <v>0</v>
      </c>
      <c r="N29" s="249">
        <v>0</v>
      </c>
      <c r="O29" s="249">
        <v>0</v>
      </c>
      <c r="P29" s="250">
        <v>0</v>
      </c>
      <c r="Q29" s="250">
        <v>0</v>
      </c>
      <c r="R29" s="249">
        <v>0</v>
      </c>
      <c r="S29" s="249">
        <v>0</v>
      </c>
      <c r="T29" s="250">
        <v>0</v>
      </c>
      <c r="U29" s="250">
        <v>0</v>
      </c>
      <c r="V29" s="249">
        <v>0</v>
      </c>
      <c r="W29" s="249">
        <v>0</v>
      </c>
      <c r="X29" s="250">
        <v>0</v>
      </c>
      <c r="Y29" s="250">
        <v>0</v>
      </c>
      <c r="Z29" s="249">
        <v>0</v>
      </c>
      <c r="AA29" s="249">
        <v>0</v>
      </c>
      <c r="AB29" s="249">
        <v>170.64252412600001</v>
      </c>
      <c r="AC29" s="249">
        <v>0</v>
      </c>
    </row>
    <row r="30" spans="1:32" s="361" customFormat="1" ht="47.25" x14ac:dyDescent="0.25">
      <c r="A30" s="356" t="s">
        <v>61</v>
      </c>
      <c r="B30" s="357" t="s">
        <v>167</v>
      </c>
      <c r="C30" s="249">
        <v>166.23692503000001</v>
      </c>
      <c r="D30" s="249">
        <v>0</v>
      </c>
      <c r="E30" s="249">
        <f t="shared" si="1"/>
        <v>166.23692503000001</v>
      </c>
      <c r="F30" s="249">
        <v>0</v>
      </c>
      <c r="G30" s="249">
        <v>0</v>
      </c>
      <c r="H30" s="249">
        <v>166.23692503000001</v>
      </c>
      <c r="I30" s="249">
        <v>0</v>
      </c>
      <c r="J30" s="249">
        <v>166.23692503000001</v>
      </c>
      <c r="K30" s="249">
        <v>0</v>
      </c>
      <c r="L30" s="249">
        <v>0</v>
      </c>
      <c r="M30" s="249">
        <v>0</v>
      </c>
      <c r="N30" s="249">
        <v>0</v>
      </c>
      <c r="O30" s="249">
        <v>0</v>
      </c>
      <c r="P30" s="249">
        <v>0</v>
      </c>
      <c r="Q30" s="249">
        <v>0</v>
      </c>
      <c r="R30" s="249">
        <v>0</v>
      </c>
      <c r="S30" s="249">
        <v>0</v>
      </c>
      <c r="T30" s="249">
        <v>0</v>
      </c>
      <c r="U30" s="249">
        <v>0</v>
      </c>
      <c r="V30" s="249">
        <v>0</v>
      </c>
      <c r="W30" s="249">
        <v>0</v>
      </c>
      <c r="X30" s="249">
        <v>0</v>
      </c>
      <c r="Y30" s="249">
        <v>0</v>
      </c>
      <c r="Z30" s="249">
        <v>0</v>
      </c>
      <c r="AA30" s="249">
        <v>0</v>
      </c>
      <c r="AB30" s="249">
        <v>166.23692503000001</v>
      </c>
      <c r="AC30" s="249">
        <v>0</v>
      </c>
    </row>
    <row r="31" spans="1:32" x14ac:dyDescent="0.25">
      <c r="A31" s="356" t="s">
        <v>166</v>
      </c>
      <c r="B31" s="359" t="s">
        <v>165</v>
      </c>
      <c r="C31" s="249">
        <v>0</v>
      </c>
      <c r="D31" s="249">
        <v>0</v>
      </c>
      <c r="E31" s="249">
        <f t="shared" si="1"/>
        <v>0</v>
      </c>
      <c r="F31" s="249">
        <v>0</v>
      </c>
      <c r="G31" s="250">
        <v>0</v>
      </c>
      <c r="H31" s="250">
        <v>0</v>
      </c>
      <c r="I31" s="250">
        <v>0</v>
      </c>
      <c r="J31" s="249">
        <v>0</v>
      </c>
      <c r="K31" s="249">
        <v>0</v>
      </c>
      <c r="L31" s="249">
        <v>0</v>
      </c>
      <c r="M31" s="250">
        <v>0</v>
      </c>
      <c r="N31" s="249">
        <v>0</v>
      </c>
      <c r="O31" s="249">
        <v>0</v>
      </c>
      <c r="P31" s="250">
        <v>0</v>
      </c>
      <c r="Q31" s="250">
        <v>0</v>
      </c>
      <c r="R31" s="249">
        <v>0</v>
      </c>
      <c r="S31" s="249">
        <v>0</v>
      </c>
      <c r="T31" s="250">
        <v>0</v>
      </c>
      <c r="U31" s="250">
        <v>0</v>
      </c>
      <c r="V31" s="249">
        <v>0</v>
      </c>
      <c r="W31" s="249">
        <v>0</v>
      </c>
      <c r="X31" s="250">
        <v>0</v>
      </c>
      <c r="Y31" s="250">
        <v>0</v>
      </c>
      <c r="Z31" s="249">
        <v>0</v>
      </c>
      <c r="AA31" s="249">
        <v>0</v>
      </c>
      <c r="AB31" s="249">
        <v>0</v>
      </c>
      <c r="AC31" s="249">
        <v>0</v>
      </c>
    </row>
    <row r="32" spans="1:32" ht="31.5" x14ac:dyDescent="0.25">
      <c r="A32" s="356" t="s">
        <v>164</v>
      </c>
      <c r="B32" s="359" t="s">
        <v>163</v>
      </c>
      <c r="C32" s="249">
        <v>0</v>
      </c>
      <c r="D32" s="249">
        <v>0</v>
      </c>
      <c r="E32" s="249">
        <f t="shared" si="1"/>
        <v>0</v>
      </c>
      <c r="F32" s="249">
        <v>0</v>
      </c>
      <c r="G32" s="250">
        <v>0</v>
      </c>
      <c r="H32" s="250">
        <v>0</v>
      </c>
      <c r="I32" s="250">
        <v>0</v>
      </c>
      <c r="J32" s="249">
        <v>0</v>
      </c>
      <c r="K32" s="249">
        <v>0</v>
      </c>
      <c r="L32" s="249">
        <v>0</v>
      </c>
      <c r="M32" s="250">
        <v>0</v>
      </c>
      <c r="N32" s="249">
        <v>0</v>
      </c>
      <c r="O32" s="249">
        <v>0</v>
      </c>
      <c r="P32" s="250">
        <v>0</v>
      </c>
      <c r="Q32" s="250">
        <v>0</v>
      </c>
      <c r="R32" s="249">
        <v>0</v>
      </c>
      <c r="S32" s="249">
        <v>0</v>
      </c>
      <c r="T32" s="250">
        <v>0</v>
      </c>
      <c r="U32" s="250">
        <v>0</v>
      </c>
      <c r="V32" s="249">
        <v>0</v>
      </c>
      <c r="W32" s="249">
        <v>0</v>
      </c>
      <c r="X32" s="250">
        <v>0</v>
      </c>
      <c r="Y32" s="250">
        <v>0</v>
      </c>
      <c r="Z32" s="249">
        <v>0</v>
      </c>
      <c r="AA32" s="249">
        <v>0</v>
      </c>
      <c r="AB32" s="249">
        <v>0</v>
      </c>
      <c r="AC32" s="249">
        <v>0</v>
      </c>
    </row>
    <row r="33" spans="1:29" x14ac:dyDescent="0.25">
      <c r="A33" s="356" t="s">
        <v>162</v>
      </c>
      <c r="B33" s="359" t="s">
        <v>161</v>
      </c>
      <c r="C33" s="249">
        <v>166.23692503000001</v>
      </c>
      <c r="D33" s="249">
        <v>0</v>
      </c>
      <c r="E33" s="249">
        <f t="shared" si="1"/>
        <v>166.23692503000001</v>
      </c>
      <c r="F33" s="249">
        <v>0</v>
      </c>
      <c r="G33" s="250">
        <v>0</v>
      </c>
      <c r="H33" s="250">
        <v>166.23692503000001</v>
      </c>
      <c r="I33" s="250">
        <v>0</v>
      </c>
      <c r="J33" s="249">
        <v>166.23692503000001</v>
      </c>
      <c r="K33" s="249">
        <v>0</v>
      </c>
      <c r="L33" s="249">
        <v>0</v>
      </c>
      <c r="M33" s="250">
        <v>0</v>
      </c>
      <c r="N33" s="249">
        <v>0</v>
      </c>
      <c r="O33" s="249">
        <v>0</v>
      </c>
      <c r="P33" s="250">
        <v>0</v>
      </c>
      <c r="Q33" s="250">
        <v>0</v>
      </c>
      <c r="R33" s="249">
        <v>0</v>
      </c>
      <c r="S33" s="249">
        <v>0</v>
      </c>
      <c r="T33" s="250">
        <v>0</v>
      </c>
      <c r="U33" s="250">
        <v>0</v>
      </c>
      <c r="V33" s="249">
        <v>0</v>
      </c>
      <c r="W33" s="249">
        <v>0</v>
      </c>
      <c r="X33" s="250">
        <v>0</v>
      </c>
      <c r="Y33" s="250">
        <v>0</v>
      </c>
      <c r="Z33" s="249">
        <v>0</v>
      </c>
      <c r="AA33" s="249">
        <v>0</v>
      </c>
      <c r="AB33" s="249">
        <v>166.23692503000001</v>
      </c>
      <c r="AC33" s="249">
        <v>0</v>
      </c>
    </row>
    <row r="34" spans="1:29" x14ac:dyDescent="0.25">
      <c r="A34" s="356" t="s">
        <v>160</v>
      </c>
      <c r="B34" s="359" t="s">
        <v>159</v>
      </c>
      <c r="C34" s="249">
        <v>0</v>
      </c>
      <c r="D34" s="249">
        <v>0</v>
      </c>
      <c r="E34" s="249">
        <f t="shared" si="1"/>
        <v>0</v>
      </c>
      <c r="F34" s="249">
        <v>0</v>
      </c>
      <c r="G34" s="250">
        <v>0</v>
      </c>
      <c r="H34" s="250">
        <v>0</v>
      </c>
      <c r="I34" s="250">
        <v>0</v>
      </c>
      <c r="J34" s="249">
        <v>0</v>
      </c>
      <c r="K34" s="249">
        <v>0</v>
      </c>
      <c r="L34" s="249">
        <v>0</v>
      </c>
      <c r="M34" s="250">
        <v>0</v>
      </c>
      <c r="N34" s="249">
        <v>0</v>
      </c>
      <c r="O34" s="249">
        <v>0</v>
      </c>
      <c r="P34" s="250">
        <v>0</v>
      </c>
      <c r="Q34" s="250">
        <v>0</v>
      </c>
      <c r="R34" s="249">
        <v>0</v>
      </c>
      <c r="S34" s="249">
        <v>0</v>
      </c>
      <c r="T34" s="250">
        <v>0</v>
      </c>
      <c r="U34" s="250">
        <v>0</v>
      </c>
      <c r="V34" s="249">
        <v>0</v>
      </c>
      <c r="W34" s="249">
        <v>0</v>
      </c>
      <c r="X34" s="250">
        <v>0</v>
      </c>
      <c r="Y34" s="250">
        <v>0</v>
      </c>
      <c r="Z34" s="249">
        <v>0</v>
      </c>
      <c r="AA34" s="249">
        <v>0</v>
      </c>
      <c r="AB34" s="249">
        <v>0</v>
      </c>
      <c r="AC34" s="249">
        <v>0</v>
      </c>
    </row>
    <row r="35" spans="1:29" s="361" customFormat="1" ht="31.5" x14ac:dyDescent="0.25">
      <c r="A35" s="356" t="s">
        <v>60</v>
      </c>
      <c r="B35" s="357" t="s">
        <v>158</v>
      </c>
      <c r="C35" s="249">
        <v>0</v>
      </c>
      <c r="D35" s="249">
        <v>0</v>
      </c>
      <c r="E35" s="249">
        <f t="shared" si="1"/>
        <v>0</v>
      </c>
      <c r="F35" s="249">
        <v>0</v>
      </c>
      <c r="G35" s="249">
        <v>0</v>
      </c>
      <c r="H35" s="249">
        <v>0</v>
      </c>
      <c r="I35" s="249">
        <v>0</v>
      </c>
      <c r="J35" s="249">
        <v>0</v>
      </c>
      <c r="K35" s="249">
        <v>0</v>
      </c>
      <c r="L35" s="249">
        <v>0</v>
      </c>
      <c r="M35" s="249">
        <v>0</v>
      </c>
      <c r="N35" s="249">
        <v>0</v>
      </c>
      <c r="O35" s="249">
        <v>0</v>
      </c>
      <c r="P35" s="249">
        <v>0</v>
      </c>
      <c r="Q35" s="249">
        <v>0</v>
      </c>
      <c r="R35" s="249">
        <v>0</v>
      </c>
      <c r="S35" s="249">
        <v>0</v>
      </c>
      <c r="T35" s="249">
        <v>0</v>
      </c>
      <c r="U35" s="249">
        <v>0</v>
      </c>
      <c r="V35" s="249">
        <v>0</v>
      </c>
      <c r="W35" s="249">
        <v>0</v>
      </c>
      <c r="X35" s="249">
        <v>0</v>
      </c>
      <c r="Y35" s="249">
        <v>0</v>
      </c>
      <c r="Z35" s="249">
        <v>0</v>
      </c>
      <c r="AA35" s="249">
        <v>0</v>
      </c>
      <c r="AB35" s="249">
        <v>0</v>
      </c>
      <c r="AC35" s="249">
        <v>0</v>
      </c>
    </row>
    <row r="36" spans="1:29" ht="31.5" x14ac:dyDescent="0.25">
      <c r="A36" s="358" t="s">
        <v>157</v>
      </c>
      <c r="B36" s="362" t="s">
        <v>156</v>
      </c>
      <c r="C36" s="249">
        <v>0</v>
      </c>
      <c r="D36" s="249">
        <v>0</v>
      </c>
      <c r="E36" s="249">
        <f t="shared" si="1"/>
        <v>0</v>
      </c>
      <c r="F36" s="249">
        <v>0</v>
      </c>
      <c r="G36" s="250">
        <v>0</v>
      </c>
      <c r="H36" s="250">
        <v>0</v>
      </c>
      <c r="I36" s="250">
        <v>0</v>
      </c>
      <c r="J36" s="249">
        <v>0</v>
      </c>
      <c r="K36" s="249">
        <v>0</v>
      </c>
      <c r="L36" s="249">
        <v>0</v>
      </c>
      <c r="M36" s="250">
        <v>0</v>
      </c>
      <c r="N36" s="249">
        <v>0</v>
      </c>
      <c r="O36" s="249">
        <v>0</v>
      </c>
      <c r="P36" s="250">
        <v>0</v>
      </c>
      <c r="Q36" s="250">
        <v>0</v>
      </c>
      <c r="R36" s="249">
        <v>0</v>
      </c>
      <c r="S36" s="249">
        <v>0</v>
      </c>
      <c r="T36" s="250">
        <v>0</v>
      </c>
      <c r="U36" s="250">
        <v>0</v>
      </c>
      <c r="V36" s="249">
        <v>0</v>
      </c>
      <c r="W36" s="249">
        <v>0</v>
      </c>
      <c r="X36" s="250">
        <v>0</v>
      </c>
      <c r="Y36" s="250">
        <v>0</v>
      </c>
      <c r="Z36" s="249">
        <v>0</v>
      </c>
      <c r="AA36" s="249">
        <v>0</v>
      </c>
      <c r="AB36" s="249">
        <v>0</v>
      </c>
      <c r="AC36" s="249">
        <v>0</v>
      </c>
    </row>
    <row r="37" spans="1:29" x14ac:dyDescent="0.25">
      <c r="A37" s="358" t="s">
        <v>155</v>
      </c>
      <c r="B37" s="362" t="s">
        <v>145</v>
      </c>
      <c r="C37" s="249">
        <v>42.519999999999996</v>
      </c>
      <c r="D37" s="249">
        <v>0</v>
      </c>
      <c r="E37" s="249">
        <f t="shared" si="1"/>
        <v>42.519999999999996</v>
      </c>
      <c r="F37" s="249">
        <v>0</v>
      </c>
      <c r="G37" s="250">
        <v>0</v>
      </c>
      <c r="H37" s="250">
        <v>42.519999999999996</v>
      </c>
      <c r="I37" s="250">
        <v>0</v>
      </c>
      <c r="J37" s="249">
        <v>42.519999999999996</v>
      </c>
      <c r="K37" s="249">
        <v>0</v>
      </c>
      <c r="L37" s="249">
        <v>0</v>
      </c>
      <c r="M37" s="250">
        <v>0</v>
      </c>
      <c r="N37" s="249">
        <v>0</v>
      </c>
      <c r="O37" s="249">
        <v>0</v>
      </c>
      <c r="P37" s="250">
        <v>0</v>
      </c>
      <c r="Q37" s="250">
        <v>0</v>
      </c>
      <c r="R37" s="249">
        <v>0</v>
      </c>
      <c r="S37" s="249">
        <v>0</v>
      </c>
      <c r="T37" s="250">
        <v>0</v>
      </c>
      <c r="U37" s="250">
        <v>0</v>
      </c>
      <c r="V37" s="249">
        <v>0</v>
      </c>
      <c r="W37" s="249">
        <v>0</v>
      </c>
      <c r="X37" s="250">
        <v>0</v>
      </c>
      <c r="Y37" s="250">
        <v>0</v>
      </c>
      <c r="Z37" s="249">
        <v>0</v>
      </c>
      <c r="AA37" s="249">
        <v>0</v>
      </c>
      <c r="AB37" s="249">
        <v>42.519999999999996</v>
      </c>
      <c r="AC37" s="249">
        <v>0</v>
      </c>
    </row>
    <row r="38" spans="1:29" x14ac:dyDescent="0.25">
      <c r="A38" s="358" t="s">
        <v>154</v>
      </c>
      <c r="B38" s="362" t="s">
        <v>143</v>
      </c>
      <c r="C38" s="249">
        <v>0</v>
      </c>
      <c r="D38" s="249">
        <v>0</v>
      </c>
      <c r="E38" s="249">
        <f t="shared" si="1"/>
        <v>0</v>
      </c>
      <c r="F38" s="249">
        <v>0</v>
      </c>
      <c r="G38" s="250">
        <v>0</v>
      </c>
      <c r="H38" s="250">
        <v>0</v>
      </c>
      <c r="I38" s="250">
        <v>0</v>
      </c>
      <c r="J38" s="249">
        <v>0</v>
      </c>
      <c r="K38" s="249">
        <v>0</v>
      </c>
      <c r="L38" s="249">
        <v>0</v>
      </c>
      <c r="M38" s="250">
        <v>0</v>
      </c>
      <c r="N38" s="249">
        <v>0</v>
      </c>
      <c r="O38" s="249">
        <v>0</v>
      </c>
      <c r="P38" s="250">
        <v>0</v>
      </c>
      <c r="Q38" s="250">
        <v>0</v>
      </c>
      <c r="R38" s="249">
        <v>0</v>
      </c>
      <c r="S38" s="249">
        <v>0</v>
      </c>
      <c r="T38" s="250">
        <v>0</v>
      </c>
      <c r="U38" s="250">
        <v>0</v>
      </c>
      <c r="V38" s="249">
        <v>0</v>
      </c>
      <c r="W38" s="249">
        <v>0</v>
      </c>
      <c r="X38" s="250">
        <v>0</v>
      </c>
      <c r="Y38" s="250">
        <v>0</v>
      </c>
      <c r="Z38" s="249">
        <v>0</v>
      </c>
      <c r="AA38" s="249">
        <v>0</v>
      </c>
      <c r="AB38" s="249">
        <v>0</v>
      </c>
      <c r="AC38" s="249">
        <v>0</v>
      </c>
    </row>
    <row r="39" spans="1:29" ht="31.5" x14ac:dyDescent="0.25">
      <c r="A39" s="358" t="s">
        <v>153</v>
      </c>
      <c r="B39" s="359" t="s">
        <v>141</v>
      </c>
      <c r="C39" s="249">
        <v>0</v>
      </c>
      <c r="D39" s="249">
        <v>0</v>
      </c>
      <c r="E39" s="249">
        <f t="shared" si="1"/>
        <v>0</v>
      </c>
      <c r="F39" s="249">
        <v>0</v>
      </c>
      <c r="G39" s="250">
        <v>0</v>
      </c>
      <c r="H39" s="250">
        <v>0</v>
      </c>
      <c r="I39" s="250">
        <v>0</v>
      </c>
      <c r="J39" s="249">
        <v>0</v>
      </c>
      <c r="K39" s="249">
        <v>0</v>
      </c>
      <c r="L39" s="249">
        <v>0</v>
      </c>
      <c r="M39" s="250">
        <v>0</v>
      </c>
      <c r="N39" s="249">
        <v>0</v>
      </c>
      <c r="O39" s="249">
        <v>0</v>
      </c>
      <c r="P39" s="250">
        <v>0</v>
      </c>
      <c r="Q39" s="250">
        <v>0</v>
      </c>
      <c r="R39" s="249">
        <v>0</v>
      </c>
      <c r="S39" s="249">
        <v>0</v>
      </c>
      <c r="T39" s="250">
        <v>0</v>
      </c>
      <c r="U39" s="250">
        <v>0</v>
      </c>
      <c r="V39" s="249">
        <v>0</v>
      </c>
      <c r="W39" s="249">
        <v>0</v>
      </c>
      <c r="X39" s="250">
        <v>0</v>
      </c>
      <c r="Y39" s="250">
        <v>0</v>
      </c>
      <c r="Z39" s="249">
        <v>0</v>
      </c>
      <c r="AA39" s="249">
        <v>0</v>
      </c>
      <c r="AB39" s="249">
        <v>0</v>
      </c>
      <c r="AC39" s="249">
        <v>0</v>
      </c>
    </row>
    <row r="40" spans="1:29" ht="31.5" x14ac:dyDescent="0.25">
      <c r="A40" s="358" t="s">
        <v>152</v>
      </c>
      <c r="B40" s="359" t="s">
        <v>139</v>
      </c>
      <c r="C40" s="249">
        <v>1.34</v>
      </c>
      <c r="D40" s="249">
        <v>0</v>
      </c>
      <c r="E40" s="249">
        <f t="shared" si="1"/>
        <v>1.34</v>
      </c>
      <c r="F40" s="249">
        <v>0</v>
      </c>
      <c r="G40" s="250">
        <v>0</v>
      </c>
      <c r="H40" s="250">
        <v>1.34</v>
      </c>
      <c r="I40" s="250">
        <v>0</v>
      </c>
      <c r="J40" s="249">
        <v>1.34</v>
      </c>
      <c r="K40" s="249">
        <v>0</v>
      </c>
      <c r="L40" s="249">
        <v>0</v>
      </c>
      <c r="M40" s="250">
        <v>0</v>
      </c>
      <c r="N40" s="249">
        <v>0</v>
      </c>
      <c r="O40" s="249">
        <v>0</v>
      </c>
      <c r="P40" s="250">
        <v>0</v>
      </c>
      <c r="Q40" s="250">
        <v>0</v>
      </c>
      <c r="R40" s="249">
        <v>0</v>
      </c>
      <c r="S40" s="249">
        <v>0</v>
      </c>
      <c r="T40" s="250">
        <v>0</v>
      </c>
      <c r="U40" s="250">
        <v>0</v>
      </c>
      <c r="V40" s="249">
        <v>0</v>
      </c>
      <c r="W40" s="249">
        <v>0</v>
      </c>
      <c r="X40" s="250">
        <v>0</v>
      </c>
      <c r="Y40" s="250">
        <v>0</v>
      </c>
      <c r="Z40" s="249">
        <v>0</v>
      </c>
      <c r="AA40" s="249">
        <v>0</v>
      </c>
      <c r="AB40" s="249">
        <v>1.34</v>
      </c>
      <c r="AC40" s="249">
        <v>0</v>
      </c>
    </row>
    <row r="41" spans="1:29" x14ac:dyDescent="0.25">
      <c r="A41" s="358" t="s">
        <v>151</v>
      </c>
      <c r="B41" s="359" t="s">
        <v>137</v>
      </c>
      <c r="C41" s="249">
        <v>5.7389999999999999</v>
      </c>
      <c r="D41" s="249">
        <v>0</v>
      </c>
      <c r="E41" s="249">
        <f t="shared" si="1"/>
        <v>5.7389999999999999</v>
      </c>
      <c r="F41" s="249">
        <v>0</v>
      </c>
      <c r="G41" s="250">
        <v>0</v>
      </c>
      <c r="H41" s="250">
        <v>5.7389999999999999</v>
      </c>
      <c r="I41" s="250">
        <v>0</v>
      </c>
      <c r="J41" s="249">
        <v>5.7389999999999999</v>
      </c>
      <c r="K41" s="249">
        <v>0</v>
      </c>
      <c r="L41" s="249">
        <v>0</v>
      </c>
      <c r="M41" s="250">
        <v>0</v>
      </c>
      <c r="N41" s="249">
        <v>0</v>
      </c>
      <c r="O41" s="249">
        <v>0</v>
      </c>
      <c r="P41" s="250">
        <v>0</v>
      </c>
      <c r="Q41" s="250">
        <v>0</v>
      </c>
      <c r="R41" s="249">
        <v>0</v>
      </c>
      <c r="S41" s="249">
        <v>0</v>
      </c>
      <c r="T41" s="250">
        <v>0</v>
      </c>
      <c r="U41" s="250">
        <v>0</v>
      </c>
      <c r="V41" s="249">
        <v>0</v>
      </c>
      <c r="W41" s="249">
        <v>0</v>
      </c>
      <c r="X41" s="250">
        <v>0</v>
      </c>
      <c r="Y41" s="250">
        <v>0</v>
      </c>
      <c r="Z41" s="249">
        <v>0</v>
      </c>
      <c r="AA41" s="249">
        <v>0</v>
      </c>
      <c r="AB41" s="249">
        <v>5.7389999999999999</v>
      </c>
      <c r="AC41" s="249">
        <v>0</v>
      </c>
    </row>
    <row r="42" spans="1:29" ht="18.75" x14ac:dyDescent="0.25">
      <c r="A42" s="358" t="s">
        <v>150</v>
      </c>
      <c r="B42" s="362" t="s">
        <v>550</v>
      </c>
      <c r="C42" s="249">
        <v>28</v>
      </c>
      <c r="D42" s="249">
        <v>0</v>
      </c>
      <c r="E42" s="249">
        <f t="shared" si="1"/>
        <v>28</v>
      </c>
      <c r="F42" s="249">
        <v>0</v>
      </c>
      <c r="G42" s="250">
        <v>0</v>
      </c>
      <c r="H42" s="250">
        <v>28</v>
      </c>
      <c r="I42" s="250">
        <v>0</v>
      </c>
      <c r="J42" s="249">
        <v>28</v>
      </c>
      <c r="K42" s="249">
        <v>0</v>
      </c>
      <c r="L42" s="249">
        <v>0</v>
      </c>
      <c r="M42" s="250">
        <v>0</v>
      </c>
      <c r="N42" s="249">
        <v>0</v>
      </c>
      <c r="O42" s="249">
        <v>0</v>
      </c>
      <c r="P42" s="250">
        <v>0</v>
      </c>
      <c r="Q42" s="250">
        <v>0</v>
      </c>
      <c r="R42" s="249">
        <v>0</v>
      </c>
      <c r="S42" s="249">
        <v>0</v>
      </c>
      <c r="T42" s="250">
        <v>0</v>
      </c>
      <c r="U42" s="250">
        <v>0</v>
      </c>
      <c r="V42" s="249">
        <v>0</v>
      </c>
      <c r="W42" s="249">
        <v>0</v>
      </c>
      <c r="X42" s="250">
        <v>0</v>
      </c>
      <c r="Y42" s="250">
        <v>0</v>
      </c>
      <c r="Z42" s="249">
        <v>0</v>
      </c>
      <c r="AA42" s="249">
        <v>0</v>
      </c>
      <c r="AB42" s="249">
        <v>28</v>
      </c>
      <c r="AC42" s="249">
        <v>0</v>
      </c>
    </row>
    <row r="43" spans="1:29" s="361" customFormat="1" x14ac:dyDescent="0.25">
      <c r="A43" s="356" t="s">
        <v>59</v>
      </c>
      <c r="B43" s="357" t="s">
        <v>149</v>
      </c>
      <c r="C43" s="249">
        <v>0</v>
      </c>
      <c r="D43" s="249">
        <v>0</v>
      </c>
      <c r="E43" s="249">
        <f t="shared" si="1"/>
        <v>0</v>
      </c>
      <c r="F43" s="249">
        <v>0</v>
      </c>
      <c r="G43" s="249">
        <v>0</v>
      </c>
      <c r="H43" s="249">
        <v>0</v>
      </c>
      <c r="I43" s="249">
        <v>0</v>
      </c>
      <c r="J43" s="249">
        <v>0</v>
      </c>
      <c r="K43" s="249">
        <v>0</v>
      </c>
      <c r="L43" s="249">
        <v>0</v>
      </c>
      <c r="M43" s="249">
        <v>0</v>
      </c>
      <c r="N43" s="249">
        <v>0</v>
      </c>
      <c r="O43" s="249">
        <v>0</v>
      </c>
      <c r="P43" s="249">
        <v>0</v>
      </c>
      <c r="Q43" s="249">
        <v>0</v>
      </c>
      <c r="R43" s="249">
        <v>0</v>
      </c>
      <c r="S43" s="249">
        <v>0</v>
      </c>
      <c r="T43" s="249">
        <v>0</v>
      </c>
      <c r="U43" s="249">
        <v>0</v>
      </c>
      <c r="V43" s="249">
        <v>0</v>
      </c>
      <c r="W43" s="249">
        <v>0</v>
      </c>
      <c r="X43" s="249">
        <v>0</v>
      </c>
      <c r="Y43" s="249">
        <v>0</v>
      </c>
      <c r="Z43" s="249">
        <v>0</v>
      </c>
      <c r="AA43" s="249">
        <v>0</v>
      </c>
      <c r="AB43" s="249">
        <v>0</v>
      </c>
      <c r="AC43" s="249">
        <v>0</v>
      </c>
    </row>
    <row r="44" spans="1:29" x14ac:dyDescent="0.25">
      <c r="A44" s="358" t="s">
        <v>148</v>
      </c>
      <c r="B44" s="359" t="s">
        <v>147</v>
      </c>
      <c r="C44" s="249">
        <v>0</v>
      </c>
      <c r="D44" s="249">
        <v>0</v>
      </c>
      <c r="E44" s="249">
        <f t="shared" si="1"/>
        <v>0</v>
      </c>
      <c r="F44" s="249">
        <v>0</v>
      </c>
      <c r="G44" s="250">
        <v>0</v>
      </c>
      <c r="H44" s="250">
        <v>0</v>
      </c>
      <c r="I44" s="250">
        <v>0</v>
      </c>
      <c r="J44" s="249">
        <v>0</v>
      </c>
      <c r="K44" s="249">
        <v>0</v>
      </c>
      <c r="L44" s="249">
        <v>0</v>
      </c>
      <c r="M44" s="250">
        <v>0</v>
      </c>
      <c r="N44" s="249">
        <v>0</v>
      </c>
      <c r="O44" s="249">
        <v>0</v>
      </c>
      <c r="P44" s="250">
        <v>0</v>
      </c>
      <c r="Q44" s="250">
        <v>0</v>
      </c>
      <c r="R44" s="249">
        <v>0</v>
      </c>
      <c r="S44" s="249">
        <v>0</v>
      </c>
      <c r="T44" s="250">
        <v>0</v>
      </c>
      <c r="U44" s="250">
        <v>0</v>
      </c>
      <c r="V44" s="249">
        <v>0</v>
      </c>
      <c r="W44" s="249">
        <v>0</v>
      </c>
      <c r="X44" s="250">
        <v>0</v>
      </c>
      <c r="Y44" s="250">
        <v>0</v>
      </c>
      <c r="Z44" s="249">
        <v>0</v>
      </c>
      <c r="AA44" s="249">
        <v>0</v>
      </c>
      <c r="AB44" s="249">
        <v>0</v>
      </c>
      <c r="AC44" s="249">
        <v>0</v>
      </c>
    </row>
    <row r="45" spans="1:29" x14ac:dyDescent="0.25">
      <c r="A45" s="358" t="s">
        <v>146</v>
      </c>
      <c r="B45" s="359" t="s">
        <v>145</v>
      </c>
      <c r="C45" s="249">
        <v>42.519999999999996</v>
      </c>
      <c r="D45" s="249">
        <v>0</v>
      </c>
      <c r="E45" s="249">
        <f t="shared" si="1"/>
        <v>42.519999999999996</v>
      </c>
      <c r="F45" s="249">
        <v>0</v>
      </c>
      <c r="G45" s="250">
        <v>0</v>
      </c>
      <c r="H45" s="250">
        <v>42.519999999999996</v>
      </c>
      <c r="I45" s="250">
        <v>0</v>
      </c>
      <c r="J45" s="249">
        <v>42.519999999999996</v>
      </c>
      <c r="K45" s="249">
        <v>0</v>
      </c>
      <c r="L45" s="249">
        <v>0</v>
      </c>
      <c r="M45" s="250">
        <v>0</v>
      </c>
      <c r="N45" s="249">
        <v>0</v>
      </c>
      <c r="O45" s="249">
        <v>0</v>
      </c>
      <c r="P45" s="250">
        <v>0</v>
      </c>
      <c r="Q45" s="250">
        <v>0</v>
      </c>
      <c r="R45" s="249">
        <v>0</v>
      </c>
      <c r="S45" s="249">
        <v>0</v>
      </c>
      <c r="T45" s="250">
        <v>0</v>
      </c>
      <c r="U45" s="250">
        <v>0</v>
      </c>
      <c r="V45" s="249">
        <v>0</v>
      </c>
      <c r="W45" s="249">
        <v>0</v>
      </c>
      <c r="X45" s="250">
        <v>0</v>
      </c>
      <c r="Y45" s="250">
        <v>0</v>
      </c>
      <c r="Z45" s="249">
        <v>0</v>
      </c>
      <c r="AA45" s="249">
        <v>0</v>
      </c>
      <c r="AB45" s="249">
        <v>42.519999999999996</v>
      </c>
      <c r="AC45" s="249">
        <v>0</v>
      </c>
    </row>
    <row r="46" spans="1:29" x14ac:dyDescent="0.25">
      <c r="A46" s="358" t="s">
        <v>144</v>
      </c>
      <c r="B46" s="359" t="s">
        <v>143</v>
      </c>
      <c r="C46" s="249">
        <v>0</v>
      </c>
      <c r="D46" s="249">
        <v>0</v>
      </c>
      <c r="E46" s="249">
        <f t="shared" si="1"/>
        <v>0</v>
      </c>
      <c r="F46" s="249">
        <v>0</v>
      </c>
      <c r="G46" s="250">
        <v>0</v>
      </c>
      <c r="H46" s="250">
        <v>0</v>
      </c>
      <c r="I46" s="250">
        <v>0</v>
      </c>
      <c r="J46" s="249">
        <v>0</v>
      </c>
      <c r="K46" s="249">
        <v>0</v>
      </c>
      <c r="L46" s="249">
        <v>0</v>
      </c>
      <c r="M46" s="250">
        <v>0</v>
      </c>
      <c r="N46" s="249">
        <v>0</v>
      </c>
      <c r="O46" s="249">
        <v>0</v>
      </c>
      <c r="P46" s="250">
        <v>0</v>
      </c>
      <c r="Q46" s="250">
        <v>0</v>
      </c>
      <c r="R46" s="249">
        <v>0</v>
      </c>
      <c r="S46" s="249">
        <v>0</v>
      </c>
      <c r="T46" s="250">
        <v>0</v>
      </c>
      <c r="U46" s="250">
        <v>0</v>
      </c>
      <c r="V46" s="249">
        <v>0</v>
      </c>
      <c r="W46" s="249">
        <v>0</v>
      </c>
      <c r="X46" s="250">
        <v>0</v>
      </c>
      <c r="Y46" s="250">
        <v>0</v>
      </c>
      <c r="Z46" s="249">
        <v>0</v>
      </c>
      <c r="AA46" s="249">
        <v>0</v>
      </c>
      <c r="AB46" s="249">
        <v>0</v>
      </c>
      <c r="AC46" s="249">
        <v>0</v>
      </c>
    </row>
    <row r="47" spans="1:29" ht="31.5" x14ac:dyDescent="0.25">
      <c r="A47" s="358" t="s">
        <v>142</v>
      </c>
      <c r="B47" s="359" t="s">
        <v>141</v>
      </c>
      <c r="C47" s="249">
        <v>0</v>
      </c>
      <c r="D47" s="249">
        <v>0</v>
      </c>
      <c r="E47" s="249">
        <f t="shared" si="1"/>
        <v>0</v>
      </c>
      <c r="F47" s="249">
        <v>0</v>
      </c>
      <c r="G47" s="250">
        <v>0</v>
      </c>
      <c r="H47" s="250">
        <v>0</v>
      </c>
      <c r="I47" s="250">
        <v>0</v>
      </c>
      <c r="J47" s="249">
        <v>0</v>
      </c>
      <c r="K47" s="249">
        <v>0</v>
      </c>
      <c r="L47" s="249">
        <v>0</v>
      </c>
      <c r="M47" s="250">
        <v>0</v>
      </c>
      <c r="N47" s="249">
        <v>0</v>
      </c>
      <c r="O47" s="249">
        <v>0</v>
      </c>
      <c r="P47" s="250">
        <v>0</v>
      </c>
      <c r="Q47" s="250">
        <v>0</v>
      </c>
      <c r="R47" s="249">
        <v>0</v>
      </c>
      <c r="S47" s="249">
        <v>0</v>
      </c>
      <c r="T47" s="250">
        <v>0</v>
      </c>
      <c r="U47" s="250">
        <v>0</v>
      </c>
      <c r="V47" s="249">
        <v>0</v>
      </c>
      <c r="W47" s="249">
        <v>0</v>
      </c>
      <c r="X47" s="250">
        <v>0</v>
      </c>
      <c r="Y47" s="250">
        <v>0</v>
      </c>
      <c r="Z47" s="249">
        <v>0</v>
      </c>
      <c r="AA47" s="249">
        <v>0</v>
      </c>
      <c r="AB47" s="249">
        <v>0</v>
      </c>
      <c r="AC47" s="249">
        <v>0</v>
      </c>
    </row>
    <row r="48" spans="1:29" ht="31.5" x14ac:dyDescent="0.25">
      <c r="A48" s="358" t="s">
        <v>140</v>
      </c>
      <c r="B48" s="359" t="s">
        <v>139</v>
      </c>
      <c r="C48" s="249">
        <v>1.34</v>
      </c>
      <c r="D48" s="249">
        <v>0</v>
      </c>
      <c r="E48" s="249">
        <f t="shared" si="1"/>
        <v>1.34</v>
      </c>
      <c r="F48" s="249">
        <v>0</v>
      </c>
      <c r="G48" s="250">
        <v>0</v>
      </c>
      <c r="H48" s="250">
        <v>1.34</v>
      </c>
      <c r="I48" s="250">
        <v>0</v>
      </c>
      <c r="J48" s="249">
        <v>1.34</v>
      </c>
      <c r="K48" s="249">
        <v>0</v>
      </c>
      <c r="L48" s="249">
        <v>0</v>
      </c>
      <c r="M48" s="250">
        <v>0</v>
      </c>
      <c r="N48" s="249">
        <v>0</v>
      </c>
      <c r="O48" s="249">
        <v>0</v>
      </c>
      <c r="P48" s="250">
        <v>0</v>
      </c>
      <c r="Q48" s="250">
        <v>0</v>
      </c>
      <c r="R48" s="249">
        <v>0</v>
      </c>
      <c r="S48" s="249">
        <v>0</v>
      </c>
      <c r="T48" s="250">
        <v>0</v>
      </c>
      <c r="U48" s="250">
        <v>0</v>
      </c>
      <c r="V48" s="249">
        <v>0</v>
      </c>
      <c r="W48" s="249">
        <v>0</v>
      </c>
      <c r="X48" s="250">
        <v>0</v>
      </c>
      <c r="Y48" s="250">
        <v>0</v>
      </c>
      <c r="Z48" s="249">
        <v>0</v>
      </c>
      <c r="AA48" s="249">
        <v>0</v>
      </c>
      <c r="AB48" s="249">
        <v>1.34</v>
      </c>
      <c r="AC48" s="249">
        <v>0</v>
      </c>
    </row>
    <row r="49" spans="1:29" x14ac:dyDescent="0.25">
      <c r="A49" s="358" t="s">
        <v>138</v>
      </c>
      <c r="B49" s="359" t="s">
        <v>137</v>
      </c>
      <c r="C49" s="249">
        <v>5.7389999999999999</v>
      </c>
      <c r="D49" s="249">
        <v>0</v>
      </c>
      <c r="E49" s="249">
        <f t="shared" si="1"/>
        <v>5.7389999999999999</v>
      </c>
      <c r="F49" s="249">
        <v>0</v>
      </c>
      <c r="G49" s="250">
        <v>0</v>
      </c>
      <c r="H49" s="250">
        <v>5.7389999999999999</v>
      </c>
      <c r="I49" s="250">
        <v>0</v>
      </c>
      <c r="J49" s="249">
        <v>5.7389999999999999</v>
      </c>
      <c r="K49" s="249">
        <v>0</v>
      </c>
      <c r="L49" s="249">
        <v>0</v>
      </c>
      <c r="M49" s="250">
        <v>0</v>
      </c>
      <c r="N49" s="249">
        <v>0</v>
      </c>
      <c r="O49" s="249">
        <v>0</v>
      </c>
      <c r="P49" s="250">
        <v>0</v>
      </c>
      <c r="Q49" s="250">
        <v>0</v>
      </c>
      <c r="R49" s="249">
        <v>0</v>
      </c>
      <c r="S49" s="249">
        <v>0</v>
      </c>
      <c r="T49" s="250">
        <v>0</v>
      </c>
      <c r="U49" s="250">
        <v>0</v>
      </c>
      <c r="V49" s="249">
        <v>0</v>
      </c>
      <c r="W49" s="249">
        <v>0</v>
      </c>
      <c r="X49" s="250">
        <v>0</v>
      </c>
      <c r="Y49" s="250">
        <v>0</v>
      </c>
      <c r="Z49" s="249">
        <v>0</v>
      </c>
      <c r="AA49" s="249">
        <v>0</v>
      </c>
      <c r="AB49" s="249">
        <v>5.7389999999999999</v>
      </c>
      <c r="AC49" s="249">
        <v>0</v>
      </c>
    </row>
    <row r="50" spans="1:29" ht="18.75" x14ac:dyDescent="0.25">
      <c r="A50" s="358" t="s">
        <v>136</v>
      </c>
      <c r="B50" s="362" t="s">
        <v>550</v>
      </c>
      <c r="C50" s="249">
        <v>28</v>
      </c>
      <c r="D50" s="249">
        <v>0</v>
      </c>
      <c r="E50" s="249">
        <f t="shared" si="1"/>
        <v>28</v>
      </c>
      <c r="F50" s="249">
        <v>0</v>
      </c>
      <c r="G50" s="250">
        <v>0</v>
      </c>
      <c r="H50" s="250">
        <v>28</v>
      </c>
      <c r="I50" s="250">
        <v>0</v>
      </c>
      <c r="J50" s="249">
        <v>28</v>
      </c>
      <c r="K50" s="249">
        <v>0</v>
      </c>
      <c r="L50" s="249">
        <v>0</v>
      </c>
      <c r="M50" s="250">
        <v>0</v>
      </c>
      <c r="N50" s="249">
        <v>0</v>
      </c>
      <c r="O50" s="249">
        <v>0</v>
      </c>
      <c r="P50" s="250">
        <v>0</v>
      </c>
      <c r="Q50" s="250">
        <v>0</v>
      </c>
      <c r="R50" s="249">
        <v>0</v>
      </c>
      <c r="S50" s="249">
        <v>0</v>
      </c>
      <c r="T50" s="250">
        <v>0</v>
      </c>
      <c r="U50" s="250">
        <v>0</v>
      </c>
      <c r="V50" s="249">
        <v>0</v>
      </c>
      <c r="W50" s="249">
        <v>0</v>
      </c>
      <c r="X50" s="250">
        <v>0</v>
      </c>
      <c r="Y50" s="250">
        <v>0</v>
      </c>
      <c r="Z50" s="249">
        <v>0</v>
      </c>
      <c r="AA50" s="249">
        <v>0</v>
      </c>
      <c r="AB50" s="249">
        <v>28</v>
      </c>
      <c r="AC50" s="249">
        <v>0</v>
      </c>
    </row>
    <row r="51" spans="1:29" s="361" customFormat="1" ht="35.25" customHeight="1" x14ac:dyDescent="0.25">
      <c r="A51" s="356" t="s">
        <v>57</v>
      </c>
      <c r="B51" s="357" t="s">
        <v>135</v>
      </c>
      <c r="C51" s="249">
        <v>0</v>
      </c>
      <c r="D51" s="249">
        <v>0</v>
      </c>
      <c r="E51" s="249">
        <f t="shared" si="1"/>
        <v>0</v>
      </c>
      <c r="F51" s="249">
        <v>0</v>
      </c>
      <c r="G51" s="249">
        <v>0</v>
      </c>
      <c r="H51" s="249">
        <v>0</v>
      </c>
      <c r="I51" s="249">
        <v>0</v>
      </c>
      <c r="J51" s="249">
        <v>0</v>
      </c>
      <c r="K51" s="249">
        <v>0</v>
      </c>
      <c r="L51" s="249">
        <v>0</v>
      </c>
      <c r="M51" s="249">
        <v>0</v>
      </c>
      <c r="N51" s="249">
        <v>0</v>
      </c>
      <c r="O51" s="249">
        <v>0</v>
      </c>
      <c r="P51" s="249">
        <v>0</v>
      </c>
      <c r="Q51" s="249">
        <v>0</v>
      </c>
      <c r="R51" s="249">
        <v>0</v>
      </c>
      <c r="S51" s="249">
        <v>0</v>
      </c>
      <c r="T51" s="249">
        <v>0</v>
      </c>
      <c r="U51" s="249">
        <v>0</v>
      </c>
      <c r="V51" s="249">
        <v>0</v>
      </c>
      <c r="W51" s="249">
        <v>0</v>
      </c>
      <c r="X51" s="249">
        <v>0</v>
      </c>
      <c r="Y51" s="249">
        <v>0</v>
      </c>
      <c r="Z51" s="249">
        <v>0</v>
      </c>
      <c r="AA51" s="249">
        <v>0</v>
      </c>
      <c r="AB51" s="249">
        <v>0</v>
      </c>
      <c r="AC51" s="249">
        <v>0</v>
      </c>
    </row>
    <row r="52" spans="1:29" x14ac:dyDescent="0.25">
      <c r="A52" s="358" t="s">
        <v>134</v>
      </c>
      <c r="B52" s="359" t="s">
        <v>133</v>
      </c>
      <c r="C52" s="249">
        <v>166.23692503000001</v>
      </c>
      <c r="D52" s="249">
        <v>0</v>
      </c>
      <c r="E52" s="249">
        <f t="shared" si="1"/>
        <v>166.23692503000001</v>
      </c>
      <c r="F52" s="249">
        <v>0</v>
      </c>
      <c r="G52" s="250">
        <v>0</v>
      </c>
      <c r="H52" s="250">
        <v>166.23692503000001</v>
      </c>
      <c r="I52" s="250">
        <v>0</v>
      </c>
      <c r="J52" s="249">
        <v>166.23692503000001</v>
      </c>
      <c r="K52" s="249">
        <v>0</v>
      </c>
      <c r="L52" s="249">
        <v>0</v>
      </c>
      <c r="M52" s="250">
        <v>0</v>
      </c>
      <c r="N52" s="249">
        <v>0</v>
      </c>
      <c r="O52" s="249">
        <v>0</v>
      </c>
      <c r="P52" s="250">
        <v>0</v>
      </c>
      <c r="Q52" s="250">
        <v>0</v>
      </c>
      <c r="R52" s="249">
        <v>0</v>
      </c>
      <c r="S52" s="249">
        <v>0</v>
      </c>
      <c r="T52" s="250">
        <v>0</v>
      </c>
      <c r="U52" s="250">
        <v>0</v>
      </c>
      <c r="V52" s="249">
        <v>0</v>
      </c>
      <c r="W52" s="249">
        <v>0</v>
      </c>
      <c r="X52" s="250">
        <v>0</v>
      </c>
      <c r="Y52" s="250">
        <v>0</v>
      </c>
      <c r="Z52" s="249">
        <v>0</v>
      </c>
      <c r="AA52" s="249">
        <v>0</v>
      </c>
      <c r="AB52" s="249">
        <v>166.23692503000001</v>
      </c>
      <c r="AC52" s="249">
        <v>0</v>
      </c>
    </row>
    <row r="53" spans="1:29" x14ac:dyDescent="0.25">
      <c r="A53" s="358" t="s">
        <v>132</v>
      </c>
      <c r="B53" s="359" t="s">
        <v>126</v>
      </c>
      <c r="C53" s="249">
        <v>0</v>
      </c>
      <c r="D53" s="249">
        <v>0</v>
      </c>
      <c r="E53" s="249">
        <f t="shared" si="1"/>
        <v>0</v>
      </c>
      <c r="F53" s="249">
        <v>0</v>
      </c>
      <c r="G53" s="250">
        <v>0</v>
      </c>
      <c r="H53" s="250">
        <v>0</v>
      </c>
      <c r="I53" s="250">
        <v>0</v>
      </c>
      <c r="J53" s="249">
        <v>0</v>
      </c>
      <c r="K53" s="249">
        <v>0</v>
      </c>
      <c r="L53" s="249">
        <v>0</v>
      </c>
      <c r="M53" s="250">
        <v>0</v>
      </c>
      <c r="N53" s="249">
        <v>0</v>
      </c>
      <c r="O53" s="249">
        <v>0</v>
      </c>
      <c r="P53" s="250">
        <v>0</v>
      </c>
      <c r="Q53" s="250">
        <v>0</v>
      </c>
      <c r="R53" s="249">
        <v>0</v>
      </c>
      <c r="S53" s="249">
        <v>0</v>
      </c>
      <c r="T53" s="250">
        <v>0</v>
      </c>
      <c r="U53" s="250">
        <v>0</v>
      </c>
      <c r="V53" s="249">
        <v>0</v>
      </c>
      <c r="W53" s="249">
        <v>0</v>
      </c>
      <c r="X53" s="250">
        <v>0</v>
      </c>
      <c r="Y53" s="250">
        <v>0</v>
      </c>
      <c r="Z53" s="249">
        <v>0</v>
      </c>
      <c r="AA53" s="249">
        <v>0</v>
      </c>
      <c r="AB53" s="249">
        <v>0</v>
      </c>
      <c r="AC53" s="249">
        <v>0</v>
      </c>
    </row>
    <row r="54" spans="1:29" x14ac:dyDescent="0.25">
      <c r="A54" s="358" t="s">
        <v>131</v>
      </c>
      <c r="B54" s="362" t="s">
        <v>125</v>
      </c>
      <c r="C54" s="249">
        <v>42.519999999999996</v>
      </c>
      <c r="D54" s="249">
        <v>0</v>
      </c>
      <c r="E54" s="249">
        <f t="shared" si="1"/>
        <v>42.519999999999996</v>
      </c>
      <c r="F54" s="249">
        <v>0</v>
      </c>
      <c r="G54" s="250">
        <v>0</v>
      </c>
      <c r="H54" s="250">
        <v>42.519999999999996</v>
      </c>
      <c r="I54" s="250">
        <v>0</v>
      </c>
      <c r="J54" s="249">
        <v>42.519999999999996</v>
      </c>
      <c r="K54" s="249">
        <v>0</v>
      </c>
      <c r="L54" s="249">
        <v>0</v>
      </c>
      <c r="M54" s="250">
        <v>0</v>
      </c>
      <c r="N54" s="249">
        <v>0</v>
      </c>
      <c r="O54" s="249">
        <v>0</v>
      </c>
      <c r="P54" s="250">
        <v>0</v>
      </c>
      <c r="Q54" s="250">
        <v>0</v>
      </c>
      <c r="R54" s="249">
        <v>0</v>
      </c>
      <c r="S54" s="249">
        <v>0</v>
      </c>
      <c r="T54" s="250">
        <v>0</v>
      </c>
      <c r="U54" s="250">
        <v>0</v>
      </c>
      <c r="V54" s="249">
        <v>0</v>
      </c>
      <c r="W54" s="249">
        <v>0</v>
      </c>
      <c r="X54" s="250">
        <v>0</v>
      </c>
      <c r="Y54" s="250">
        <v>0</v>
      </c>
      <c r="Z54" s="249">
        <v>0</v>
      </c>
      <c r="AA54" s="249">
        <v>0</v>
      </c>
      <c r="AB54" s="249">
        <v>42.519999999999996</v>
      </c>
      <c r="AC54" s="249">
        <v>0</v>
      </c>
    </row>
    <row r="55" spans="1:29" x14ac:dyDescent="0.25">
      <c r="A55" s="358" t="s">
        <v>130</v>
      </c>
      <c r="B55" s="362" t="s">
        <v>124</v>
      </c>
      <c r="C55" s="249">
        <v>0</v>
      </c>
      <c r="D55" s="249">
        <v>0</v>
      </c>
      <c r="E55" s="249">
        <f t="shared" si="1"/>
        <v>0</v>
      </c>
      <c r="F55" s="249">
        <v>0</v>
      </c>
      <c r="G55" s="250">
        <v>0</v>
      </c>
      <c r="H55" s="250">
        <v>0</v>
      </c>
      <c r="I55" s="250">
        <v>0</v>
      </c>
      <c r="J55" s="249">
        <v>0</v>
      </c>
      <c r="K55" s="249">
        <v>0</v>
      </c>
      <c r="L55" s="249">
        <v>0</v>
      </c>
      <c r="M55" s="250">
        <v>0</v>
      </c>
      <c r="N55" s="249">
        <v>0</v>
      </c>
      <c r="O55" s="249">
        <v>0</v>
      </c>
      <c r="P55" s="250">
        <v>0</v>
      </c>
      <c r="Q55" s="250">
        <v>0</v>
      </c>
      <c r="R55" s="249">
        <v>0</v>
      </c>
      <c r="S55" s="249">
        <v>0</v>
      </c>
      <c r="T55" s="250">
        <v>0</v>
      </c>
      <c r="U55" s="250">
        <v>0</v>
      </c>
      <c r="V55" s="249">
        <v>0</v>
      </c>
      <c r="W55" s="249">
        <v>0</v>
      </c>
      <c r="X55" s="250">
        <v>0</v>
      </c>
      <c r="Y55" s="250">
        <v>0</v>
      </c>
      <c r="Z55" s="249">
        <v>0</v>
      </c>
      <c r="AA55" s="249">
        <v>0</v>
      </c>
      <c r="AB55" s="249">
        <v>0</v>
      </c>
      <c r="AC55" s="249">
        <v>0</v>
      </c>
    </row>
    <row r="56" spans="1:29" x14ac:dyDescent="0.25">
      <c r="A56" s="358" t="s">
        <v>129</v>
      </c>
      <c r="B56" s="362" t="s">
        <v>123</v>
      </c>
      <c r="C56" s="249">
        <v>7.0789999999999997</v>
      </c>
      <c r="D56" s="249">
        <v>0</v>
      </c>
      <c r="E56" s="249">
        <f t="shared" si="1"/>
        <v>7.0789999999999997</v>
      </c>
      <c r="F56" s="249">
        <v>0</v>
      </c>
      <c r="G56" s="250">
        <v>0</v>
      </c>
      <c r="H56" s="250">
        <v>7.0789999999999997</v>
      </c>
      <c r="I56" s="250">
        <v>0</v>
      </c>
      <c r="J56" s="249">
        <v>7.0789999999999997</v>
      </c>
      <c r="K56" s="249">
        <v>0</v>
      </c>
      <c r="L56" s="249">
        <v>0</v>
      </c>
      <c r="M56" s="250">
        <v>0</v>
      </c>
      <c r="N56" s="249">
        <v>0</v>
      </c>
      <c r="O56" s="249">
        <v>0</v>
      </c>
      <c r="P56" s="250">
        <v>0</v>
      </c>
      <c r="Q56" s="250">
        <v>0</v>
      </c>
      <c r="R56" s="249">
        <v>0</v>
      </c>
      <c r="S56" s="249">
        <v>0</v>
      </c>
      <c r="T56" s="250">
        <v>0</v>
      </c>
      <c r="U56" s="250">
        <v>0</v>
      </c>
      <c r="V56" s="249">
        <v>0</v>
      </c>
      <c r="W56" s="249">
        <v>0</v>
      </c>
      <c r="X56" s="250">
        <v>0</v>
      </c>
      <c r="Y56" s="250">
        <v>0</v>
      </c>
      <c r="Z56" s="249">
        <v>0</v>
      </c>
      <c r="AA56" s="249">
        <v>0</v>
      </c>
      <c r="AB56" s="249">
        <v>7.0789999999999997</v>
      </c>
      <c r="AC56" s="249">
        <v>0</v>
      </c>
    </row>
    <row r="57" spans="1:29" ht="18.75" x14ac:dyDescent="0.25">
      <c r="A57" s="358" t="s">
        <v>128</v>
      </c>
      <c r="B57" s="362" t="s">
        <v>550</v>
      </c>
      <c r="C57" s="249">
        <v>28</v>
      </c>
      <c r="D57" s="249">
        <v>0</v>
      </c>
      <c r="E57" s="249">
        <f t="shared" si="1"/>
        <v>28</v>
      </c>
      <c r="F57" s="249">
        <v>0</v>
      </c>
      <c r="G57" s="250">
        <v>0</v>
      </c>
      <c r="H57" s="250">
        <v>28</v>
      </c>
      <c r="I57" s="250">
        <v>0</v>
      </c>
      <c r="J57" s="249">
        <v>28</v>
      </c>
      <c r="K57" s="249">
        <v>0</v>
      </c>
      <c r="L57" s="249">
        <v>0</v>
      </c>
      <c r="M57" s="250">
        <v>0</v>
      </c>
      <c r="N57" s="249">
        <v>0</v>
      </c>
      <c r="O57" s="249">
        <v>0</v>
      </c>
      <c r="P57" s="250">
        <v>0</v>
      </c>
      <c r="Q57" s="250">
        <v>0</v>
      </c>
      <c r="R57" s="249">
        <v>0</v>
      </c>
      <c r="S57" s="249">
        <v>0</v>
      </c>
      <c r="T57" s="250">
        <v>0</v>
      </c>
      <c r="U57" s="250">
        <v>0</v>
      </c>
      <c r="V57" s="249">
        <v>0</v>
      </c>
      <c r="W57" s="249">
        <v>0</v>
      </c>
      <c r="X57" s="250">
        <v>0</v>
      </c>
      <c r="Y57" s="250">
        <v>0</v>
      </c>
      <c r="Z57" s="249">
        <v>0</v>
      </c>
      <c r="AA57" s="249">
        <v>0</v>
      </c>
      <c r="AB57" s="249">
        <v>28</v>
      </c>
      <c r="AC57" s="249">
        <v>0</v>
      </c>
    </row>
    <row r="58" spans="1:29" s="361" customFormat="1" ht="36.75" customHeight="1" x14ac:dyDescent="0.25">
      <c r="A58" s="356" t="s">
        <v>56</v>
      </c>
      <c r="B58" s="363" t="s">
        <v>207</v>
      </c>
      <c r="C58" s="249">
        <v>0</v>
      </c>
      <c r="D58" s="249">
        <v>0</v>
      </c>
      <c r="E58" s="249">
        <f t="shared" si="1"/>
        <v>166.23692503000001</v>
      </c>
      <c r="F58" s="249">
        <v>0</v>
      </c>
      <c r="G58" s="249">
        <v>0</v>
      </c>
      <c r="H58" s="249">
        <v>0</v>
      </c>
      <c r="I58" s="249">
        <v>0</v>
      </c>
      <c r="J58" s="249">
        <f>C30</f>
        <v>166.23692503000001</v>
      </c>
      <c r="K58" s="249">
        <v>0</v>
      </c>
      <c r="L58" s="249">
        <v>0</v>
      </c>
      <c r="M58" s="249">
        <v>0</v>
      </c>
      <c r="N58" s="249">
        <v>0</v>
      </c>
      <c r="O58" s="249">
        <v>0</v>
      </c>
      <c r="P58" s="249">
        <v>0</v>
      </c>
      <c r="Q58" s="249">
        <v>0</v>
      </c>
      <c r="R58" s="249">
        <v>0</v>
      </c>
      <c r="S58" s="249">
        <v>0</v>
      </c>
      <c r="T58" s="249">
        <v>0</v>
      </c>
      <c r="U58" s="249">
        <v>0</v>
      </c>
      <c r="V58" s="249">
        <v>0</v>
      </c>
      <c r="W58" s="249">
        <v>0</v>
      </c>
      <c r="X58" s="249">
        <v>0</v>
      </c>
      <c r="Y58" s="249">
        <v>0</v>
      </c>
      <c r="Z58" s="249">
        <v>0</v>
      </c>
      <c r="AA58" s="249">
        <v>0</v>
      </c>
      <c r="AB58" s="249">
        <v>0</v>
      </c>
      <c r="AC58" s="249">
        <v>0</v>
      </c>
    </row>
    <row r="59" spans="1:29" s="361" customFormat="1" x14ac:dyDescent="0.25">
      <c r="A59" s="356" t="s">
        <v>54</v>
      </c>
      <c r="B59" s="357" t="s">
        <v>127</v>
      </c>
      <c r="C59" s="249">
        <v>0</v>
      </c>
      <c r="D59" s="249">
        <v>0</v>
      </c>
      <c r="E59" s="249">
        <f t="shared" si="1"/>
        <v>0</v>
      </c>
      <c r="F59" s="249">
        <v>0</v>
      </c>
      <c r="G59" s="249">
        <v>0</v>
      </c>
      <c r="H59" s="249">
        <v>0</v>
      </c>
      <c r="I59" s="249">
        <v>0</v>
      </c>
      <c r="J59" s="249">
        <v>0</v>
      </c>
      <c r="K59" s="249">
        <v>0</v>
      </c>
      <c r="L59" s="249">
        <v>0</v>
      </c>
      <c r="M59" s="249">
        <v>0</v>
      </c>
      <c r="N59" s="249">
        <v>0</v>
      </c>
      <c r="O59" s="249">
        <v>0</v>
      </c>
      <c r="P59" s="249">
        <v>0</v>
      </c>
      <c r="Q59" s="249">
        <v>0</v>
      </c>
      <c r="R59" s="249">
        <v>0</v>
      </c>
      <c r="S59" s="249">
        <v>0</v>
      </c>
      <c r="T59" s="249">
        <v>0</v>
      </c>
      <c r="U59" s="249">
        <v>0</v>
      </c>
      <c r="V59" s="249">
        <v>0</v>
      </c>
      <c r="W59" s="249">
        <v>0</v>
      </c>
      <c r="X59" s="249">
        <v>0</v>
      </c>
      <c r="Y59" s="249">
        <v>0</v>
      </c>
      <c r="Z59" s="249">
        <v>0</v>
      </c>
      <c r="AA59" s="249">
        <v>0</v>
      </c>
      <c r="AB59" s="249">
        <v>0</v>
      </c>
      <c r="AC59" s="249">
        <v>0</v>
      </c>
    </row>
    <row r="60" spans="1:29" x14ac:dyDescent="0.25">
      <c r="A60" s="358" t="s">
        <v>201</v>
      </c>
      <c r="B60" s="364" t="s">
        <v>147</v>
      </c>
      <c r="C60" s="249">
        <v>0</v>
      </c>
      <c r="D60" s="249">
        <v>0</v>
      </c>
      <c r="E60" s="249">
        <f t="shared" si="1"/>
        <v>0</v>
      </c>
      <c r="F60" s="249">
        <v>0</v>
      </c>
      <c r="G60" s="250">
        <v>0</v>
      </c>
      <c r="H60" s="250">
        <v>0</v>
      </c>
      <c r="I60" s="250">
        <v>0</v>
      </c>
      <c r="J60" s="249">
        <v>0</v>
      </c>
      <c r="K60" s="249">
        <v>0</v>
      </c>
      <c r="L60" s="249">
        <v>0</v>
      </c>
      <c r="M60" s="250">
        <v>0</v>
      </c>
      <c r="N60" s="249">
        <v>0</v>
      </c>
      <c r="O60" s="249">
        <v>0</v>
      </c>
      <c r="P60" s="250">
        <v>0</v>
      </c>
      <c r="Q60" s="250">
        <v>0</v>
      </c>
      <c r="R60" s="249">
        <v>0</v>
      </c>
      <c r="S60" s="249">
        <v>0</v>
      </c>
      <c r="T60" s="250">
        <v>0</v>
      </c>
      <c r="U60" s="250">
        <v>0</v>
      </c>
      <c r="V60" s="249">
        <v>0</v>
      </c>
      <c r="W60" s="249">
        <v>0</v>
      </c>
      <c r="X60" s="250">
        <v>0</v>
      </c>
      <c r="Y60" s="250">
        <v>0</v>
      </c>
      <c r="Z60" s="249">
        <v>0</v>
      </c>
      <c r="AA60" s="249">
        <v>0</v>
      </c>
      <c r="AB60" s="249">
        <v>0</v>
      </c>
      <c r="AC60" s="249">
        <v>0</v>
      </c>
    </row>
    <row r="61" spans="1:29" x14ac:dyDescent="0.25">
      <c r="A61" s="358" t="s">
        <v>202</v>
      </c>
      <c r="B61" s="364" t="s">
        <v>145</v>
      </c>
      <c r="C61" s="249">
        <v>0</v>
      </c>
      <c r="D61" s="249">
        <v>0</v>
      </c>
      <c r="E61" s="249">
        <f t="shared" si="1"/>
        <v>0</v>
      </c>
      <c r="F61" s="249">
        <v>0</v>
      </c>
      <c r="G61" s="250">
        <v>0</v>
      </c>
      <c r="H61" s="250">
        <v>0</v>
      </c>
      <c r="I61" s="250">
        <v>0</v>
      </c>
      <c r="J61" s="249">
        <v>0</v>
      </c>
      <c r="K61" s="249">
        <v>0</v>
      </c>
      <c r="L61" s="249">
        <v>0</v>
      </c>
      <c r="M61" s="250">
        <v>0</v>
      </c>
      <c r="N61" s="249">
        <v>0</v>
      </c>
      <c r="O61" s="249">
        <v>0</v>
      </c>
      <c r="P61" s="250">
        <v>0</v>
      </c>
      <c r="Q61" s="250">
        <v>0</v>
      </c>
      <c r="R61" s="249">
        <v>0</v>
      </c>
      <c r="S61" s="249">
        <v>0</v>
      </c>
      <c r="T61" s="250">
        <v>0</v>
      </c>
      <c r="U61" s="250">
        <v>0</v>
      </c>
      <c r="V61" s="249">
        <v>0</v>
      </c>
      <c r="W61" s="249">
        <v>0</v>
      </c>
      <c r="X61" s="250">
        <v>0</v>
      </c>
      <c r="Y61" s="250">
        <v>0</v>
      </c>
      <c r="Z61" s="249">
        <v>0</v>
      </c>
      <c r="AA61" s="249">
        <v>0</v>
      </c>
      <c r="AB61" s="249">
        <v>0</v>
      </c>
      <c r="AC61" s="249">
        <v>0</v>
      </c>
    </row>
    <row r="62" spans="1:29" x14ac:dyDescent="0.25">
      <c r="A62" s="358" t="s">
        <v>203</v>
      </c>
      <c r="B62" s="364" t="s">
        <v>143</v>
      </c>
      <c r="C62" s="249">
        <v>0</v>
      </c>
      <c r="D62" s="249">
        <v>0</v>
      </c>
      <c r="E62" s="249">
        <f t="shared" si="1"/>
        <v>0</v>
      </c>
      <c r="F62" s="249">
        <v>0</v>
      </c>
      <c r="G62" s="250">
        <v>0</v>
      </c>
      <c r="H62" s="250">
        <v>0</v>
      </c>
      <c r="I62" s="250">
        <v>0</v>
      </c>
      <c r="J62" s="249">
        <v>0</v>
      </c>
      <c r="K62" s="249">
        <v>0</v>
      </c>
      <c r="L62" s="249">
        <v>0</v>
      </c>
      <c r="M62" s="250">
        <v>0</v>
      </c>
      <c r="N62" s="249">
        <v>0</v>
      </c>
      <c r="O62" s="249">
        <v>0</v>
      </c>
      <c r="P62" s="250">
        <v>0</v>
      </c>
      <c r="Q62" s="250">
        <v>0</v>
      </c>
      <c r="R62" s="249">
        <v>0</v>
      </c>
      <c r="S62" s="249">
        <v>0</v>
      </c>
      <c r="T62" s="250">
        <v>0</v>
      </c>
      <c r="U62" s="250">
        <v>0</v>
      </c>
      <c r="V62" s="249">
        <v>0</v>
      </c>
      <c r="W62" s="249">
        <v>0</v>
      </c>
      <c r="X62" s="250">
        <v>0</v>
      </c>
      <c r="Y62" s="250">
        <v>0</v>
      </c>
      <c r="Z62" s="249">
        <v>0</v>
      </c>
      <c r="AA62" s="249">
        <v>0</v>
      </c>
      <c r="AB62" s="249">
        <v>0</v>
      </c>
      <c r="AC62" s="249">
        <v>0</v>
      </c>
    </row>
    <row r="63" spans="1:29" x14ac:dyDescent="0.25">
      <c r="A63" s="358" t="s">
        <v>204</v>
      </c>
      <c r="B63" s="364" t="s">
        <v>206</v>
      </c>
      <c r="C63" s="249">
        <v>0</v>
      </c>
      <c r="D63" s="249">
        <v>0</v>
      </c>
      <c r="E63" s="249">
        <f t="shared" si="1"/>
        <v>0</v>
      </c>
      <c r="F63" s="249">
        <v>0</v>
      </c>
      <c r="G63" s="250">
        <v>0</v>
      </c>
      <c r="H63" s="250">
        <v>0</v>
      </c>
      <c r="I63" s="250">
        <v>0</v>
      </c>
      <c r="J63" s="249">
        <v>0</v>
      </c>
      <c r="K63" s="249">
        <v>0</v>
      </c>
      <c r="L63" s="249">
        <v>0</v>
      </c>
      <c r="M63" s="250">
        <v>0</v>
      </c>
      <c r="N63" s="249">
        <v>0</v>
      </c>
      <c r="O63" s="249">
        <v>0</v>
      </c>
      <c r="P63" s="250">
        <v>0</v>
      </c>
      <c r="Q63" s="250">
        <v>0</v>
      </c>
      <c r="R63" s="249">
        <v>0</v>
      </c>
      <c r="S63" s="249">
        <v>0</v>
      </c>
      <c r="T63" s="250">
        <v>0</v>
      </c>
      <c r="U63" s="250">
        <v>0</v>
      </c>
      <c r="V63" s="249">
        <v>0</v>
      </c>
      <c r="W63" s="249">
        <v>0</v>
      </c>
      <c r="X63" s="250">
        <v>0</v>
      </c>
      <c r="Y63" s="250">
        <v>0</v>
      </c>
      <c r="Z63" s="249">
        <v>0</v>
      </c>
      <c r="AA63" s="249">
        <v>0</v>
      </c>
      <c r="AB63" s="249">
        <v>0</v>
      </c>
      <c r="AC63" s="249">
        <v>0</v>
      </c>
    </row>
    <row r="64" spans="1:29" ht="18.75" x14ac:dyDescent="0.25">
      <c r="A64" s="358" t="s">
        <v>205</v>
      </c>
      <c r="B64" s="362" t="s">
        <v>550</v>
      </c>
      <c r="C64" s="249">
        <v>0</v>
      </c>
      <c r="D64" s="249">
        <v>0</v>
      </c>
      <c r="E64" s="249">
        <f t="shared" si="1"/>
        <v>0</v>
      </c>
      <c r="F64" s="249">
        <v>0</v>
      </c>
      <c r="G64" s="250">
        <v>0</v>
      </c>
      <c r="H64" s="250">
        <v>0</v>
      </c>
      <c r="I64" s="250">
        <v>0</v>
      </c>
      <c r="J64" s="249">
        <v>0</v>
      </c>
      <c r="K64" s="249">
        <v>0</v>
      </c>
      <c r="L64" s="249">
        <v>0</v>
      </c>
      <c r="M64" s="250">
        <v>0</v>
      </c>
      <c r="N64" s="249">
        <v>0</v>
      </c>
      <c r="O64" s="249">
        <v>0</v>
      </c>
      <c r="P64" s="250">
        <v>0</v>
      </c>
      <c r="Q64" s="250">
        <v>0</v>
      </c>
      <c r="R64" s="249">
        <v>0</v>
      </c>
      <c r="S64" s="249">
        <v>0</v>
      </c>
      <c r="T64" s="250">
        <v>0</v>
      </c>
      <c r="U64" s="250">
        <v>0</v>
      </c>
      <c r="V64" s="249">
        <v>0</v>
      </c>
      <c r="W64" s="249">
        <v>0</v>
      </c>
      <c r="X64" s="250">
        <v>0</v>
      </c>
      <c r="Y64" s="250">
        <v>0</v>
      </c>
      <c r="Z64" s="249">
        <v>0</v>
      </c>
      <c r="AA64" s="249">
        <v>0</v>
      </c>
      <c r="AB64" s="249">
        <v>0</v>
      </c>
      <c r="AC64" s="249">
        <v>0</v>
      </c>
    </row>
    <row r="65" spans="1:28" x14ac:dyDescent="0.25">
      <c r="A65" s="365"/>
      <c r="B65" s="251"/>
      <c r="C65" s="251"/>
      <c r="D65" s="251"/>
      <c r="E65" s="251"/>
      <c r="F65" s="251"/>
      <c r="G65" s="251"/>
    </row>
    <row r="66" spans="1:28" ht="54" customHeight="1" x14ac:dyDescent="0.25">
      <c r="B66" s="483"/>
      <c r="C66" s="483"/>
      <c r="D66" s="483"/>
      <c r="E66" s="483"/>
      <c r="F66" s="483"/>
      <c r="G66" s="252"/>
      <c r="H66" s="366"/>
      <c r="I66" s="366"/>
      <c r="J66" s="366"/>
      <c r="K66" s="366"/>
      <c r="L66" s="366"/>
      <c r="M66" s="366"/>
      <c r="N66" s="366"/>
      <c r="O66" s="366"/>
      <c r="P66" s="366"/>
      <c r="Q66" s="366"/>
      <c r="R66" s="366"/>
      <c r="S66" s="366"/>
      <c r="T66" s="366"/>
      <c r="U66" s="366"/>
      <c r="V66" s="366"/>
      <c r="W66" s="366"/>
      <c r="X66" s="366"/>
      <c r="Y66" s="366"/>
      <c r="Z66" s="366"/>
      <c r="AA66" s="366"/>
      <c r="AB66" s="366"/>
    </row>
    <row r="68" spans="1:28" ht="50.25" customHeight="1" x14ac:dyDescent="0.25">
      <c r="B68" s="484"/>
      <c r="C68" s="484"/>
      <c r="D68" s="484"/>
      <c r="E68" s="484"/>
      <c r="F68" s="484"/>
      <c r="G68" s="253"/>
    </row>
    <row r="70" spans="1:28" ht="36.75" customHeight="1" x14ac:dyDescent="0.25">
      <c r="B70" s="483"/>
      <c r="C70" s="483"/>
      <c r="D70" s="483"/>
      <c r="E70" s="483"/>
      <c r="F70" s="483"/>
      <c r="G70" s="252"/>
    </row>
    <row r="71" spans="1:28" x14ac:dyDescent="0.25">
      <c r="B71" s="367"/>
      <c r="C71" s="367"/>
      <c r="D71" s="367"/>
      <c r="E71" s="367"/>
      <c r="F71" s="367"/>
    </row>
    <row r="72" spans="1:28" ht="51" customHeight="1" x14ac:dyDescent="0.25">
      <c r="B72" s="483"/>
      <c r="C72" s="483"/>
      <c r="D72" s="483"/>
      <c r="E72" s="483"/>
      <c r="F72" s="483"/>
      <c r="G72" s="252"/>
    </row>
    <row r="73" spans="1:28" ht="32.25" customHeight="1" x14ac:dyDescent="0.25">
      <c r="B73" s="484"/>
      <c r="C73" s="484"/>
      <c r="D73" s="484"/>
      <c r="E73" s="484"/>
      <c r="F73" s="484"/>
      <c r="G73" s="253"/>
    </row>
    <row r="74" spans="1:28" ht="51.75" customHeight="1" x14ac:dyDescent="0.25">
      <c r="B74" s="483"/>
      <c r="C74" s="483"/>
      <c r="D74" s="483"/>
      <c r="E74" s="483"/>
      <c r="F74" s="483"/>
      <c r="G74" s="252"/>
    </row>
    <row r="75" spans="1:28" ht="21.75" customHeight="1" x14ac:dyDescent="0.25">
      <c r="B75" s="481"/>
      <c r="C75" s="481"/>
      <c r="D75" s="481"/>
      <c r="E75" s="481"/>
      <c r="F75" s="481"/>
      <c r="G75" s="254"/>
    </row>
    <row r="76" spans="1:28" ht="23.25" customHeight="1" x14ac:dyDescent="0.25">
      <c r="B76" s="368"/>
      <c r="C76" s="368"/>
      <c r="D76" s="368"/>
      <c r="E76" s="368"/>
      <c r="F76" s="368"/>
    </row>
    <row r="77" spans="1:28" ht="18.75" customHeight="1" x14ac:dyDescent="0.25">
      <c r="B77" s="482"/>
      <c r="C77" s="482"/>
      <c r="D77" s="482"/>
      <c r="E77" s="482"/>
      <c r="F77" s="482"/>
      <c r="G77" s="255"/>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8" t="s">
        <v>66</v>
      </c>
    </row>
    <row r="2" spans="1:48" ht="18.75" x14ac:dyDescent="0.3">
      <c r="AV2" s="13" t="s">
        <v>8</v>
      </c>
    </row>
    <row r="3" spans="1:48" ht="18.75" x14ac:dyDescent="0.3">
      <c r="AV3" s="13" t="s">
        <v>65</v>
      </c>
    </row>
    <row r="4" spans="1:48" ht="18.75" x14ac:dyDescent="0.3">
      <c r="AV4" s="13"/>
    </row>
    <row r="5" spans="1:48" ht="18.75" customHeight="1" x14ac:dyDescent="0.25">
      <c r="A5" s="375" t="str">
        <f>'1. паспорт местоположение'!A5:C5</f>
        <v>Год раскрытия информации: 2021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3"/>
    </row>
    <row r="7" spans="1:48" ht="18.75" x14ac:dyDescent="0.25">
      <c r="A7" s="387" t="s">
        <v>7</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ht="15.75" x14ac:dyDescent="0.25">
      <c r="A9" s="382" t="str">
        <f>'1. паспорт местоположение'!A9:C9</f>
        <v xml:space="preserve">Акционерное общество "Западная энергетическая компания" </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c r="AP9" s="382"/>
      <c r="AQ9" s="382"/>
      <c r="AR9" s="382"/>
      <c r="AS9" s="382"/>
      <c r="AT9" s="382"/>
      <c r="AU9" s="382"/>
      <c r="AV9" s="382"/>
    </row>
    <row r="10" spans="1:48" ht="15.75" x14ac:dyDescent="0.25">
      <c r="A10" s="383" t="s">
        <v>6</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ht="15.75" x14ac:dyDescent="0.25">
      <c r="A12" s="382" t="str">
        <f>'1. паспорт местоположение'!A12:C12</f>
        <v>K-20-02</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382"/>
      <c r="AP12" s="382"/>
      <c r="AQ12" s="382"/>
      <c r="AR12" s="382"/>
      <c r="AS12" s="382"/>
      <c r="AT12" s="382"/>
      <c r="AU12" s="382"/>
      <c r="AV12" s="382"/>
    </row>
    <row r="13" spans="1:48" ht="15.75" x14ac:dyDescent="0.25">
      <c r="A13" s="383" t="s">
        <v>5</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row>
    <row r="14" spans="1:48" ht="18.75"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388"/>
      <c r="AP14" s="388"/>
      <c r="AQ14" s="388"/>
      <c r="AR14" s="388"/>
      <c r="AS14" s="388"/>
      <c r="AT14" s="388"/>
      <c r="AU14" s="388"/>
      <c r="AV14" s="388"/>
    </row>
    <row r="15" spans="1:48" ht="15.75" x14ac:dyDescent="0.25">
      <c r="A15" s="382" t="str">
        <f>'1. паспорт местоположение'!A15:C15</f>
        <v>Приобретение электросетевого комплекса ООО "Татэнерго"</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83" t="s">
        <v>4</v>
      </c>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180" customFormat="1"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s="180" customFormat="1" x14ac:dyDescent="0.25">
      <c r="A21" s="485" t="s">
        <v>406</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5"/>
      <c r="AM21" s="485"/>
      <c r="AN21" s="485"/>
      <c r="AO21" s="485"/>
      <c r="AP21" s="485"/>
      <c r="AQ21" s="485"/>
      <c r="AR21" s="485"/>
      <c r="AS21" s="485"/>
      <c r="AT21" s="485"/>
      <c r="AU21" s="485"/>
      <c r="AV21" s="485"/>
    </row>
    <row r="22" spans="1:48" s="180" customFormat="1" ht="58.5" customHeight="1" x14ac:dyDescent="0.25">
      <c r="A22" s="486" t="s">
        <v>50</v>
      </c>
      <c r="B22" s="492" t="s">
        <v>22</v>
      </c>
      <c r="C22" s="489" t="s">
        <v>49</v>
      </c>
      <c r="D22" s="489" t="s">
        <v>48</v>
      </c>
      <c r="E22" s="495" t="s">
        <v>416</v>
      </c>
      <c r="F22" s="496"/>
      <c r="G22" s="496"/>
      <c r="H22" s="496"/>
      <c r="I22" s="496"/>
      <c r="J22" s="496"/>
      <c r="K22" s="496"/>
      <c r="L22" s="497"/>
      <c r="M22" s="489" t="s">
        <v>47</v>
      </c>
      <c r="N22" s="489" t="s">
        <v>46</v>
      </c>
      <c r="O22" s="489" t="s">
        <v>45</v>
      </c>
      <c r="P22" s="498" t="s">
        <v>228</v>
      </c>
      <c r="Q22" s="498" t="s">
        <v>44</v>
      </c>
      <c r="R22" s="498" t="s">
        <v>43</v>
      </c>
      <c r="S22" s="498" t="s">
        <v>42</v>
      </c>
      <c r="T22" s="498"/>
      <c r="U22" s="499" t="s">
        <v>41</v>
      </c>
      <c r="V22" s="499" t="s">
        <v>40</v>
      </c>
      <c r="W22" s="498" t="s">
        <v>39</v>
      </c>
      <c r="X22" s="498" t="s">
        <v>38</v>
      </c>
      <c r="Y22" s="498" t="s">
        <v>37</v>
      </c>
      <c r="Z22" s="510" t="s">
        <v>36</v>
      </c>
      <c r="AA22" s="498" t="s">
        <v>35</v>
      </c>
      <c r="AB22" s="498" t="s">
        <v>34</v>
      </c>
      <c r="AC22" s="498" t="s">
        <v>33</v>
      </c>
      <c r="AD22" s="498" t="s">
        <v>32</v>
      </c>
      <c r="AE22" s="498" t="s">
        <v>31</v>
      </c>
      <c r="AF22" s="498" t="s">
        <v>30</v>
      </c>
      <c r="AG22" s="498"/>
      <c r="AH22" s="498"/>
      <c r="AI22" s="498"/>
      <c r="AJ22" s="498"/>
      <c r="AK22" s="498"/>
      <c r="AL22" s="498" t="s">
        <v>29</v>
      </c>
      <c r="AM22" s="498"/>
      <c r="AN22" s="498"/>
      <c r="AO22" s="498"/>
      <c r="AP22" s="498" t="s">
        <v>28</v>
      </c>
      <c r="AQ22" s="498"/>
      <c r="AR22" s="498" t="s">
        <v>27</v>
      </c>
      <c r="AS22" s="498" t="s">
        <v>26</v>
      </c>
      <c r="AT22" s="498" t="s">
        <v>25</v>
      </c>
      <c r="AU22" s="498" t="s">
        <v>24</v>
      </c>
      <c r="AV22" s="498" t="s">
        <v>23</v>
      </c>
    </row>
    <row r="23" spans="1:48" s="180" customFormat="1" ht="64.5" customHeight="1" x14ac:dyDescent="0.25">
      <c r="A23" s="487"/>
      <c r="B23" s="493"/>
      <c r="C23" s="490"/>
      <c r="D23" s="490"/>
      <c r="E23" s="502" t="s">
        <v>21</v>
      </c>
      <c r="F23" s="504" t="s">
        <v>126</v>
      </c>
      <c r="G23" s="504" t="s">
        <v>125</v>
      </c>
      <c r="H23" s="504" t="s">
        <v>124</v>
      </c>
      <c r="I23" s="508" t="s">
        <v>353</v>
      </c>
      <c r="J23" s="508" t="s">
        <v>354</v>
      </c>
      <c r="K23" s="508" t="s">
        <v>355</v>
      </c>
      <c r="L23" s="504" t="s">
        <v>74</v>
      </c>
      <c r="M23" s="490"/>
      <c r="N23" s="490"/>
      <c r="O23" s="490"/>
      <c r="P23" s="498"/>
      <c r="Q23" s="498"/>
      <c r="R23" s="498"/>
      <c r="S23" s="506" t="s">
        <v>2</v>
      </c>
      <c r="T23" s="506" t="s">
        <v>9</v>
      </c>
      <c r="U23" s="499"/>
      <c r="V23" s="499"/>
      <c r="W23" s="498"/>
      <c r="X23" s="498"/>
      <c r="Y23" s="498"/>
      <c r="Z23" s="498"/>
      <c r="AA23" s="498"/>
      <c r="AB23" s="498"/>
      <c r="AC23" s="498"/>
      <c r="AD23" s="498"/>
      <c r="AE23" s="498"/>
      <c r="AF23" s="498" t="s">
        <v>20</v>
      </c>
      <c r="AG23" s="498"/>
      <c r="AH23" s="498" t="s">
        <v>19</v>
      </c>
      <c r="AI23" s="498"/>
      <c r="AJ23" s="489" t="s">
        <v>18</v>
      </c>
      <c r="AK23" s="489" t="s">
        <v>17</v>
      </c>
      <c r="AL23" s="489" t="s">
        <v>16</v>
      </c>
      <c r="AM23" s="489" t="s">
        <v>15</v>
      </c>
      <c r="AN23" s="489" t="s">
        <v>14</v>
      </c>
      <c r="AO23" s="489" t="s">
        <v>13</v>
      </c>
      <c r="AP23" s="489" t="s">
        <v>12</v>
      </c>
      <c r="AQ23" s="500" t="s">
        <v>9</v>
      </c>
      <c r="AR23" s="498"/>
      <c r="AS23" s="498"/>
      <c r="AT23" s="498"/>
      <c r="AU23" s="498"/>
      <c r="AV23" s="498"/>
    </row>
    <row r="24" spans="1:48" s="180" customFormat="1" ht="96.75" customHeight="1" x14ac:dyDescent="0.25">
      <c r="A24" s="488"/>
      <c r="B24" s="494"/>
      <c r="C24" s="491"/>
      <c r="D24" s="491"/>
      <c r="E24" s="503"/>
      <c r="F24" s="505"/>
      <c r="G24" s="505"/>
      <c r="H24" s="505"/>
      <c r="I24" s="509"/>
      <c r="J24" s="509"/>
      <c r="K24" s="509"/>
      <c r="L24" s="505"/>
      <c r="M24" s="491"/>
      <c r="N24" s="491"/>
      <c r="O24" s="491"/>
      <c r="P24" s="498"/>
      <c r="Q24" s="498"/>
      <c r="R24" s="498"/>
      <c r="S24" s="507"/>
      <c r="T24" s="507"/>
      <c r="U24" s="499"/>
      <c r="V24" s="499"/>
      <c r="W24" s="498"/>
      <c r="X24" s="498"/>
      <c r="Y24" s="498"/>
      <c r="Z24" s="498"/>
      <c r="AA24" s="498"/>
      <c r="AB24" s="498"/>
      <c r="AC24" s="498"/>
      <c r="AD24" s="498"/>
      <c r="AE24" s="498"/>
      <c r="AF24" s="181" t="s">
        <v>11</v>
      </c>
      <c r="AG24" s="181" t="s">
        <v>10</v>
      </c>
      <c r="AH24" s="182" t="s">
        <v>2</v>
      </c>
      <c r="AI24" s="182" t="s">
        <v>9</v>
      </c>
      <c r="AJ24" s="491"/>
      <c r="AK24" s="491"/>
      <c r="AL24" s="491"/>
      <c r="AM24" s="491"/>
      <c r="AN24" s="491"/>
      <c r="AO24" s="491"/>
      <c r="AP24" s="491"/>
      <c r="AQ24" s="501"/>
      <c r="AR24" s="498"/>
      <c r="AS24" s="498"/>
      <c r="AT24" s="498"/>
      <c r="AU24" s="498"/>
      <c r="AV24" s="498"/>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3" customFormat="1" ht="189" x14ac:dyDescent="0.25">
      <c r="A26" s="186">
        <v>1</v>
      </c>
      <c r="B26" s="187" t="str">
        <f>A9</f>
        <v xml:space="preserve">Акционерное общество "Западная энергетическая компания" </v>
      </c>
      <c r="C26" s="187" t="s">
        <v>62</v>
      </c>
      <c r="D26" s="203">
        <f>'6.1. Паспорт сетевой график'!D53</f>
        <v>43920</v>
      </c>
      <c r="E26" s="187"/>
      <c r="F26" s="187"/>
      <c r="G26" s="187">
        <f>'3.1. паспорт Техсостояние ПС'!O25</f>
        <v>32</v>
      </c>
      <c r="H26" s="187"/>
      <c r="I26" s="187"/>
      <c r="J26" s="187">
        <v>5.6660000000000004</v>
      </c>
      <c r="K26" s="187">
        <v>1.85</v>
      </c>
      <c r="L26" s="187"/>
      <c r="M26" s="187" t="s">
        <v>643</v>
      </c>
      <c r="N26" s="187" t="s">
        <v>645</v>
      </c>
      <c r="O26" s="188" t="str">
        <f>B26</f>
        <v xml:space="preserve">Акционерное общество "Западная энергетическая компания" </v>
      </c>
      <c r="P26" s="189"/>
      <c r="Q26" s="187"/>
      <c r="R26" s="189"/>
      <c r="S26" s="188"/>
      <c r="T26" s="188"/>
      <c r="U26" s="188"/>
      <c r="V26" s="188"/>
      <c r="W26" s="188"/>
      <c r="X26" s="188"/>
      <c r="Y26" s="188"/>
      <c r="Z26" s="188"/>
      <c r="AA26" s="188"/>
      <c r="AB26" s="188"/>
      <c r="AC26" s="188"/>
      <c r="AD26" s="187"/>
      <c r="AE26" s="187"/>
      <c r="AF26" s="190"/>
      <c r="AG26" s="191"/>
      <c r="AH26" s="192"/>
      <c r="AI26" s="192"/>
      <c r="AJ26" s="192"/>
      <c r="AK26" s="192"/>
      <c r="AL26" s="187"/>
      <c r="AM26" s="187"/>
      <c r="AN26" s="187"/>
      <c r="AO26" s="187"/>
      <c r="AP26" s="225"/>
      <c r="AQ26" s="225"/>
      <c r="AR26" s="225"/>
      <c r="AS26" s="225"/>
      <c r="AT26" s="225"/>
      <c r="AU26" s="187"/>
      <c r="AV26" s="18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28" sqref="B28"/>
    </sheetView>
  </sheetViews>
  <sheetFormatPr defaultRowHeight="15.75" x14ac:dyDescent="0.25"/>
  <cols>
    <col min="1" max="2" width="66.140625" style="73" customWidth="1"/>
    <col min="3" max="3" width="8.85546875" style="43" hidden="1" customWidth="1"/>
    <col min="4" max="4" width="0" style="43" hidden="1" customWidth="1"/>
    <col min="5"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66</v>
      </c>
    </row>
    <row r="2" spans="1:8" ht="18.75" x14ac:dyDescent="0.3">
      <c r="B2" s="13" t="s">
        <v>8</v>
      </c>
    </row>
    <row r="3" spans="1:8" ht="18.75" x14ac:dyDescent="0.3">
      <c r="B3" s="13" t="s">
        <v>422</v>
      </c>
    </row>
    <row r="4" spans="1:8" x14ac:dyDescent="0.25">
      <c r="B4" s="31"/>
    </row>
    <row r="5" spans="1:8" ht="18.75" x14ac:dyDescent="0.3">
      <c r="A5" s="511" t="str">
        <f>'1. паспорт местоположение'!A5:C5</f>
        <v>Год раскрытия информации: 2021 год</v>
      </c>
      <c r="B5" s="511"/>
      <c r="C5" s="67"/>
      <c r="D5" s="67"/>
      <c r="E5" s="67"/>
      <c r="F5" s="67"/>
      <c r="G5" s="67"/>
      <c r="H5" s="67"/>
    </row>
    <row r="6" spans="1:8" ht="18.75" x14ac:dyDescent="0.3">
      <c r="A6" s="100"/>
      <c r="B6" s="100"/>
      <c r="C6" s="100"/>
      <c r="D6" s="100"/>
      <c r="E6" s="100"/>
      <c r="F6" s="100"/>
      <c r="G6" s="100"/>
      <c r="H6" s="100"/>
    </row>
    <row r="7" spans="1:8" ht="18.75" x14ac:dyDescent="0.25">
      <c r="A7" s="387" t="s">
        <v>7</v>
      </c>
      <c r="B7" s="387"/>
      <c r="C7" s="138"/>
      <c r="D7" s="138"/>
      <c r="E7" s="138"/>
      <c r="F7" s="138"/>
      <c r="G7" s="138"/>
      <c r="H7" s="138"/>
    </row>
    <row r="8" spans="1:8" ht="18.75" x14ac:dyDescent="0.25">
      <c r="A8" s="138"/>
      <c r="B8" s="138"/>
      <c r="C8" s="138"/>
      <c r="D8" s="138"/>
      <c r="E8" s="138"/>
      <c r="F8" s="138"/>
      <c r="G8" s="138"/>
      <c r="H8" s="138"/>
    </row>
    <row r="9" spans="1:8" x14ac:dyDescent="0.25">
      <c r="A9" s="382" t="str">
        <f>'1. паспорт местоположение'!A9:C9</f>
        <v xml:space="preserve">Акционерное общество "Западная энергетическая компания" </v>
      </c>
      <c r="B9" s="382"/>
      <c r="C9" s="140"/>
      <c r="D9" s="140"/>
      <c r="E9" s="140"/>
      <c r="F9" s="140"/>
      <c r="G9" s="140"/>
      <c r="H9" s="140"/>
    </row>
    <row r="10" spans="1:8" x14ac:dyDescent="0.25">
      <c r="A10" s="383" t="s">
        <v>6</v>
      </c>
      <c r="B10" s="383"/>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82" t="str">
        <f>'1. паспорт местоположение'!A12:C12</f>
        <v>K-20-02</v>
      </c>
      <c r="B12" s="382"/>
      <c r="C12" s="140"/>
      <c r="D12" s="140"/>
      <c r="E12" s="140"/>
      <c r="F12" s="140"/>
      <c r="G12" s="140"/>
      <c r="H12" s="140"/>
    </row>
    <row r="13" spans="1:8" x14ac:dyDescent="0.25">
      <c r="A13" s="383" t="s">
        <v>5</v>
      </c>
      <c r="B13" s="383"/>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419" t="str">
        <f>'1. паспорт местоположение'!A15:C15</f>
        <v>Приобретение электросетевого комплекса ООО "Татэнерго"</v>
      </c>
      <c r="B15" s="419"/>
      <c r="C15" s="140"/>
      <c r="D15" s="140"/>
      <c r="E15" s="140"/>
      <c r="F15" s="140"/>
      <c r="G15" s="140"/>
      <c r="H15" s="140"/>
    </row>
    <row r="16" spans="1:8" x14ac:dyDescent="0.25">
      <c r="A16" s="383" t="s">
        <v>4</v>
      </c>
      <c r="B16" s="383"/>
      <c r="C16" s="141"/>
      <c r="D16" s="141"/>
      <c r="E16" s="141"/>
      <c r="F16" s="141"/>
      <c r="G16" s="141"/>
      <c r="H16" s="141"/>
    </row>
    <row r="17" spans="1:2" x14ac:dyDescent="0.25">
      <c r="B17" s="74"/>
    </row>
    <row r="18" spans="1:2" ht="33.75" customHeight="1" x14ac:dyDescent="0.25">
      <c r="A18" s="512" t="s">
        <v>407</v>
      </c>
      <c r="B18" s="513"/>
    </row>
    <row r="19" spans="1:2" x14ac:dyDescent="0.25">
      <c r="B19" s="31"/>
    </row>
    <row r="20" spans="1:2" ht="16.5" thickBot="1" x14ac:dyDescent="0.3">
      <c r="B20" s="75"/>
    </row>
    <row r="21" spans="1:2" ht="65.25" customHeight="1" thickBot="1" x14ac:dyDescent="0.3">
      <c r="A21" s="76" t="s">
        <v>304</v>
      </c>
      <c r="B21" s="129" t="str">
        <f>A15</f>
        <v>Приобретение электросетевого комплекса ООО "Татэнерго"</v>
      </c>
    </row>
    <row r="22" spans="1:2" ht="30" customHeight="1" thickBot="1" x14ac:dyDescent="0.3">
      <c r="A22" s="76" t="s">
        <v>305</v>
      </c>
      <c r="B22" s="229" t="str">
        <f>'1. паспорт местоположение'!C27</f>
        <v>ул Юбилейная ,3 Калининград МО "город Калининград"</v>
      </c>
    </row>
    <row r="23" spans="1:2" ht="30.75" thickBot="1" x14ac:dyDescent="0.3">
      <c r="A23" s="76" t="s">
        <v>289</v>
      </c>
      <c r="B23" s="78" t="str">
        <f>'3.3 паспорт описание'!C22</f>
        <v>Увеличение объема услуг по передачи электрической энергии потребителям через сети ТСО.</v>
      </c>
    </row>
    <row r="24" spans="1:2" ht="16.5" thickBot="1" x14ac:dyDescent="0.3">
      <c r="A24" s="76" t="s">
        <v>306</v>
      </c>
      <c r="B24" s="78" t="s">
        <v>558</v>
      </c>
    </row>
    <row r="25" spans="1:2" ht="16.5" thickBot="1" x14ac:dyDescent="0.3">
      <c r="A25" s="79" t="s">
        <v>307</v>
      </c>
      <c r="B25" s="77">
        <f>'3.3 паспорт описание'!C29</f>
        <v>2020</v>
      </c>
    </row>
    <row r="26" spans="1:2" ht="16.5" thickBot="1" x14ac:dyDescent="0.3">
      <c r="A26" s="80" t="s">
        <v>308</v>
      </c>
      <c r="B26" s="127"/>
    </row>
    <row r="27" spans="1:2" ht="29.25" thickBot="1" x14ac:dyDescent="0.3">
      <c r="A27" s="87" t="s">
        <v>646</v>
      </c>
      <c r="B27" s="128">
        <f>'6.2. Паспорт фин осв ввод'!C24</f>
        <v>170.64252412600001</v>
      </c>
    </row>
    <row r="28" spans="1:2" ht="42" customHeight="1" thickBot="1" x14ac:dyDescent="0.3">
      <c r="A28" s="82" t="s">
        <v>309</v>
      </c>
      <c r="B28" s="82" t="s">
        <v>559</v>
      </c>
    </row>
    <row r="29" spans="1:2" ht="29.25" thickBot="1" x14ac:dyDescent="0.3">
      <c r="A29" s="88" t="s">
        <v>310</v>
      </c>
      <c r="B29" s="128"/>
    </row>
    <row r="30" spans="1:2" ht="29.25" thickBot="1" x14ac:dyDescent="0.3">
      <c r="A30" s="88" t="s">
        <v>311</v>
      </c>
      <c r="B30" s="128"/>
    </row>
    <row r="31" spans="1:2" ht="16.5" thickBot="1" x14ac:dyDescent="0.3">
      <c r="A31" s="82" t="s">
        <v>312</v>
      </c>
      <c r="B31" s="128"/>
    </row>
    <row r="32" spans="1:2" ht="29.25" thickBot="1" x14ac:dyDescent="0.3">
      <c r="A32" s="88" t="s">
        <v>313</v>
      </c>
      <c r="B32" s="128"/>
    </row>
    <row r="33" spans="1:3" s="194" customFormat="1" ht="16.5" thickBot="1" x14ac:dyDescent="0.3">
      <c r="A33" s="201"/>
      <c r="B33" s="202"/>
      <c r="C33" s="194">
        <v>10</v>
      </c>
    </row>
    <row r="34" spans="1:3" ht="16.5" thickBot="1" x14ac:dyDescent="0.3">
      <c r="A34" s="82" t="s">
        <v>315</v>
      </c>
      <c r="B34" s="110"/>
    </row>
    <row r="35" spans="1:3" ht="16.5" thickBot="1" x14ac:dyDescent="0.3">
      <c r="A35" s="82" t="s">
        <v>316</v>
      </c>
      <c r="B35" s="128"/>
      <c r="C35" s="43">
        <v>1</v>
      </c>
    </row>
    <row r="36" spans="1:3" ht="16.5" thickBot="1" x14ac:dyDescent="0.3">
      <c r="A36" s="82" t="s">
        <v>317</v>
      </c>
      <c r="B36" s="128"/>
      <c r="C36" s="43">
        <v>2</v>
      </c>
    </row>
    <row r="37" spans="1:3" s="194" customFormat="1" ht="16.5" thickBot="1" x14ac:dyDescent="0.3">
      <c r="A37" s="108" t="s">
        <v>314</v>
      </c>
      <c r="B37" s="109"/>
      <c r="C37" s="194">
        <v>10</v>
      </c>
    </row>
    <row r="38" spans="1:3" ht="16.5" thickBot="1" x14ac:dyDescent="0.3">
      <c r="A38" s="82" t="s">
        <v>315</v>
      </c>
      <c r="B38" s="110">
        <f>B37/$B$27</f>
        <v>0</v>
      </c>
    </row>
    <row r="39" spans="1:3" ht="16.5" thickBot="1" x14ac:dyDescent="0.3">
      <c r="A39" s="82" t="s">
        <v>316</v>
      </c>
      <c r="B39" s="107"/>
      <c r="C39" s="43">
        <v>1</v>
      </c>
    </row>
    <row r="40" spans="1:3" ht="16.5" thickBot="1" x14ac:dyDescent="0.3">
      <c r="A40" s="82" t="s">
        <v>317</v>
      </c>
      <c r="B40" s="107"/>
      <c r="C40" s="43">
        <v>2</v>
      </c>
    </row>
    <row r="41" spans="1:3" ht="16.5" thickBot="1" x14ac:dyDescent="0.3">
      <c r="A41" s="108" t="s">
        <v>314</v>
      </c>
      <c r="B41" s="109"/>
      <c r="C41" s="194">
        <v>10</v>
      </c>
    </row>
    <row r="42" spans="1:3" ht="16.5" thickBot="1" x14ac:dyDescent="0.3">
      <c r="A42" s="82" t="s">
        <v>315</v>
      </c>
      <c r="B42" s="110">
        <f>B41/$B$27</f>
        <v>0</v>
      </c>
    </row>
    <row r="43" spans="1:3" ht="16.5" thickBot="1" x14ac:dyDescent="0.3">
      <c r="A43" s="82" t="s">
        <v>316</v>
      </c>
      <c r="B43" s="107"/>
      <c r="C43" s="43">
        <v>1</v>
      </c>
    </row>
    <row r="44" spans="1:3" ht="16.5" thickBot="1" x14ac:dyDescent="0.3">
      <c r="A44" s="82" t="s">
        <v>317</v>
      </c>
      <c r="B44" s="107"/>
      <c r="C44" s="43">
        <v>2</v>
      </c>
    </row>
    <row r="45" spans="1:3" ht="16.5" thickBot="1" x14ac:dyDescent="0.3">
      <c r="A45" s="108" t="s">
        <v>314</v>
      </c>
      <c r="B45" s="109"/>
      <c r="C45" s="194">
        <v>10</v>
      </c>
    </row>
    <row r="46" spans="1:3" ht="16.5" thickBot="1" x14ac:dyDescent="0.3">
      <c r="A46" s="82" t="s">
        <v>315</v>
      </c>
      <c r="B46" s="110">
        <f>B45/$B$27</f>
        <v>0</v>
      </c>
    </row>
    <row r="47" spans="1:3" ht="16.5" thickBot="1" x14ac:dyDescent="0.3">
      <c r="A47" s="82" t="s">
        <v>316</v>
      </c>
      <c r="B47" s="107"/>
      <c r="C47" s="43">
        <v>1</v>
      </c>
    </row>
    <row r="48" spans="1:3" ht="16.5" thickBot="1" x14ac:dyDescent="0.3">
      <c r="A48" s="82" t="s">
        <v>317</v>
      </c>
      <c r="B48" s="107"/>
      <c r="C48" s="43">
        <v>2</v>
      </c>
    </row>
    <row r="49" spans="1:3" ht="16.5" thickBot="1" x14ac:dyDescent="0.3">
      <c r="A49" s="108" t="s">
        <v>314</v>
      </c>
      <c r="B49" s="109"/>
      <c r="C49" s="194">
        <v>10</v>
      </c>
    </row>
    <row r="50" spans="1:3" ht="16.5" thickBot="1" x14ac:dyDescent="0.3">
      <c r="A50" s="82" t="s">
        <v>315</v>
      </c>
      <c r="B50" s="110">
        <f>B49/$B$27</f>
        <v>0</v>
      </c>
    </row>
    <row r="51" spans="1:3" ht="16.5" thickBot="1" x14ac:dyDescent="0.3">
      <c r="A51" s="82" t="s">
        <v>316</v>
      </c>
      <c r="B51" s="107"/>
      <c r="C51" s="43">
        <v>1</v>
      </c>
    </row>
    <row r="52" spans="1:3" ht="16.5" thickBot="1" x14ac:dyDescent="0.3">
      <c r="A52" s="82" t="s">
        <v>317</v>
      </c>
      <c r="B52" s="107"/>
      <c r="C52" s="43">
        <v>2</v>
      </c>
    </row>
    <row r="53" spans="1:3" ht="29.25" thickBot="1" x14ac:dyDescent="0.3">
      <c r="A53" s="88" t="s">
        <v>318</v>
      </c>
      <c r="B53" s="107">
        <f xml:space="preserve"> SUMIF(C54:C110, 20,B54:B110)</f>
        <v>0</v>
      </c>
    </row>
    <row r="54" spans="1:3" s="194" customFormat="1" ht="16.5" thickBot="1" x14ac:dyDescent="0.3">
      <c r="A54" s="108" t="s">
        <v>314</v>
      </c>
      <c r="B54" s="109"/>
      <c r="C54" s="194">
        <v>20</v>
      </c>
    </row>
    <row r="55" spans="1:3" ht="16.5" thickBot="1" x14ac:dyDescent="0.3">
      <c r="A55" s="82" t="s">
        <v>315</v>
      </c>
      <c r="B55" s="110">
        <f>B54/$B$27</f>
        <v>0</v>
      </c>
    </row>
    <row r="56" spans="1:3" ht="16.5" thickBot="1" x14ac:dyDescent="0.3">
      <c r="A56" s="82" t="s">
        <v>316</v>
      </c>
      <c r="B56" s="107"/>
      <c r="C56" s="43">
        <v>1</v>
      </c>
    </row>
    <row r="57" spans="1:3" ht="16.5" thickBot="1" x14ac:dyDescent="0.3">
      <c r="A57" s="82" t="s">
        <v>317</v>
      </c>
      <c r="B57" s="107"/>
      <c r="C57" s="43">
        <v>2</v>
      </c>
    </row>
    <row r="58" spans="1:3" s="194" customFormat="1" ht="16.5" thickBot="1" x14ac:dyDescent="0.3">
      <c r="A58" s="108" t="s">
        <v>314</v>
      </c>
      <c r="B58" s="109"/>
      <c r="C58" s="194">
        <v>20</v>
      </c>
    </row>
    <row r="59" spans="1:3" ht="16.5" thickBot="1" x14ac:dyDescent="0.3">
      <c r="A59" s="82" t="s">
        <v>315</v>
      </c>
      <c r="B59" s="110">
        <f>B58/$B$27</f>
        <v>0</v>
      </c>
    </row>
    <row r="60" spans="1:3" ht="16.5" thickBot="1" x14ac:dyDescent="0.3">
      <c r="A60" s="82" t="s">
        <v>316</v>
      </c>
      <c r="B60" s="107"/>
      <c r="C60" s="43">
        <v>1</v>
      </c>
    </row>
    <row r="61" spans="1:3" ht="16.5" thickBot="1" x14ac:dyDescent="0.3">
      <c r="A61" s="82" t="s">
        <v>317</v>
      </c>
      <c r="B61" s="107"/>
      <c r="C61" s="43">
        <v>2</v>
      </c>
    </row>
    <row r="62" spans="1:3" s="194" customFormat="1" ht="16.5" thickBot="1" x14ac:dyDescent="0.3">
      <c r="A62" s="108" t="s">
        <v>314</v>
      </c>
      <c r="B62" s="109"/>
      <c r="C62" s="194">
        <v>20</v>
      </c>
    </row>
    <row r="63" spans="1:3" ht="16.5" thickBot="1" x14ac:dyDescent="0.3">
      <c r="A63" s="82" t="s">
        <v>315</v>
      </c>
      <c r="B63" s="110">
        <f>B62/$B$27</f>
        <v>0</v>
      </c>
    </row>
    <row r="64" spans="1:3" ht="16.5" thickBot="1" x14ac:dyDescent="0.3">
      <c r="A64" s="82" t="s">
        <v>316</v>
      </c>
      <c r="B64" s="107"/>
      <c r="C64" s="43">
        <v>1</v>
      </c>
    </row>
    <row r="65" spans="1:3" ht="16.5" thickBot="1" x14ac:dyDescent="0.3">
      <c r="A65" s="82" t="s">
        <v>317</v>
      </c>
      <c r="B65" s="107"/>
      <c r="C65" s="43">
        <v>2</v>
      </c>
    </row>
    <row r="66" spans="1:3" s="194" customFormat="1" ht="16.5" thickBot="1" x14ac:dyDescent="0.3">
      <c r="A66" s="108" t="s">
        <v>314</v>
      </c>
      <c r="B66" s="109"/>
      <c r="C66" s="194">
        <v>20</v>
      </c>
    </row>
    <row r="67" spans="1:3" ht="16.5" thickBot="1" x14ac:dyDescent="0.3">
      <c r="A67" s="82" t="s">
        <v>315</v>
      </c>
      <c r="B67" s="110">
        <f>B66/$B$27</f>
        <v>0</v>
      </c>
    </row>
    <row r="68" spans="1:3" ht="16.5" thickBot="1" x14ac:dyDescent="0.3">
      <c r="A68" s="82" t="s">
        <v>316</v>
      </c>
      <c r="B68" s="107"/>
      <c r="C68" s="43">
        <v>1</v>
      </c>
    </row>
    <row r="69" spans="1:3" ht="16.5" thickBot="1" x14ac:dyDescent="0.3">
      <c r="A69" s="82" t="s">
        <v>317</v>
      </c>
      <c r="B69" s="107"/>
      <c r="C69" s="43">
        <v>2</v>
      </c>
    </row>
    <row r="70" spans="1:3" ht="29.25" thickBot="1" x14ac:dyDescent="0.3">
      <c r="A70" s="88" t="s">
        <v>319</v>
      </c>
      <c r="B70" s="107"/>
    </row>
    <row r="71" spans="1:3" s="194" customFormat="1" ht="16.5" thickBot="1" x14ac:dyDescent="0.3">
      <c r="A71" s="201"/>
      <c r="B71" s="202"/>
      <c r="C71" s="194">
        <v>30</v>
      </c>
    </row>
    <row r="72" spans="1:3" ht="16.5" thickBot="1" x14ac:dyDescent="0.3">
      <c r="A72" s="82" t="s">
        <v>315</v>
      </c>
      <c r="B72" s="110"/>
    </row>
    <row r="73" spans="1:3" ht="16.5" thickBot="1" x14ac:dyDescent="0.3">
      <c r="A73" s="82" t="s">
        <v>316</v>
      </c>
      <c r="B73" s="128"/>
      <c r="C73" s="43">
        <v>1</v>
      </c>
    </row>
    <row r="74" spans="1:3" ht="16.5" thickBot="1" x14ac:dyDescent="0.3">
      <c r="A74" s="82" t="s">
        <v>317</v>
      </c>
      <c r="B74" s="128"/>
      <c r="C74" s="43">
        <v>2</v>
      </c>
    </row>
    <row r="75" spans="1:3" s="194" customFormat="1" ht="16.5" thickBot="1" x14ac:dyDescent="0.3">
      <c r="A75" s="201"/>
      <c r="B75" s="202"/>
      <c r="C75" s="194">
        <v>30</v>
      </c>
    </row>
    <row r="76" spans="1:3" ht="16.5" thickBot="1" x14ac:dyDescent="0.3">
      <c r="A76" s="82" t="s">
        <v>315</v>
      </c>
      <c r="B76" s="110"/>
    </row>
    <row r="77" spans="1:3" ht="16.5" thickBot="1" x14ac:dyDescent="0.3">
      <c r="A77" s="82" t="s">
        <v>316</v>
      </c>
      <c r="B77" s="128"/>
      <c r="C77" s="43">
        <v>1</v>
      </c>
    </row>
    <row r="78" spans="1:3" ht="16.5" thickBot="1" x14ac:dyDescent="0.3">
      <c r="A78" s="82" t="s">
        <v>317</v>
      </c>
      <c r="B78" s="128"/>
      <c r="C78" s="43">
        <v>2</v>
      </c>
    </row>
    <row r="79" spans="1:3" s="194" customFormat="1" ht="16.5" thickBot="1" x14ac:dyDescent="0.3">
      <c r="A79" s="201"/>
      <c r="B79" s="202"/>
      <c r="C79" s="194">
        <v>30</v>
      </c>
    </row>
    <row r="80" spans="1:3" ht="16.5" thickBot="1" x14ac:dyDescent="0.3">
      <c r="A80" s="82" t="s">
        <v>315</v>
      </c>
      <c r="B80" s="110"/>
    </row>
    <row r="81" spans="1:3" ht="16.5" thickBot="1" x14ac:dyDescent="0.3">
      <c r="A81" s="82" t="s">
        <v>316</v>
      </c>
      <c r="B81" s="107"/>
      <c r="C81" s="43">
        <v>1</v>
      </c>
    </row>
    <row r="82" spans="1:3" ht="16.5" thickBot="1" x14ac:dyDescent="0.3">
      <c r="A82" s="82" t="s">
        <v>317</v>
      </c>
      <c r="B82" s="107"/>
      <c r="C82" s="43">
        <v>2</v>
      </c>
    </row>
    <row r="83" spans="1:3" s="194" customFormat="1" ht="16.5" thickBot="1" x14ac:dyDescent="0.3">
      <c r="A83" s="108" t="s">
        <v>314</v>
      </c>
      <c r="B83" s="109"/>
      <c r="C83" s="194">
        <v>30</v>
      </c>
    </row>
    <row r="84" spans="1:3" ht="16.5" thickBot="1" x14ac:dyDescent="0.3">
      <c r="A84" s="82" t="s">
        <v>315</v>
      </c>
      <c r="B84" s="110"/>
    </row>
    <row r="85" spans="1:3" ht="16.5" thickBot="1" x14ac:dyDescent="0.3">
      <c r="A85" s="82" t="s">
        <v>316</v>
      </c>
      <c r="B85" s="107"/>
      <c r="C85" s="43">
        <v>1</v>
      </c>
    </row>
    <row r="86" spans="1:3" ht="16.5" thickBot="1" x14ac:dyDescent="0.3">
      <c r="A86" s="82" t="s">
        <v>317</v>
      </c>
      <c r="B86" s="107"/>
      <c r="C86" s="43">
        <v>2</v>
      </c>
    </row>
    <row r="87" spans="1:3" s="194" customFormat="1" ht="16.5" thickBot="1" x14ac:dyDescent="0.3">
      <c r="A87" s="108" t="s">
        <v>314</v>
      </c>
      <c r="B87" s="109"/>
      <c r="C87" s="194">
        <v>30</v>
      </c>
    </row>
    <row r="88" spans="1:3" ht="16.5" thickBot="1" x14ac:dyDescent="0.3">
      <c r="A88" s="82" t="s">
        <v>315</v>
      </c>
      <c r="B88" s="110"/>
    </row>
    <row r="89" spans="1:3" ht="16.5" thickBot="1" x14ac:dyDescent="0.3">
      <c r="A89" s="82" t="s">
        <v>316</v>
      </c>
      <c r="B89" s="107"/>
      <c r="C89" s="43">
        <v>1</v>
      </c>
    </row>
    <row r="90" spans="1:3" ht="16.5" thickBot="1" x14ac:dyDescent="0.3">
      <c r="A90" s="82" t="s">
        <v>317</v>
      </c>
      <c r="B90" s="107"/>
      <c r="C90" s="43">
        <v>2</v>
      </c>
    </row>
    <row r="91" spans="1:3" s="194" customFormat="1" ht="16.5" thickBot="1" x14ac:dyDescent="0.3">
      <c r="A91" s="108" t="s">
        <v>314</v>
      </c>
      <c r="B91" s="109"/>
      <c r="C91" s="194">
        <v>30</v>
      </c>
    </row>
    <row r="92" spans="1:3" ht="16.5" thickBot="1" x14ac:dyDescent="0.3">
      <c r="A92" s="82" t="s">
        <v>315</v>
      </c>
      <c r="B92" s="110"/>
    </row>
    <row r="93" spans="1:3" ht="16.5" thickBot="1" x14ac:dyDescent="0.3">
      <c r="A93" s="82" t="s">
        <v>316</v>
      </c>
      <c r="B93" s="107"/>
      <c r="C93" s="43">
        <v>1</v>
      </c>
    </row>
    <row r="94" spans="1:3" ht="16.5" thickBot="1" x14ac:dyDescent="0.3">
      <c r="A94" s="82" t="s">
        <v>317</v>
      </c>
      <c r="B94" s="107"/>
      <c r="C94" s="43">
        <v>2</v>
      </c>
    </row>
    <row r="95" spans="1:3" s="194" customFormat="1" ht="16.5" thickBot="1" x14ac:dyDescent="0.3">
      <c r="A95" s="108" t="s">
        <v>314</v>
      </c>
      <c r="B95" s="109"/>
      <c r="C95" s="194">
        <v>30</v>
      </c>
    </row>
    <row r="96" spans="1:3" ht="16.5" thickBot="1" x14ac:dyDescent="0.3">
      <c r="A96" s="82" t="s">
        <v>315</v>
      </c>
      <c r="B96" s="110"/>
    </row>
    <row r="97" spans="1:3" ht="16.5" thickBot="1" x14ac:dyDescent="0.3">
      <c r="A97" s="82" t="s">
        <v>316</v>
      </c>
      <c r="B97" s="107"/>
      <c r="C97" s="43">
        <v>1</v>
      </c>
    </row>
    <row r="98" spans="1:3" ht="16.5" thickBot="1" x14ac:dyDescent="0.3">
      <c r="A98" s="82" t="s">
        <v>317</v>
      </c>
      <c r="B98" s="107"/>
      <c r="C98" s="43">
        <v>2</v>
      </c>
    </row>
    <row r="99" spans="1:3" s="194" customFormat="1" ht="16.5" thickBot="1" x14ac:dyDescent="0.3">
      <c r="A99" s="108" t="s">
        <v>314</v>
      </c>
      <c r="B99" s="109"/>
      <c r="C99" s="194">
        <v>30</v>
      </c>
    </row>
    <row r="100" spans="1:3" ht="16.5" thickBot="1" x14ac:dyDescent="0.3">
      <c r="A100" s="82" t="s">
        <v>315</v>
      </c>
      <c r="B100" s="110">
        <f>B99/$B$27</f>
        <v>0</v>
      </c>
    </row>
    <row r="101" spans="1:3" ht="16.5" thickBot="1" x14ac:dyDescent="0.3">
      <c r="A101" s="82" t="s">
        <v>316</v>
      </c>
      <c r="B101" s="107"/>
      <c r="C101" s="43">
        <v>1</v>
      </c>
    </row>
    <row r="102" spans="1:3" ht="16.5" thickBot="1" x14ac:dyDescent="0.3">
      <c r="A102" s="82" t="s">
        <v>317</v>
      </c>
      <c r="B102" s="107"/>
      <c r="C102" s="43">
        <v>2</v>
      </c>
    </row>
    <row r="103" spans="1:3" s="194" customFormat="1" ht="16.5" thickBot="1" x14ac:dyDescent="0.3">
      <c r="A103" s="108" t="s">
        <v>314</v>
      </c>
      <c r="B103" s="109"/>
      <c r="C103" s="194">
        <v>30</v>
      </c>
    </row>
    <row r="104" spans="1:3" ht="16.5" thickBot="1" x14ac:dyDescent="0.3">
      <c r="A104" s="82" t="s">
        <v>315</v>
      </c>
      <c r="B104" s="110">
        <f>B103/$B$27</f>
        <v>0</v>
      </c>
    </row>
    <row r="105" spans="1:3" ht="16.5" thickBot="1" x14ac:dyDescent="0.3">
      <c r="A105" s="82" t="s">
        <v>316</v>
      </c>
      <c r="B105" s="107"/>
      <c r="C105" s="43">
        <v>1</v>
      </c>
    </row>
    <row r="106" spans="1:3" ht="16.5" thickBot="1" x14ac:dyDescent="0.3">
      <c r="A106" s="82" t="s">
        <v>317</v>
      </c>
      <c r="B106" s="107"/>
      <c r="C106" s="43">
        <v>2</v>
      </c>
    </row>
    <row r="107" spans="1:3" s="194" customFormat="1" ht="16.5" thickBot="1" x14ac:dyDescent="0.3">
      <c r="A107" s="108" t="s">
        <v>314</v>
      </c>
      <c r="B107" s="109"/>
      <c r="C107" s="194">
        <v>30</v>
      </c>
    </row>
    <row r="108" spans="1:3" ht="16.5" thickBot="1" x14ac:dyDescent="0.3">
      <c r="A108" s="82" t="s">
        <v>315</v>
      </c>
      <c r="B108" s="110">
        <f>B107/$B$27</f>
        <v>0</v>
      </c>
    </row>
    <row r="109" spans="1:3" ht="16.5" thickBot="1" x14ac:dyDescent="0.3">
      <c r="A109" s="82" t="s">
        <v>316</v>
      </c>
      <c r="B109" s="107"/>
      <c r="C109" s="43">
        <v>1</v>
      </c>
    </row>
    <row r="110" spans="1:3" ht="16.5" thickBot="1" x14ac:dyDescent="0.3">
      <c r="A110" s="82" t="s">
        <v>317</v>
      </c>
      <c r="B110" s="107"/>
      <c r="C110" s="43">
        <v>2</v>
      </c>
    </row>
    <row r="111" spans="1:3" ht="29.25" thickBot="1" x14ac:dyDescent="0.3">
      <c r="A111" s="81" t="s">
        <v>320</v>
      </c>
      <c r="B111" s="110">
        <f>B30/B27</f>
        <v>0</v>
      </c>
    </row>
    <row r="112" spans="1:3" ht="16.5" thickBot="1" x14ac:dyDescent="0.3">
      <c r="A112" s="83" t="s">
        <v>312</v>
      </c>
      <c r="B112" s="89"/>
    </row>
    <row r="113" spans="1:2" ht="16.5" thickBot="1" x14ac:dyDescent="0.3">
      <c r="A113" s="83" t="s">
        <v>321</v>
      </c>
      <c r="B113" s="110">
        <f>B33/B27</f>
        <v>0</v>
      </c>
    </row>
    <row r="114" spans="1:2" ht="16.5" thickBot="1" x14ac:dyDescent="0.3">
      <c r="A114" s="83" t="s">
        <v>322</v>
      </c>
      <c r="B114" s="110"/>
    </row>
    <row r="115" spans="1:2" ht="16.5" thickBot="1" x14ac:dyDescent="0.3">
      <c r="A115" s="83" t="s">
        <v>323</v>
      </c>
      <c r="B115" s="110">
        <f>B70/B27</f>
        <v>0</v>
      </c>
    </row>
    <row r="116" spans="1:2" ht="16.5" thickBot="1" x14ac:dyDescent="0.3">
      <c r="A116" s="79" t="s">
        <v>324</v>
      </c>
      <c r="B116" s="111">
        <f>B117/$B$27</f>
        <v>0</v>
      </c>
    </row>
    <row r="117" spans="1:2" ht="16.5" thickBot="1" x14ac:dyDescent="0.3">
      <c r="A117" s="79" t="s">
        <v>325</v>
      </c>
      <c r="B117" s="216">
        <f xml:space="preserve"> SUMIF(C33:C110, 1,B33:B110)</f>
        <v>0</v>
      </c>
    </row>
    <row r="118" spans="1:2" ht="16.5" thickBot="1" x14ac:dyDescent="0.3">
      <c r="A118" s="79" t="s">
        <v>326</v>
      </c>
      <c r="B118" s="111">
        <f>B119/$B$27</f>
        <v>0</v>
      </c>
    </row>
    <row r="119" spans="1:2" ht="16.5" thickBot="1" x14ac:dyDescent="0.3">
      <c r="A119" s="80" t="s">
        <v>327</v>
      </c>
      <c r="B119" s="216">
        <f xml:space="preserve"> SUMIF(C33:C110, 2,B33:B110)</f>
        <v>0</v>
      </c>
    </row>
    <row r="120" spans="1:2" ht="15.75" customHeight="1" x14ac:dyDescent="0.25">
      <c r="A120" s="81" t="s">
        <v>328</v>
      </c>
      <c r="B120" s="83" t="s">
        <v>329</v>
      </c>
    </row>
    <row r="121" spans="1:2" x14ac:dyDescent="0.25">
      <c r="A121" s="85" t="s">
        <v>330</v>
      </c>
      <c r="B121" s="85" t="str">
        <f>A9</f>
        <v xml:space="preserve">Акционерное общество "Западная энергетическая компания" </v>
      </c>
    </row>
    <row r="122" spans="1:2" x14ac:dyDescent="0.25">
      <c r="A122" s="85" t="s">
        <v>331</v>
      </c>
      <c r="B122" s="85"/>
    </row>
    <row r="123" spans="1:2" x14ac:dyDescent="0.25">
      <c r="A123" s="85" t="s">
        <v>332</v>
      </c>
      <c r="B123" s="85"/>
    </row>
    <row r="124" spans="1:2" x14ac:dyDescent="0.25">
      <c r="A124" s="85" t="s">
        <v>333</v>
      </c>
      <c r="B124" s="85"/>
    </row>
    <row r="125" spans="1:2" ht="16.5" thickBot="1" x14ac:dyDescent="0.3">
      <c r="A125" s="86" t="s">
        <v>334</v>
      </c>
      <c r="B125" s="86"/>
    </row>
    <row r="126" spans="1:2" ht="30.75" thickBot="1" x14ac:dyDescent="0.3">
      <c r="A126" s="83" t="s">
        <v>335</v>
      </c>
      <c r="B126" s="84"/>
    </row>
    <row r="127" spans="1:2" ht="29.25" thickBot="1" x14ac:dyDescent="0.3">
      <c r="A127" s="79" t="s">
        <v>336</v>
      </c>
      <c r="B127" s="217"/>
    </row>
    <row r="128" spans="1:2" ht="16.5" thickBot="1" x14ac:dyDescent="0.3">
      <c r="A128" s="83" t="s">
        <v>312</v>
      </c>
      <c r="B128" s="218"/>
    </row>
    <row r="129" spans="1:2" ht="16.5" thickBot="1" x14ac:dyDescent="0.3">
      <c r="A129" s="83" t="s">
        <v>337</v>
      </c>
      <c r="B129" s="217"/>
    </row>
    <row r="130" spans="1:2" ht="16.5" thickBot="1" x14ac:dyDescent="0.3">
      <c r="A130" s="83" t="s">
        <v>338</v>
      </c>
      <c r="B130" s="218"/>
    </row>
    <row r="131" spans="1:2" ht="16.5" thickBot="1" x14ac:dyDescent="0.3">
      <c r="A131" s="92" t="s">
        <v>339</v>
      </c>
      <c r="B131" s="133"/>
    </row>
    <row r="132" spans="1:2" ht="16.5" thickBot="1" x14ac:dyDescent="0.3">
      <c r="A132" s="79" t="s">
        <v>340</v>
      </c>
      <c r="B132" s="90"/>
    </row>
    <row r="133" spans="1:2" ht="16.5" thickBot="1" x14ac:dyDescent="0.3">
      <c r="A133" s="85" t="s">
        <v>341</v>
      </c>
      <c r="B133" s="215" t="str">
        <f>'6.1. Паспорт сетевой график'!H43</f>
        <v>нд</v>
      </c>
    </row>
    <row r="134" spans="1:2" ht="16.5" thickBot="1" x14ac:dyDescent="0.3">
      <c r="A134" s="85" t="s">
        <v>342</v>
      </c>
      <c r="B134" s="93" t="s">
        <v>547</v>
      </c>
    </row>
    <row r="135" spans="1:2" ht="16.5" thickBot="1" x14ac:dyDescent="0.3">
      <c r="A135" s="85" t="s">
        <v>343</v>
      </c>
      <c r="B135" s="93" t="s">
        <v>547</v>
      </c>
    </row>
    <row r="136" spans="1:2" ht="29.25" thickBot="1" x14ac:dyDescent="0.3">
      <c r="A136" s="94" t="s">
        <v>344</v>
      </c>
      <c r="B136" s="91" t="s">
        <v>548</v>
      </c>
    </row>
    <row r="137" spans="1:2" ht="28.5" customHeight="1" x14ac:dyDescent="0.25">
      <c r="A137" s="81" t="s">
        <v>345</v>
      </c>
      <c r="B137" s="514" t="s">
        <v>547</v>
      </c>
    </row>
    <row r="138" spans="1:2" x14ac:dyDescent="0.25">
      <c r="A138" s="85" t="s">
        <v>346</v>
      </c>
      <c r="B138" s="515"/>
    </row>
    <row r="139" spans="1:2" x14ac:dyDescent="0.25">
      <c r="A139" s="85" t="s">
        <v>347</v>
      </c>
      <c r="B139" s="515"/>
    </row>
    <row r="140" spans="1:2" x14ac:dyDescent="0.25">
      <c r="A140" s="85" t="s">
        <v>348</v>
      </c>
      <c r="B140" s="515"/>
    </row>
    <row r="141" spans="1:2" x14ac:dyDescent="0.25">
      <c r="A141" s="85" t="s">
        <v>349</v>
      </c>
      <c r="B141" s="515"/>
    </row>
    <row r="142" spans="1:2" ht="16.5" thickBot="1" x14ac:dyDescent="0.3">
      <c r="A142" s="95" t="s">
        <v>350</v>
      </c>
      <c r="B142" s="516"/>
    </row>
    <row r="145" spans="1:2" x14ac:dyDescent="0.25">
      <c r="A145" s="96"/>
      <c r="B145" s="97"/>
    </row>
    <row r="146" spans="1:2" x14ac:dyDescent="0.25">
      <c r="B146" s="98"/>
    </row>
    <row r="147" spans="1:2" x14ac:dyDescent="0.25">
      <c r="B147" s="99"/>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6"/>
  <sheetViews>
    <sheetView workbookViewId="0">
      <selection activeCell="L7" sqref="L7"/>
    </sheetView>
  </sheetViews>
  <sheetFormatPr defaultRowHeight="15" x14ac:dyDescent="0.25"/>
  <cols>
    <col min="1" max="1" width="39.42578125" customWidth="1"/>
    <col min="2" max="2" width="15.5703125" customWidth="1"/>
    <col min="3" max="3" width="12.7109375" customWidth="1"/>
    <col min="4" max="4" width="28.7109375" customWidth="1"/>
  </cols>
  <sheetData>
    <row r="1" spans="1:5" x14ac:dyDescent="0.25">
      <c r="B1" s="236" t="s">
        <v>647</v>
      </c>
      <c r="C1" s="237" t="s">
        <v>252</v>
      </c>
    </row>
    <row r="2" spans="1:5" ht="37.5" customHeight="1" x14ac:dyDescent="0.25">
      <c r="A2" s="239" t="s">
        <v>660</v>
      </c>
      <c r="B2" s="234">
        <v>9980299.9299999997</v>
      </c>
      <c r="C2">
        <f>B2*0.2</f>
        <v>1996059.986</v>
      </c>
      <c r="D2" s="517" t="s">
        <v>648</v>
      </c>
    </row>
    <row r="3" spans="1:5" ht="30" x14ac:dyDescent="0.25">
      <c r="A3" s="241" t="s">
        <v>659</v>
      </c>
      <c r="B3" s="234">
        <v>5313354.01</v>
      </c>
      <c r="C3">
        <f t="shared" ref="C3:C14" si="0">B3*0.2</f>
        <v>1062670.8019999999</v>
      </c>
      <c r="D3" s="517"/>
      <c r="E3" t="s">
        <v>665</v>
      </c>
    </row>
    <row r="4" spans="1:5" ht="34.5" customHeight="1" x14ac:dyDescent="0.25">
      <c r="A4" s="239" t="s">
        <v>658</v>
      </c>
      <c r="B4" s="234">
        <v>1179399.52</v>
      </c>
      <c r="C4">
        <f t="shared" si="0"/>
        <v>235879.90400000001</v>
      </c>
      <c r="D4" s="517"/>
      <c r="E4" t="s">
        <v>668</v>
      </c>
    </row>
    <row r="5" spans="1:5" ht="34.5" customHeight="1" x14ac:dyDescent="0.25">
      <c r="A5" s="241" t="s">
        <v>666</v>
      </c>
      <c r="B5" s="234">
        <v>3140078.3</v>
      </c>
      <c r="C5">
        <f t="shared" si="0"/>
        <v>628015.66</v>
      </c>
      <c r="D5" s="517"/>
    </row>
    <row r="6" spans="1:5" ht="34.5" customHeight="1" x14ac:dyDescent="0.25">
      <c r="A6" s="241" t="s">
        <v>664</v>
      </c>
      <c r="B6" s="234">
        <v>3251827.27</v>
      </c>
      <c r="C6">
        <f t="shared" si="0"/>
        <v>650365.45400000003</v>
      </c>
      <c r="D6" s="517"/>
      <c r="E6" t="s">
        <v>663</v>
      </c>
    </row>
    <row r="7" spans="1:5" ht="34.5" customHeight="1" x14ac:dyDescent="0.25">
      <c r="A7" s="241" t="s">
        <v>657</v>
      </c>
      <c r="B7" s="234">
        <v>3659260.11</v>
      </c>
      <c r="C7">
        <f t="shared" si="0"/>
        <v>731852.022</v>
      </c>
      <c r="D7" s="517"/>
    </row>
    <row r="8" spans="1:5" ht="34.5" customHeight="1" x14ac:dyDescent="0.25">
      <c r="A8" s="243" t="s">
        <v>656</v>
      </c>
      <c r="B8" s="234">
        <v>4208287.92</v>
      </c>
      <c r="C8">
        <f>B8*0.2</f>
        <v>841657.58400000003</v>
      </c>
      <c r="D8" s="517"/>
      <c r="E8">
        <f>3.2/2</f>
        <v>1.6</v>
      </c>
    </row>
    <row r="9" spans="1:5" ht="34.5" customHeight="1" x14ac:dyDescent="0.25">
      <c r="A9" s="239" t="s">
        <v>655</v>
      </c>
      <c r="B9" s="234">
        <v>37836552.479999997</v>
      </c>
      <c r="C9">
        <f t="shared" si="0"/>
        <v>7567310.4959999993</v>
      </c>
      <c r="D9" s="517"/>
      <c r="E9" t="s">
        <v>661</v>
      </c>
    </row>
    <row r="10" spans="1:5" ht="34.5" customHeight="1" x14ac:dyDescent="0.25">
      <c r="A10" s="239" t="s">
        <v>654</v>
      </c>
      <c r="B10" s="234">
        <v>62350716.32</v>
      </c>
      <c r="C10">
        <f t="shared" si="0"/>
        <v>12470143.264</v>
      </c>
      <c r="D10" s="517"/>
      <c r="E10" t="s">
        <v>662</v>
      </c>
    </row>
    <row r="11" spans="1:5" ht="34.5" customHeight="1" x14ac:dyDescent="0.25">
      <c r="A11" s="242" t="s">
        <v>667</v>
      </c>
      <c r="B11" s="234">
        <v>2204232.2000000002</v>
      </c>
      <c r="C11">
        <f t="shared" si="0"/>
        <v>440846.44000000006</v>
      </c>
      <c r="D11" s="517"/>
    </row>
    <row r="12" spans="1:5" ht="34.5" customHeight="1" x14ac:dyDescent="0.25">
      <c r="A12" s="238" t="s">
        <v>649</v>
      </c>
      <c r="B12" s="234">
        <v>9078095.3800000008</v>
      </c>
      <c r="C12">
        <f t="shared" si="0"/>
        <v>1815619.0760000004</v>
      </c>
      <c r="D12" s="517"/>
    </row>
    <row r="13" spans="1:5" ht="34.5" customHeight="1" x14ac:dyDescent="0.25">
      <c r="A13" s="238" t="s">
        <v>650</v>
      </c>
      <c r="B13" s="234">
        <v>19702878.210000001</v>
      </c>
      <c r="C13">
        <f t="shared" si="0"/>
        <v>3940575.6420000005</v>
      </c>
      <c r="D13" s="518" t="s">
        <v>653</v>
      </c>
    </row>
    <row r="14" spans="1:5" ht="34.5" customHeight="1" x14ac:dyDescent="0.25">
      <c r="A14" s="240" t="s">
        <v>652</v>
      </c>
      <c r="B14" s="234">
        <v>4331943.38</v>
      </c>
      <c r="C14">
        <f t="shared" si="0"/>
        <v>866388.67599999998</v>
      </c>
      <c r="D14" s="518"/>
      <c r="E14">
        <f>2*630</f>
        <v>1260</v>
      </c>
    </row>
    <row r="15" spans="1:5" x14ac:dyDescent="0.25">
      <c r="B15" s="235">
        <f>SUM(B2:B14)</f>
        <v>166236925.03</v>
      </c>
      <c r="C15" s="235">
        <f>SUM(C2:C14)</f>
        <v>33247385.006000001</v>
      </c>
    </row>
    <row r="16" spans="1:5" x14ac:dyDescent="0.25">
      <c r="B16" s="234"/>
    </row>
  </sheetData>
  <mergeCells count="2">
    <mergeCell ref="D2:D12"/>
    <mergeCell ref="D13:D14"/>
  </mergeCells>
  <hyperlinks>
    <hyperlink ref="A12" r:id="rId1" xr:uid="{00000000-0004-0000-0D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166"/>
  <sheetViews>
    <sheetView view="pageBreakPreview" topLeftCell="A20" zoomScale="60" workbookViewId="0">
      <selection activeCell="B22" sqref="B22:S22"/>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6" customFormat="1" ht="18.75" customHeight="1" x14ac:dyDescent="0.2">
      <c r="S1" s="28" t="s">
        <v>66</v>
      </c>
    </row>
    <row r="2" spans="1:28" s="16" customFormat="1" ht="18.75" customHeight="1" x14ac:dyDescent="0.3">
      <c r="S2" s="13" t="s">
        <v>8</v>
      </c>
    </row>
    <row r="3" spans="1:28" s="16" customFormat="1" ht="18.75" x14ac:dyDescent="0.3">
      <c r="S3" s="13" t="s">
        <v>65</v>
      </c>
    </row>
    <row r="4" spans="1:28" s="16" customFormat="1" ht="18.75" customHeight="1" x14ac:dyDescent="0.2">
      <c r="A4" s="375" t="str">
        <f>'1. паспорт местоположение'!A5:C5</f>
        <v>Год раскрытия информации: 2021 год</v>
      </c>
      <c r="B4" s="375"/>
      <c r="C4" s="375"/>
      <c r="D4" s="375"/>
      <c r="E4" s="375"/>
      <c r="F4" s="375"/>
      <c r="G4" s="375"/>
      <c r="H4" s="375"/>
      <c r="I4" s="375"/>
      <c r="J4" s="375"/>
      <c r="K4" s="375"/>
      <c r="L4" s="375"/>
      <c r="M4" s="375"/>
      <c r="N4" s="375"/>
      <c r="O4" s="375"/>
      <c r="P4" s="375"/>
      <c r="Q4" s="375"/>
      <c r="R4" s="375"/>
      <c r="S4" s="375"/>
    </row>
    <row r="5" spans="1:28" s="16" customFormat="1" ht="15.75" x14ac:dyDescent="0.2">
      <c r="A5" s="135"/>
    </row>
    <row r="6" spans="1:28" s="16" customFormat="1" ht="18.75" x14ac:dyDescent="0.2">
      <c r="A6" s="387" t="s">
        <v>7</v>
      </c>
      <c r="B6" s="387"/>
      <c r="C6" s="387"/>
      <c r="D6" s="387"/>
      <c r="E6" s="387"/>
      <c r="F6" s="387"/>
      <c r="G6" s="387"/>
      <c r="H6" s="387"/>
      <c r="I6" s="387"/>
      <c r="J6" s="387"/>
      <c r="K6" s="387"/>
      <c r="L6" s="387"/>
      <c r="M6" s="387"/>
      <c r="N6" s="387"/>
      <c r="O6" s="387"/>
      <c r="P6" s="387"/>
      <c r="Q6" s="387"/>
      <c r="R6" s="387"/>
      <c r="S6" s="387"/>
      <c r="T6" s="138"/>
      <c r="U6" s="138"/>
      <c r="V6" s="138"/>
      <c r="W6" s="138"/>
      <c r="X6" s="138"/>
      <c r="Y6" s="138"/>
      <c r="Z6" s="138"/>
      <c r="AA6" s="138"/>
      <c r="AB6" s="138"/>
    </row>
    <row r="7" spans="1:28" s="16" customFormat="1" ht="18.75" x14ac:dyDescent="0.2">
      <c r="A7" s="387"/>
      <c r="B7" s="387"/>
      <c r="C7" s="387"/>
      <c r="D7" s="387"/>
      <c r="E7" s="387"/>
      <c r="F7" s="387"/>
      <c r="G7" s="387"/>
      <c r="H7" s="387"/>
      <c r="I7" s="387"/>
      <c r="J7" s="387"/>
      <c r="K7" s="387"/>
      <c r="L7" s="387"/>
      <c r="M7" s="387"/>
      <c r="N7" s="387"/>
      <c r="O7" s="387"/>
      <c r="P7" s="387"/>
      <c r="Q7" s="387"/>
      <c r="R7" s="387"/>
      <c r="S7" s="387"/>
      <c r="T7" s="138"/>
      <c r="U7" s="138"/>
      <c r="V7" s="138"/>
      <c r="W7" s="138"/>
      <c r="X7" s="138"/>
      <c r="Y7" s="138"/>
      <c r="Z7" s="138"/>
      <c r="AA7" s="138"/>
      <c r="AB7" s="138"/>
    </row>
    <row r="8" spans="1:28" s="16" customFormat="1" ht="18.75" x14ac:dyDescent="0.2">
      <c r="A8" s="382" t="str">
        <f>'1. паспорт местоположение'!A9:C9</f>
        <v xml:space="preserve">Акционерное общество "Западная энергетическая компания" </v>
      </c>
      <c r="B8" s="382"/>
      <c r="C8" s="382"/>
      <c r="D8" s="382"/>
      <c r="E8" s="382"/>
      <c r="F8" s="382"/>
      <c r="G8" s="382"/>
      <c r="H8" s="382"/>
      <c r="I8" s="382"/>
      <c r="J8" s="382"/>
      <c r="K8" s="382"/>
      <c r="L8" s="382"/>
      <c r="M8" s="382"/>
      <c r="N8" s="382"/>
      <c r="O8" s="382"/>
      <c r="P8" s="382"/>
      <c r="Q8" s="382"/>
      <c r="R8" s="382"/>
      <c r="S8" s="382"/>
      <c r="T8" s="138"/>
      <c r="U8" s="138"/>
      <c r="V8" s="138"/>
      <c r="W8" s="138"/>
      <c r="X8" s="138"/>
      <c r="Y8" s="138"/>
      <c r="Z8" s="138"/>
      <c r="AA8" s="138"/>
      <c r="AB8" s="138"/>
    </row>
    <row r="9" spans="1:28" s="16" customFormat="1" ht="18.75" x14ac:dyDescent="0.2">
      <c r="A9" s="383" t="s">
        <v>6</v>
      </c>
      <c r="B9" s="383"/>
      <c r="C9" s="383"/>
      <c r="D9" s="383"/>
      <c r="E9" s="383"/>
      <c r="F9" s="383"/>
      <c r="G9" s="383"/>
      <c r="H9" s="383"/>
      <c r="I9" s="383"/>
      <c r="J9" s="383"/>
      <c r="K9" s="383"/>
      <c r="L9" s="383"/>
      <c r="M9" s="383"/>
      <c r="N9" s="383"/>
      <c r="O9" s="383"/>
      <c r="P9" s="383"/>
      <c r="Q9" s="383"/>
      <c r="R9" s="383"/>
      <c r="S9" s="383"/>
      <c r="T9" s="138"/>
      <c r="U9" s="138"/>
      <c r="V9" s="138"/>
      <c r="W9" s="138"/>
      <c r="X9" s="138"/>
      <c r="Y9" s="138"/>
      <c r="Z9" s="138"/>
      <c r="AA9" s="138"/>
      <c r="AB9" s="138"/>
    </row>
    <row r="10" spans="1:28" s="16" customFormat="1" ht="18.75" x14ac:dyDescent="0.2">
      <c r="A10" s="387"/>
      <c r="B10" s="387"/>
      <c r="C10" s="387"/>
      <c r="D10" s="387"/>
      <c r="E10" s="387"/>
      <c r="F10" s="387"/>
      <c r="G10" s="387"/>
      <c r="H10" s="387"/>
      <c r="I10" s="387"/>
      <c r="J10" s="387"/>
      <c r="K10" s="387"/>
      <c r="L10" s="387"/>
      <c r="M10" s="387"/>
      <c r="N10" s="387"/>
      <c r="O10" s="387"/>
      <c r="P10" s="387"/>
      <c r="Q10" s="387"/>
      <c r="R10" s="387"/>
      <c r="S10" s="387"/>
      <c r="T10" s="138"/>
      <c r="U10" s="138"/>
      <c r="V10" s="138"/>
      <c r="W10" s="138"/>
      <c r="X10" s="138"/>
      <c r="Y10" s="138"/>
      <c r="Z10" s="138"/>
      <c r="AA10" s="138"/>
      <c r="AB10" s="138"/>
    </row>
    <row r="11" spans="1:28" s="16" customFormat="1" ht="18.75" x14ac:dyDescent="0.2">
      <c r="A11" s="382" t="str">
        <f>'1. паспорт местоположение'!A12:C12</f>
        <v>K-20-02</v>
      </c>
      <c r="B11" s="382"/>
      <c r="C11" s="382"/>
      <c r="D11" s="382"/>
      <c r="E11" s="382"/>
      <c r="F11" s="382"/>
      <c r="G11" s="382"/>
      <c r="H11" s="382"/>
      <c r="I11" s="382"/>
      <c r="J11" s="382"/>
      <c r="K11" s="382"/>
      <c r="L11" s="382"/>
      <c r="M11" s="382"/>
      <c r="N11" s="382"/>
      <c r="O11" s="382"/>
      <c r="P11" s="382"/>
      <c r="Q11" s="382"/>
      <c r="R11" s="382"/>
      <c r="S11" s="382"/>
      <c r="T11" s="138"/>
      <c r="U11" s="138"/>
      <c r="V11" s="138"/>
      <c r="W11" s="138"/>
      <c r="X11" s="138"/>
      <c r="Y11" s="138"/>
      <c r="Z11" s="138"/>
      <c r="AA11" s="138"/>
      <c r="AB11" s="138"/>
    </row>
    <row r="12" spans="1:28" s="16" customFormat="1" ht="18.75" x14ac:dyDescent="0.2">
      <c r="A12" s="383" t="s">
        <v>5</v>
      </c>
      <c r="B12" s="383"/>
      <c r="C12" s="383"/>
      <c r="D12" s="383"/>
      <c r="E12" s="383"/>
      <c r="F12" s="383"/>
      <c r="G12" s="383"/>
      <c r="H12" s="383"/>
      <c r="I12" s="383"/>
      <c r="J12" s="383"/>
      <c r="K12" s="383"/>
      <c r="L12" s="383"/>
      <c r="M12" s="383"/>
      <c r="N12" s="383"/>
      <c r="O12" s="383"/>
      <c r="P12" s="383"/>
      <c r="Q12" s="383"/>
      <c r="R12" s="383"/>
      <c r="S12" s="383"/>
      <c r="T12" s="138"/>
      <c r="U12" s="138"/>
      <c r="V12" s="138"/>
      <c r="W12" s="138"/>
      <c r="X12" s="138"/>
      <c r="Y12" s="138"/>
      <c r="Z12" s="138"/>
      <c r="AA12" s="138"/>
      <c r="AB12" s="138"/>
    </row>
    <row r="13" spans="1:28" s="136" customFormat="1" ht="15.75" customHeight="1" x14ac:dyDescent="0.2">
      <c r="A13" s="388"/>
      <c r="B13" s="388"/>
      <c r="C13" s="388"/>
      <c r="D13" s="388"/>
      <c r="E13" s="388"/>
      <c r="F13" s="388"/>
      <c r="G13" s="388"/>
      <c r="H13" s="388"/>
      <c r="I13" s="388"/>
      <c r="J13" s="388"/>
      <c r="K13" s="388"/>
      <c r="L13" s="388"/>
      <c r="M13" s="388"/>
      <c r="N13" s="388"/>
      <c r="O13" s="388"/>
      <c r="P13" s="388"/>
      <c r="Q13" s="388"/>
      <c r="R13" s="388"/>
      <c r="S13" s="388"/>
      <c r="T13" s="139"/>
      <c r="U13" s="139"/>
      <c r="V13" s="139"/>
      <c r="W13" s="139"/>
      <c r="X13" s="139"/>
      <c r="Y13" s="139"/>
      <c r="Z13" s="139"/>
      <c r="AA13" s="139"/>
      <c r="AB13" s="139"/>
    </row>
    <row r="14" spans="1:28" s="137" customFormat="1" ht="15.75" x14ac:dyDescent="0.2">
      <c r="A14" s="382" t="str">
        <f>'1. паспорт местоположение'!A15:C15</f>
        <v>Приобретение электросетевого комплекса ООО "Татэнерго"</v>
      </c>
      <c r="B14" s="382"/>
      <c r="C14" s="382"/>
      <c r="D14" s="382"/>
      <c r="E14" s="382"/>
      <c r="F14" s="382"/>
      <c r="G14" s="382"/>
      <c r="H14" s="382"/>
      <c r="I14" s="382"/>
      <c r="J14" s="382"/>
      <c r="K14" s="382"/>
      <c r="L14" s="382"/>
      <c r="M14" s="382"/>
      <c r="N14" s="382"/>
      <c r="O14" s="382"/>
      <c r="P14" s="382"/>
      <c r="Q14" s="382"/>
      <c r="R14" s="382"/>
      <c r="S14" s="382"/>
      <c r="T14" s="140"/>
      <c r="U14" s="140"/>
      <c r="V14" s="140"/>
      <c r="W14" s="140"/>
      <c r="X14" s="140"/>
      <c r="Y14" s="140"/>
      <c r="Z14" s="140"/>
      <c r="AA14" s="140"/>
      <c r="AB14" s="140"/>
    </row>
    <row r="15" spans="1:28" s="137" customFormat="1" ht="15" customHeight="1" x14ac:dyDescent="0.2">
      <c r="A15" s="383" t="s">
        <v>4</v>
      </c>
      <c r="B15" s="383"/>
      <c r="C15" s="383"/>
      <c r="D15" s="383"/>
      <c r="E15" s="383"/>
      <c r="F15" s="383"/>
      <c r="G15" s="383"/>
      <c r="H15" s="383"/>
      <c r="I15" s="383"/>
      <c r="J15" s="383"/>
      <c r="K15" s="383"/>
      <c r="L15" s="383"/>
      <c r="M15" s="383"/>
      <c r="N15" s="383"/>
      <c r="O15" s="383"/>
      <c r="P15" s="383"/>
      <c r="Q15" s="383"/>
      <c r="R15" s="383"/>
      <c r="S15" s="383"/>
      <c r="T15" s="141"/>
      <c r="U15" s="141"/>
      <c r="V15" s="141"/>
      <c r="W15" s="141"/>
      <c r="X15" s="141"/>
      <c r="Y15" s="141"/>
      <c r="Z15" s="141"/>
      <c r="AA15" s="141"/>
      <c r="AB15" s="141"/>
    </row>
    <row r="16" spans="1:28" s="137"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142"/>
      <c r="U16" s="142"/>
      <c r="V16" s="142"/>
      <c r="W16" s="142"/>
      <c r="X16" s="142"/>
      <c r="Y16" s="142"/>
    </row>
    <row r="17" spans="1:28" s="137" customFormat="1" ht="45.75" customHeight="1" x14ac:dyDescent="0.2">
      <c r="A17" s="385" t="s">
        <v>382</v>
      </c>
      <c r="B17" s="385"/>
      <c r="C17" s="385"/>
      <c r="D17" s="385"/>
      <c r="E17" s="385"/>
      <c r="F17" s="385"/>
      <c r="G17" s="385"/>
      <c r="H17" s="385"/>
      <c r="I17" s="385"/>
      <c r="J17" s="385"/>
      <c r="K17" s="385"/>
      <c r="L17" s="385"/>
      <c r="M17" s="385"/>
      <c r="N17" s="385"/>
      <c r="O17" s="385"/>
      <c r="P17" s="385"/>
      <c r="Q17" s="385"/>
      <c r="R17" s="385"/>
      <c r="S17" s="385"/>
      <c r="T17" s="143"/>
      <c r="U17" s="143"/>
      <c r="V17" s="143"/>
      <c r="W17" s="143"/>
      <c r="X17" s="143"/>
      <c r="Y17" s="143"/>
      <c r="Z17" s="143"/>
      <c r="AA17" s="143"/>
      <c r="AB17" s="143"/>
    </row>
    <row r="18" spans="1:28" s="137"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142"/>
      <c r="U18" s="142"/>
      <c r="V18" s="142"/>
      <c r="W18" s="142"/>
      <c r="X18" s="142"/>
      <c r="Y18" s="142"/>
    </row>
    <row r="19" spans="1:28" s="137" customFormat="1" ht="54" customHeight="1" x14ac:dyDescent="0.2">
      <c r="A19" s="389" t="s">
        <v>3</v>
      </c>
      <c r="B19" s="389" t="s">
        <v>94</v>
      </c>
      <c r="C19" s="390" t="s">
        <v>303</v>
      </c>
      <c r="D19" s="389" t="s">
        <v>302</v>
      </c>
      <c r="E19" s="389" t="s">
        <v>93</v>
      </c>
      <c r="F19" s="389" t="s">
        <v>92</v>
      </c>
      <c r="G19" s="389" t="s">
        <v>298</v>
      </c>
      <c r="H19" s="389" t="s">
        <v>91</v>
      </c>
      <c r="I19" s="389" t="s">
        <v>90</v>
      </c>
      <c r="J19" s="389" t="s">
        <v>89</v>
      </c>
      <c r="K19" s="389" t="s">
        <v>88</v>
      </c>
      <c r="L19" s="389" t="s">
        <v>87</v>
      </c>
      <c r="M19" s="389" t="s">
        <v>86</v>
      </c>
      <c r="N19" s="389" t="s">
        <v>85</v>
      </c>
      <c r="O19" s="389" t="s">
        <v>84</v>
      </c>
      <c r="P19" s="389" t="s">
        <v>83</v>
      </c>
      <c r="Q19" s="389" t="s">
        <v>301</v>
      </c>
      <c r="R19" s="389"/>
      <c r="S19" s="392" t="s">
        <v>376</v>
      </c>
      <c r="T19" s="142"/>
      <c r="U19" s="142"/>
      <c r="V19" s="142"/>
      <c r="W19" s="142"/>
      <c r="X19" s="142"/>
      <c r="Y19" s="142"/>
    </row>
    <row r="20" spans="1:28" s="137" customFormat="1" ht="180.75" customHeight="1" x14ac:dyDescent="0.2">
      <c r="A20" s="389"/>
      <c r="B20" s="389"/>
      <c r="C20" s="391"/>
      <c r="D20" s="389"/>
      <c r="E20" s="389"/>
      <c r="F20" s="389"/>
      <c r="G20" s="389"/>
      <c r="H20" s="389"/>
      <c r="I20" s="389"/>
      <c r="J20" s="389"/>
      <c r="K20" s="389"/>
      <c r="L20" s="389"/>
      <c r="M20" s="389"/>
      <c r="N20" s="389"/>
      <c r="O20" s="389"/>
      <c r="P20" s="389"/>
      <c r="Q20" s="144" t="s">
        <v>299</v>
      </c>
      <c r="R20" s="145" t="s">
        <v>300</v>
      </c>
      <c r="S20" s="392"/>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137" customFormat="1" ht="49.5" customHeight="1" x14ac:dyDescent="0.2">
      <c r="A22" s="227" t="s">
        <v>541</v>
      </c>
      <c r="B22" s="227" t="s">
        <v>541</v>
      </c>
      <c r="C22" s="227" t="s">
        <v>541</v>
      </c>
      <c r="D22" s="227" t="s">
        <v>541</v>
      </c>
      <c r="E22" s="227" t="s">
        <v>541</v>
      </c>
      <c r="F22" s="227" t="s">
        <v>541</v>
      </c>
      <c r="G22" s="227" t="s">
        <v>541</v>
      </c>
      <c r="H22" s="227" t="s">
        <v>541</v>
      </c>
      <c r="I22" s="227" t="s">
        <v>541</v>
      </c>
      <c r="J22" s="227" t="s">
        <v>541</v>
      </c>
      <c r="K22" s="227" t="s">
        <v>541</v>
      </c>
      <c r="L22" s="227" t="s">
        <v>541</v>
      </c>
      <c r="M22" s="227" t="s">
        <v>541</v>
      </c>
      <c r="N22" s="227" t="s">
        <v>541</v>
      </c>
      <c r="O22" s="227" t="s">
        <v>541</v>
      </c>
      <c r="P22" s="227" t="s">
        <v>541</v>
      </c>
      <c r="Q22" s="227" t="s">
        <v>541</v>
      </c>
      <c r="R22" s="227" t="s">
        <v>541</v>
      </c>
      <c r="S22" s="227" t="s">
        <v>541</v>
      </c>
      <c r="T22" s="146"/>
      <c r="U22" s="146"/>
      <c r="V22" s="146"/>
      <c r="W22" s="146"/>
      <c r="X22" s="146"/>
      <c r="Y22" s="146"/>
      <c r="Z22" s="147"/>
      <c r="AA22" s="147"/>
      <c r="AB22" s="147"/>
    </row>
    <row r="23" spans="1:28"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94"/>
  <sheetViews>
    <sheetView view="pageBreakPreview" topLeftCell="A48" zoomScale="80" zoomScaleNormal="60" zoomScaleSheetLayoutView="80" workbookViewId="0">
      <selection activeCell="K57" sqref="K57"/>
    </sheetView>
  </sheetViews>
  <sheetFormatPr defaultColWidth="10.7109375" defaultRowHeight="15.75" x14ac:dyDescent="0.25"/>
  <cols>
    <col min="1" max="1" width="9.5703125" style="33" customWidth="1"/>
    <col min="2" max="3" width="15.7109375" style="33" customWidth="1"/>
    <col min="4" max="4" width="26.140625" style="33" customWidth="1"/>
    <col min="5" max="5" width="11.140625" style="33" customWidth="1"/>
    <col min="6" max="6" width="22.28515625" style="33" customWidth="1"/>
    <col min="7" max="7" width="8.7109375" style="33" customWidth="1"/>
    <col min="8" max="8" width="19.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8" t="s">
        <v>66</v>
      </c>
    </row>
    <row r="3" spans="1:20" s="16" customFormat="1" ht="18.75" customHeight="1" x14ac:dyDescent="0.3">
      <c r="H3" s="134"/>
      <c r="T3" s="13" t="s">
        <v>8</v>
      </c>
    </row>
    <row r="4" spans="1:20" s="16" customFormat="1" ht="18.75" customHeight="1" x14ac:dyDescent="0.3">
      <c r="H4" s="134"/>
      <c r="T4" s="13" t="s">
        <v>65</v>
      </c>
    </row>
    <row r="5" spans="1:20" s="16" customFormat="1" ht="18.75" customHeight="1" x14ac:dyDescent="0.3">
      <c r="H5" s="134"/>
      <c r="T5" s="13"/>
    </row>
    <row r="6" spans="1:20" s="16" customFormat="1" x14ac:dyDescent="0.2">
      <c r="A6" s="375" t="str">
        <f>'1. паспорт местоположение'!A5:C5</f>
        <v>Год раскрытия информации: 2021 год</v>
      </c>
      <c r="B6" s="375"/>
      <c r="C6" s="375"/>
      <c r="D6" s="375"/>
      <c r="E6" s="375"/>
      <c r="F6" s="375"/>
      <c r="G6" s="375"/>
      <c r="H6" s="375"/>
      <c r="I6" s="375"/>
      <c r="J6" s="375"/>
      <c r="K6" s="375"/>
      <c r="L6" s="375"/>
      <c r="M6" s="375"/>
      <c r="N6" s="375"/>
      <c r="O6" s="375"/>
      <c r="P6" s="375"/>
      <c r="Q6" s="375"/>
      <c r="R6" s="375"/>
      <c r="S6" s="375"/>
      <c r="T6" s="375"/>
    </row>
    <row r="7" spans="1:20" s="16" customFormat="1" x14ac:dyDescent="0.2">
      <c r="A7" s="135"/>
      <c r="H7" s="134"/>
    </row>
    <row r="8" spans="1:20" s="16" customFormat="1" ht="18.75" x14ac:dyDescent="0.2">
      <c r="A8" s="387" t="s">
        <v>7</v>
      </c>
      <c r="B8" s="387"/>
      <c r="C8" s="387"/>
      <c r="D8" s="387"/>
      <c r="E8" s="387"/>
      <c r="F8" s="387"/>
      <c r="G8" s="387"/>
      <c r="H8" s="387"/>
      <c r="I8" s="387"/>
      <c r="J8" s="387"/>
      <c r="K8" s="387"/>
      <c r="L8" s="387"/>
      <c r="M8" s="387"/>
      <c r="N8" s="387"/>
      <c r="O8" s="387"/>
      <c r="P8" s="387"/>
      <c r="Q8" s="387"/>
      <c r="R8" s="387"/>
      <c r="S8" s="387"/>
      <c r="T8" s="387"/>
    </row>
    <row r="9" spans="1:20" s="16" customFormat="1" ht="18.75" x14ac:dyDescent="0.2">
      <c r="A9" s="387"/>
      <c r="B9" s="387"/>
      <c r="C9" s="387"/>
      <c r="D9" s="387"/>
      <c r="E9" s="387"/>
      <c r="F9" s="387"/>
      <c r="G9" s="387"/>
      <c r="H9" s="387"/>
      <c r="I9" s="387"/>
      <c r="J9" s="387"/>
      <c r="K9" s="387"/>
      <c r="L9" s="387"/>
      <c r="M9" s="387"/>
      <c r="N9" s="387"/>
      <c r="O9" s="387"/>
      <c r="P9" s="387"/>
      <c r="Q9" s="387"/>
      <c r="R9" s="387"/>
      <c r="S9" s="387"/>
      <c r="T9" s="387"/>
    </row>
    <row r="10" spans="1:20" s="16" customFormat="1" ht="18.75" customHeight="1" x14ac:dyDescent="0.2">
      <c r="A10" s="382" t="str">
        <f>'1. паспорт местоположение'!A9:C9</f>
        <v xml:space="preserve">Акционерное общество "Западная энергетическая компания" </v>
      </c>
      <c r="B10" s="382"/>
      <c r="C10" s="382"/>
      <c r="D10" s="382"/>
      <c r="E10" s="382"/>
      <c r="F10" s="382"/>
      <c r="G10" s="382"/>
      <c r="H10" s="382"/>
      <c r="I10" s="382"/>
      <c r="J10" s="382"/>
      <c r="K10" s="382"/>
      <c r="L10" s="382"/>
      <c r="M10" s="382"/>
      <c r="N10" s="382"/>
      <c r="O10" s="382"/>
      <c r="P10" s="382"/>
      <c r="Q10" s="382"/>
      <c r="R10" s="382"/>
      <c r="S10" s="382"/>
      <c r="T10" s="382"/>
    </row>
    <row r="11" spans="1:20" s="16" customFormat="1" ht="18.75" customHeight="1" x14ac:dyDescent="0.2">
      <c r="A11" s="383" t="s">
        <v>6</v>
      </c>
      <c r="B11" s="383"/>
      <c r="C11" s="383"/>
      <c r="D11" s="383"/>
      <c r="E11" s="383"/>
      <c r="F11" s="383"/>
      <c r="G11" s="383"/>
      <c r="H11" s="383"/>
      <c r="I11" s="383"/>
      <c r="J11" s="383"/>
      <c r="K11" s="383"/>
      <c r="L11" s="383"/>
      <c r="M11" s="383"/>
      <c r="N11" s="383"/>
      <c r="O11" s="383"/>
      <c r="P11" s="383"/>
      <c r="Q11" s="383"/>
      <c r="R11" s="383"/>
      <c r="S11" s="383"/>
      <c r="T11" s="383"/>
    </row>
    <row r="12" spans="1:20" s="16" customFormat="1" ht="18.75" x14ac:dyDescent="0.2">
      <c r="A12" s="387"/>
      <c r="B12" s="387"/>
      <c r="C12" s="387"/>
      <c r="D12" s="387"/>
      <c r="E12" s="387"/>
      <c r="F12" s="387"/>
      <c r="G12" s="387"/>
      <c r="H12" s="387"/>
      <c r="I12" s="387"/>
      <c r="J12" s="387"/>
      <c r="K12" s="387"/>
      <c r="L12" s="387"/>
      <c r="M12" s="387"/>
      <c r="N12" s="387"/>
      <c r="O12" s="387"/>
      <c r="P12" s="387"/>
      <c r="Q12" s="387"/>
      <c r="R12" s="387"/>
      <c r="S12" s="387"/>
      <c r="T12" s="387"/>
    </row>
    <row r="13" spans="1:20" s="16" customFormat="1" ht="18.75" customHeight="1" x14ac:dyDescent="0.2">
      <c r="A13" s="382" t="str">
        <f>'1. паспорт местоположение'!A12:C12</f>
        <v>K-20-02</v>
      </c>
      <c r="B13" s="382"/>
      <c r="C13" s="382"/>
      <c r="D13" s="382"/>
      <c r="E13" s="382"/>
      <c r="F13" s="382"/>
      <c r="G13" s="382"/>
      <c r="H13" s="382"/>
      <c r="I13" s="382"/>
      <c r="J13" s="382"/>
      <c r="K13" s="382"/>
      <c r="L13" s="382"/>
      <c r="M13" s="382"/>
      <c r="N13" s="382"/>
      <c r="O13" s="382"/>
      <c r="P13" s="382"/>
      <c r="Q13" s="382"/>
      <c r="R13" s="382"/>
      <c r="S13" s="382"/>
      <c r="T13" s="382"/>
    </row>
    <row r="14" spans="1:20" s="16" customFormat="1" ht="18.75" customHeight="1" x14ac:dyDescent="0.2">
      <c r="A14" s="383" t="s">
        <v>5</v>
      </c>
      <c r="B14" s="383"/>
      <c r="C14" s="383"/>
      <c r="D14" s="383"/>
      <c r="E14" s="383"/>
      <c r="F14" s="383"/>
      <c r="G14" s="383"/>
      <c r="H14" s="383"/>
      <c r="I14" s="383"/>
      <c r="J14" s="383"/>
      <c r="K14" s="383"/>
      <c r="L14" s="383"/>
      <c r="M14" s="383"/>
      <c r="N14" s="383"/>
      <c r="O14" s="383"/>
      <c r="P14" s="383"/>
      <c r="Q14" s="383"/>
      <c r="R14" s="383"/>
      <c r="S14" s="383"/>
      <c r="T14" s="383"/>
    </row>
    <row r="15" spans="1:20" s="136" customFormat="1" ht="15.75" customHeight="1" x14ac:dyDescent="0.2">
      <c r="A15" s="388"/>
      <c r="B15" s="388"/>
      <c r="C15" s="388"/>
      <c r="D15" s="388"/>
      <c r="E15" s="388"/>
      <c r="F15" s="388"/>
      <c r="G15" s="388"/>
      <c r="H15" s="388"/>
      <c r="I15" s="388"/>
      <c r="J15" s="388"/>
      <c r="K15" s="388"/>
      <c r="L15" s="388"/>
      <c r="M15" s="388"/>
      <c r="N15" s="388"/>
      <c r="O15" s="388"/>
      <c r="P15" s="388"/>
      <c r="Q15" s="388"/>
      <c r="R15" s="388"/>
      <c r="S15" s="388"/>
      <c r="T15" s="388"/>
    </row>
    <row r="16" spans="1:20" s="137" customFormat="1" x14ac:dyDescent="0.2">
      <c r="A16" s="382" t="str">
        <f>'1. паспорт местоположение'!A15:C15</f>
        <v>Приобретение электросетевого комплекса ООО "Татэнерго"</v>
      </c>
      <c r="B16" s="382"/>
      <c r="C16" s="382"/>
      <c r="D16" s="382"/>
      <c r="E16" s="382"/>
      <c r="F16" s="382"/>
      <c r="G16" s="382"/>
      <c r="H16" s="382"/>
      <c r="I16" s="382"/>
      <c r="J16" s="382"/>
      <c r="K16" s="382"/>
      <c r="L16" s="382"/>
      <c r="M16" s="382"/>
      <c r="N16" s="382"/>
      <c r="O16" s="382"/>
      <c r="P16" s="382"/>
      <c r="Q16" s="382"/>
      <c r="R16" s="382"/>
      <c r="S16" s="382"/>
      <c r="T16" s="382"/>
    </row>
    <row r="17" spans="1:20" s="137" customFormat="1" ht="15" customHeight="1" x14ac:dyDescent="0.2">
      <c r="A17" s="383" t="s">
        <v>4</v>
      </c>
      <c r="B17" s="383"/>
      <c r="C17" s="383"/>
      <c r="D17" s="383"/>
      <c r="E17" s="383"/>
      <c r="F17" s="383"/>
      <c r="G17" s="383"/>
      <c r="H17" s="383"/>
      <c r="I17" s="383"/>
      <c r="J17" s="383"/>
      <c r="K17" s="383"/>
      <c r="L17" s="383"/>
      <c r="M17" s="383"/>
      <c r="N17" s="383"/>
      <c r="O17" s="383"/>
      <c r="P17" s="383"/>
      <c r="Q17" s="383"/>
      <c r="R17" s="383"/>
      <c r="S17" s="383"/>
      <c r="T17" s="383"/>
    </row>
    <row r="18" spans="1:20" s="137"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20" s="137" customFormat="1" ht="15" customHeight="1" x14ac:dyDescent="0.2">
      <c r="A19" s="399" t="s">
        <v>387</v>
      </c>
      <c r="B19" s="399"/>
      <c r="C19" s="399"/>
      <c r="D19" s="399"/>
      <c r="E19" s="399"/>
      <c r="F19" s="399"/>
      <c r="G19" s="399"/>
      <c r="H19" s="399"/>
      <c r="I19" s="399"/>
      <c r="J19" s="399"/>
      <c r="K19" s="399"/>
      <c r="L19" s="399"/>
      <c r="M19" s="399"/>
      <c r="N19" s="399"/>
      <c r="O19" s="399"/>
      <c r="P19" s="399"/>
      <c r="Q19" s="399"/>
      <c r="R19" s="399"/>
      <c r="S19" s="399"/>
      <c r="T19" s="399"/>
    </row>
    <row r="20" spans="1:20" s="40" customFormat="1" ht="21" customHeight="1" x14ac:dyDescent="0.25">
      <c r="A20" s="400"/>
      <c r="B20" s="400"/>
      <c r="C20" s="400"/>
      <c r="D20" s="400"/>
      <c r="E20" s="400"/>
      <c r="F20" s="400"/>
      <c r="G20" s="400"/>
      <c r="H20" s="400"/>
      <c r="I20" s="400"/>
      <c r="J20" s="400"/>
      <c r="K20" s="400"/>
      <c r="L20" s="400"/>
      <c r="M20" s="400"/>
      <c r="N20" s="400"/>
      <c r="O20" s="400"/>
      <c r="P20" s="400"/>
      <c r="Q20" s="400"/>
      <c r="R20" s="400"/>
      <c r="S20" s="400"/>
      <c r="T20" s="400"/>
    </row>
    <row r="21" spans="1:20" ht="46.5" customHeight="1" x14ac:dyDescent="0.25">
      <c r="A21" s="401" t="s">
        <v>3</v>
      </c>
      <c r="B21" s="404" t="s">
        <v>200</v>
      </c>
      <c r="C21" s="405"/>
      <c r="D21" s="408" t="s">
        <v>116</v>
      </c>
      <c r="E21" s="404" t="s">
        <v>415</v>
      </c>
      <c r="F21" s="405"/>
      <c r="G21" s="404" t="s">
        <v>239</v>
      </c>
      <c r="H21" s="405"/>
      <c r="I21" s="404" t="s">
        <v>115</v>
      </c>
      <c r="J21" s="405"/>
      <c r="K21" s="408" t="s">
        <v>114</v>
      </c>
      <c r="L21" s="404" t="s">
        <v>113</v>
      </c>
      <c r="M21" s="405"/>
      <c r="N21" s="404" t="s">
        <v>445</v>
      </c>
      <c r="O21" s="405"/>
      <c r="P21" s="408" t="s">
        <v>112</v>
      </c>
      <c r="Q21" s="396" t="s">
        <v>111</v>
      </c>
      <c r="R21" s="397"/>
      <c r="S21" s="396" t="s">
        <v>110</v>
      </c>
      <c r="T21" s="398"/>
    </row>
    <row r="22" spans="1:20" ht="204.75" customHeight="1" x14ac:dyDescent="0.25">
      <c r="A22" s="402"/>
      <c r="B22" s="406"/>
      <c r="C22" s="407"/>
      <c r="D22" s="411"/>
      <c r="E22" s="406"/>
      <c r="F22" s="407"/>
      <c r="G22" s="406"/>
      <c r="H22" s="407"/>
      <c r="I22" s="406"/>
      <c r="J22" s="407"/>
      <c r="K22" s="409"/>
      <c r="L22" s="406"/>
      <c r="M22" s="407"/>
      <c r="N22" s="406"/>
      <c r="O22" s="407"/>
      <c r="P22" s="409"/>
      <c r="Q22" s="71" t="s">
        <v>109</v>
      </c>
      <c r="R22" s="71" t="s">
        <v>386</v>
      </c>
      <c r="S22" s="71" t="s">
        <v>108</v>
      </c>
      <c r="T22" s="71" t="s">
        <v>107</v>
      </c>
    </row>
    <row r="23" spans="1:20" ht="51.75" customHeight="1" x14ac:dyDescent="0.25">
      <c r="A23" s="403"/>
      <c r="B23" s="103" t="s">
        <v>105</v>
      </c>
      <c r="C23" s="103" t="s">
        <v>106</v>
      </c>
      <c r="D23" s="409"/>
      <c r="E23" s="103" t="s">
        <v>105</v>
      </c>
      <c r="F23" s="103" t="s">
        <v>106</v>
      </c>
      <c r="G23" s="103" t="s">
        <v>105</v>
      </c>
      <c r="H23" s="103" t="s">
        <v>106</v>
      </c>
      <c r="I23" s="103" t="s">
        <v>105</v>
      </c>
      <c r="J23" s="103" t="s">
        <v>106</v>
      </c>
      <c r="K23" s="103" t="s">
        <v>105</v>
      </c>
      <c r="L23" s="103" t="s">
        <v>105</v>
      </c>
      <c r="M23" s="103" t="s">
        <v>106</v>
      </c>
      <c r="N23" s="103" t="s">
        <v>105</v>
      </c>
      <c r="O23" s="103" t="s">
        <v>106</v>
      </c>
      <c r="P23" s="131" t="s">
        <v>105</v>
      </c>
      <c r="Q23" s="71" t="s">
        <v>105</v>
      </c>
      <c r="R23" s="71" t="s">
        <v>105</v>
      </c>
      <c r="S23" s="71" t="s">
        <v>105</v>
      </c>
      <c r="T23" s="71" t="s">
        <v>105</v>
      </c>
    </row>
    <row r="24" spans="1:20"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20" s="40" customFormat="1" ht="31.5" customHeight="1" x14ac:dyDescent="0.25">
      <c r="A25" s="393">
        <v>1</v>
      </c>
      <c r="B25" s="393" t="s">
        <v>297</v>
      </c>
      <c r="C25" s="393" t="s">
        <v>644</v>
      </c>
      <c r="D25" s="112" t="s">
        <v>439</v>
      </c>
      <c r="E25" s="112" t="s">
        <v>297</v>
      </c>
      <c r="F25" s="112" t="s">
        <v>551</v>
      </c>
      <c r="G25" s="112" t="s">
        <v>297</v>
      </c>
      <c r="H25" s="112" t="s">
        <v>552</v>
      </c>
      <c r="I25" s="230" t="s">
        <v>297</v>
      </c>
      <c r="J25" s="113" t="s">
        <v>578</v>
      </c>
      <c r="K25" s="112">
        <v>2006</v>
      </c>
      <c r="L25" s="112" t="s">
        <v>297</v>
      </c>
      <c r="M25" s="112">
        <v>110</v>
      </c>
      <c r="N25" s="112" t="s">
        <v>297</v>
      </c>
      <c r="O25" s="112">
        <v>32</v>
      </c>
      <c r="P25" s="112" t="s">
        <v>297</v>
      </c>
      <c r="Q25" s="112" t="s">
        <v>297</v>
      </c>
      <c r="R25" s="112" t="s">
        <v>297</v>
      </c>
      <c r="S25" s="112" t="s">
        <v>297</v>
      </c>
      <c r="T25" s="112" t="s">
        <v>297</v>
      </c>
    </row>
    <row r="26" spans="1:20" s="40" customFormat="1" ht="63" x14ac:dyDescent="0.25">
      <c r="A26" s="394"/>
      <c r="B26" s="394"/>
      <c r="C26" s="394"/>
      <c r="D26" s="112" t="s">
        <v>385</v>
      </c>
      <c r="E26" s="112" t="s">
        <v>297</v>
      </c>
      <c r="F26" s="112" t="s">
        <v>628</v>
      </c>
      <c r="G26" s="112" t="s">
        <v>297</v>
      </c>
      <c r="H26" s="112" t="s">
        <v>553</v>
      </c>
      <c r="I26" s="230" t="s">
        <v>297</v>
      </c>
      <c r="J26" s="113" t="s">
        <v>629</v>
      </c>
      <c r="K26" s="112">
        <v>2005</v>
      </c>
      <c r="L26" s="112" t="s">
        <v>297</v>
      </c>
      <c r="M26" s="112">
        <v>110</v>
      </c>
      <c r="N26" s="112" t="s">
        <v>297</v>
      </c>
      <c r="O26" s="112" t="s">
        <v>297</v>
      </c>
      <c r="P26" s="112" t="s">
        <v>297</v>
      </c>
      <c r="Q26" s="112" t="s">
        <v>297</v>
      </c>
      <c r="R26" s="112" t="s">
        <v>297</v>
      </c>
      <c r="S26" s="112" t="s">
        <v>297</v>
      </c>
      <c r="T26" s="112" t="s">
        <v>297</v>
      </c>
    </row>
    <row r="27" spans="1:20" s="40" customFormat="1" ht="31.5" x14ac:dyDescent="0.25">
      <c r="A27" s="394"/>
      <c r="B27" s="394"/>
      <c r="C27" s="394"/>
      <c r="D27" s="112" t="s">
        <v>634</v>
      </c>
      <c r="E27" s="112"/>
      <c r="F27" s="112" t="s">
        <v>637</v>
      </c>
      <c r="G27" s="112"/>
      <c r="H27" s="112" t="s">
        <v>635</v>
      </c>
      <c r="I27" s="230" t="s">
        <v>297</v>
      </c>
      <c r="J27" s="113" t="s">
        <v>578</v>
      </c>
      <c r="K27" s="112">
        <v>2006</v>
      </c>
      <c r="L27" s="112" t="s">
        <v>297</v>
      </c>
      <c r="M27" s="112">
        <v>10</v>
      </c>
      <c r="N27" s="112"/>
      <c r="O27" s="112">
        <f>0.63*2</f>
        <v>1.26</v>
      </c>
      <c r="P27" s="112" t="s">
        <v>297</v>
      </c>
      <c r="Q27" s="112" t="s">
        <v>297</v>
      </c>
      <c r="R27" s="112" t="s">
        <v>297</v>
      </c>
      <c r="S27" s="112" t="s">
        <v>297</v>
      </c>
      <c r="T27" s="112" t="s">
        <v>297</v>
      </c>
    </row>
    <row r="28" spans="1:20" s="40" customFormat="1" ht="26.25" customHeight="1" x14ac:dyDescent="0.25">
      <c r="A28" s="394"/>
      <c r="B28" s="394"/>
      <c r="C28" s="394"/>
      <c r="D28" s="112" t="s">
        <v>582</v>
      </c>
      <c r="E28" s="112" t="s">
        <v>297</v>
      </c>
      <c r="F28" s="112" t="s">
        <v>636</v>
      </c>
      <c r="G28" s="112" t="s">
        <v>297</v>
      </c>
      <c r="H28" s="112" t="s">
        <v>554</v>
      </c>
      <c r="I28" s="230" t="s">
        <v>297</v>
      </c>
      <c r="J28" s="113" t="s">
        <v>578</v>
      </c>
      <c r="K28" s="112">
        <v>2006</v>
      </c>
      <c r="L28" s="112" t="s">
        <v>297</v>
      </c>
      <c r="M28" s="112">
        <v>10</v>
      </c>
      <c r="N28" s="112" t="s">
        <v>297</v>
      </c>
      <c r="O28" s="112">
        <f>0.48*2</f>
        <v>0.96</v>
      </c>
      <c r="P28" s="112" t="s">
        <v>297</v>
      </c>
      <c r="Q28" s="112" t="s">
        <v>297</v>
      </c>
      <c r="R28" s="112" t="s">
        <v>297</v>
      </c>
      <c r="S28" s="112" t="s">
        <v>297</v>
      </c>
      <c r="T28" s="112" t="s">
        <v>297</v>
      </c>
    </row>
    <row r="29" spans="1:20" s="40" customFormat="1" ht="31.5" x14ac:dyDescent="0.25">
      <c r="A29" s="394"/>
      <c r="B29" s="394"/>
      <c r="C29" s="394"/>
      <c r="D29" s="112" t="s">
        <v>640</v>
      </c>
      <c r="E29" s="112" t="s">
        <v>297</v>
      </c>
      <c r="F29" s="112" t="s">
        <v>639</v>
      </c>
      <c r="G29" s="112" t="s">
        <v>297</v>
      </c>
      <c r="H29" s="112" t="s">
        <v>555</v>
      </c>
      <c r="I29" s="230" t="s">
        <v>297</v>
      </c>
      <c r="J29" s="113" t="s">
        <v>578</v>
      </c>
      <c r="K29" s="112">
        <v>2006</v>
      </c>
      <c r="L29" s="112"/>
      <c r="M29" s="112">
        <v>10</v>
      </c>
      <c r="N29" s="112"/>
      <c r="O29" s="112">
        <v>0.2</v>
      </c>
      <c r="P29" s="112" t="s">
        <v>297</v>
      </c>
      <c r="Q29" s="112" t="s">
        <v>297</v>
      </c>
      <c r="R29" s="112" t="s">
        <v>297</v>
      </c>
      <c r="S29" s="112" t="s">
        <v>297</v>
      </c>
      <c r="T29" s="112" t="s">
        <v>297</v>
      </c>
    </row>
    <row r="30" spans="1:20" s="40" customFormat="1" ht="47.25" x14ac:dyDescent="0.25">
      <c r="A30" s="394"/>
      <c r="B30" s="394"/>
      <c r="C30" s="394"/>
      <c r="D30" s="393" t="s">
        <v>630</v>
      </c>
      <c r="E30" s="112" t="s">
        <v>297</v>
      </c>
      <c r="F30" s="112" t="s">
        <v>631</v>
      </c>
      <c r="G30" s="112" t="s">
        <v>297</v>
      </c>
      <c r="H30" s="112" t="s">
        <v>632</v>
      </c>
      <c r="I30" s="230" t="s">
        <v>297</v>
      </c>
      <c r="J30" s="113" t="s">
        <v>578</v>
      </c>
      <c r="K30" s="112">
        <v>2006</v>
      </c>
      <c r="L30" s="112" t="s">
        <v>297</v>
      </c>
      <c r="M30" s="112">
        <v>10</v>
      </c>
      <c r="N30" s="112" t="s">
        <v>297</v>
      </c>
      <c r="O30" s="112" t="s">
        <v>297</v>
      </c>
      <c r="P30" s="112" t="s">
        <v>297</v>
      </c>
      <c r="Q30" s="112" t="s">
        <v>297</v>
      </c>
      <c r="R30" s="112" t="s">
        <v>297</v>
      </c>
      <c r="S30" s="112" t="s">
        <v>297</v>
      </c>
      <c r="T30" s="112" t="s">
        <v>297</v>
      </c>
    </row>
    <row r="31" spans="1:20" s="40" customFormat="1" ht="47.25" x14ac:dyDescent="0.25">
      <c r="A31" s="395"/>
      <c r="B31" s="395"/>
      <c r="C31" s="395"/>
      <c r="D31" s="395"/>
      <c r="E31" s="112" t="s">
        <v>297</v>
      </c>
      <c r="F31" s="112" t="s">
        <v>633</v>
      </c>
      <c r="G31" s="112"/>
      <c r="H31" s="112" t="s">
        <v>638</v>
      </c>
      <c r="I31" s="230" t="s">
        <v>297</v>
      </c>
      <c r="J31" s="113" t="s">
        <v>578</v>
      </c>
      <c r="K31" s="112">
        <v>2006</v>
      </c>
      <c r="L31" s="112" t="s">
        <v>297</v>
      </c>
      <c r="M31" s="112">
        <v>10</v>
      </c>
      <c r="N31" s="112" t="s">
        <v>297</v>
      </c>
      <c r="O31" s="112" t="s">
        <v>297</v>
      </c>
      <c r="P31" s="112" t="s">
        <v>297</v>
      </c>
      <c r="Q31" s="112" t="s">
        <v>297</v>
      </c>
      <c r="R31" s="112" t="s">
        <v>297</v>
      </c>
      <c r="S31" s="112" t="s">
        <v>297</v>
      </c>
      <c r="T31" s="112" t="s">
        <v>297</v>
      </c>
    </row>
    <row r="32" spans="1:20" s="40" customFormat="1" ht="68.25" customHeight="1" x14ac:dyDescent="0.25">
      <c r="A32" s="393">
        <v>2</v>
      </c>
      <c r="B32" s="393"/>
      <c r="C32" s="393" t="s">
        <v>621</v>
      </c>
      <c r="D32" s="112" t="s">
        <v>584</v>
      </c>
      <c r="E32" s="112"/>
      <c r="F32" s="112" t="s">
        <v>585</v>
      </c>
      <c r="G32" s="230" t="s">
        <v>297</v>
      </c>
      <c r="H32" s="112"/>
      <c r="I32" s="230" t="s">
        <v>297</v>
      </c>
      <c r="J32" s="113" t="s">
        <v>583</v>
      </c>
      <c r="K32" s="112">
        <v>2007</v>
      </c>
      <c r="L32" s="112" t="s">
        <v>297</v>
      </c>
      <c r="M32" s="112">
        <v>10</v>
      </c>
      <c r="N32" s="112" t="s">
        <v>297</v>
      </c>
      <c r="O32" s="112" t="s">
        <v>297</v>
      </c>
      <c r="P32" s="112" t="s">
        <v>297</v>
      </c>
      <c r="Q32" s="112" t="s">
        <v>297</v>
      </c>
      <c r="R32" s="112" t="s">
        <v>297</v>
      </c>
      <c r="S32" s="112" t="s">
        <v>297</v>
      </c>
      <c r="T32" s="112" t="s">
        <v>297</v>
      </c>
    </row>
    <row r="33" spans="1:20" s="40" customFormat="1" ht="67.5" customHeight="1" x14ac:dyDescent="0.25">
      <c r="A33" s="394"/>
      <c r="B33" s="394"/>
      <c r="C33" s="394"/>
      <c r="D33" s="112" t="s">
        <v>586</v>
      </c>
      <c r="E33" s="112"/>
      <c r="F33" s="112" t="s">
        <v>587</v>
      </c>
      <c r="G33" s="230" t="s">
        <v>297</v>
      </c>
      <c r="H33" s="112" t="s">
        <v>594</v>
      </c>
      <c r="I33" s="230" t="s">
        <v>297</v>
      </c>
      <c r="J33" s="113" t="s">
        <v>583</v>
      </c>
      <c r="K33" s="112">
        <v>2007</v>
      </c>
      <c r="L33" s="112"/>
      <c r="M33" s="112">
        <v>10</v>
      </c>
      <c r="N33" s="112" t="s">
        <v>297</v>
      </c>
      <c r="O33" s="112" t="s">
        <v>297</v>
      </c>
      <c r="P33" s="112" t="s">
        <v>297</v>
      </c>
      <c r="Q33" s="112" t="s">
        <v>297</v>
      </c>
      <c r="R33" s="112" t="s">
        <v>297</v>
      </c>
      <c r="S33" s="112" t="s">
        <v>297</v>
      </c>
      <c r="T33" s="112" t="s">
        <v>297</v>
      </c>
    </row>
    <row r="34" spans="1:20" s="40" customFormat="1" ht="50.25" customHeight="1" x14ac:dyDescent="0.25">
      <c r="A34" s="394"/>
      <c r="B34" s="394"/>
      <c r="C34" s="394"/>
      <c r="D34" s="112" t="s">
        <v>589</v>
      </c>
      <c r="E34" s="112"/>
      <c r="F34" s="112" t="s">
        <v>588</v>
      </c>
      <c r="G34" s="230" t="s">
        <v>297</v>
      </c>
      <c r="H34" s="112"/>
      <c r="I34" s="230" t="s">
        <v>297</v>
      </c>
      <c r="J34" s="112">
        <v>2007</v>
      </c>
      <c r="K34" s="112">
        <v>2007</v>
      </c>
      <c r="L34" s="112"/>
      <c r="M34" s="112"/>
      <c r="N34" s="112" t="s">
        <v>297</v>
      </c>
      <c r="O34" s="112" t="s">
        <v>297</v>
      </c>
      <c r="P34" s="112" t="s">
        <v>297</v>
      </c>
      <c r="Q34" s="112" t="s">
        <v>297</v>
      </c>
      <c r="R34" s="112" t="s">
        <v>297</v>
      </c>
      <c r="S34" s="112" t="s">
        <v>297</v>
      </c>
      <c r="T34" s="112" t="s">
        <v>297</v>
      </c>
    </row>
    <row r="35" spans="1:20" s="40" customFormat="1" ht="50.25" customHeight="1" x14ac:dyDescent="0.25">
      <c r="A35" s="395"/>
      <c r="B35" s="395"/>
      <c r="C35" s="395"/>
      <c r="D35" s="112" t="s">
        <v>579</v>
      </c>
      <c r="E35" s="112"/>
      <c r="F35" s="112" t="s">
        <v>580</v>
      </c>
      <c r="G35" s="230" t="s">
        <v>297</v>
      </c>
      <c r="H35" s="112" t="s">
        <v>581</v>
      </c>
      <c r="I35" s="230" t="s">
        <v>297</v>
      </c>
      <c r="J35" s="113" t="s">
        <v>583</v>
      </c>
      <c r="K35" s="112">
        <v>2007</v>
      </c>
      <c r="L35" s="112" t="s">
        <v>297</v>
      </c>
      <c r="M35" s="112">
        <v>10</v>
      </c>
      <c r="N35" s="112" t="s">
        <v>297</v>
      </c>
      <c r="O35" s="112">
        <f>0.63*2</f>
        <v>1.26</v>
      </c>
      <c r="P35" s="112" t="s">
        <v>297</v>
      </c>
      <c r="Q35" s="112" t="s">
        <v>297</v>
      </c>
      <c r="R35" s="112" t="s">
        <v>297</v>
      </c>
      <c r="S35" s="112" t="s">
        <v>297</v>
      </c>
      <c r="T35" s="112" t="s">
        <v>297</v>
      </c>
    </row>
    <row r="36" spans="1:20" s="40" customFormat="1" ht="63" x14ac:dyDescent="0.25">
      <c r="A36" s="393">
        <v>3</v>
      </c>
      <c r="B36" s="393"/>
      <c r="C36" s="393" t="s">
        <v>622</v>
      </c>
      <c r="D36" s="112" t="s">
        <v>584</v>
      </c>
      <c r="E36" s="112"/>
      <c r="F36" s="112" t="s">
        <v>590</v>
      </c>
      <c r="G36" s="230" t="s">
        <v>297</v>
      </c>
      <c r="H36" s="112"/>
      <c r="I36" s="230" t="s">
        <v>297</v>
      </c>
      <c r="J36" s="113" t="s">
        <v>583</v>
      </c>
      <c r="K36" s="112">
        <v>2007</v>
      </c>
      <c r="L36" s="112" t="s">
        <v>297</v>
      </c>
      <c r="M36" s="112">
        <v>10</v>
      </c>
      <c r="N36" s="112" t="s">
        <v>297</v>
      </c>
      <c r="O36" s="112" t="s">
        <v>297</v>
      </c>
      <c r="P36" s="112" t="s">
        <v>297</v>
      </c>
      <c r="Q36" s="112" t="s">
        <v>297</v>
      </c>
      <c r="R36" s="112" t="s">
        <v>297</v>
      </c>
      <c r="S36" s="112" t="s">
        <v>297</v>
      </c>
      <c r="T36" s="112" t="s">
        <v>297</v>
      </c>
    </row>
    <row r="37" spans="1:20" s="40" customFormat="1" ht="110.25" x14ac:dyDescent="0.25">
      <c r="A37" s="394"/>
      <c r="B37" s="394"/>
      <c r="C37" s="394"/>
      <c r="D37" s="112" t="s">
        <v>586</v>
      </c>
      <c r="E37" s="112"/>
      <c r="F37" s="112" t="s">
        <v>587</v>
      </c>
      <c r="G37" s="230" t="s">
        <v>297</v>
      </c>
      <c r="H37" s="112" t="s">
        <v>598</v>
      </c>
      <c r="I37" s="230" t="s">
        <v>297</v>
      </c>
      <c r="J37" s="113" t="s">
        <v>583</v>
      </c>
      <c r="K37" s="112">
        <v>2007</v>
      </c>
      <c r="L37" s="112" t="s">
        <v>297</v>
      </c>
      <c r="M37" s="112">
        <v>10</v>
      </c>
      <c r="N37" s="112" t="s">
        <v>297</v>
      </c>
      <c r="O37" s="112" t="s">
        <v>297</v>
      </c>
      <c r="P37" s="112" t="s">
        <v>297</v>
      </c>
      <c r="Q37" s="112" t="s">
        <v>297</v>
      </c>
      <c r="R37" s="112" t="s">
        <v>297</v>
      </c>
      <c r="S37" s="112" t="s">
        <v>297</v>
      </c>
      <c r="T37" s="112" t="s">
        <v>297</v>
      </c>
    </row>
    <row r="38" spans="1:20" s="40" customFormat="1" ht="31.5" x14ac:dyDescent="0.25">
      <c r="A38" s="394"/>
      <c r="B38" s="394"/>
      <c r="C38" s="394"/>
      <c r="D38" s="112" t="s">
        <v>589</v>
      </c>
      <c r="E38" s="112"/>
      <c r="F38" s="112" t="s">
        <v>588</v>
      </c>
      <c r="G38" s="230" t="s">
        <v>297</v>
      </c>
      <c r="H38" s="112"/>
      <c r="I38" s="230" t="s">
        <v>297</v>
      </c>
      <c r="J38" s="113" t="s">
        <v>583</v>
      </c>
      <c r="K38" s="112">
        <v>2007</v>
      </c>
      <c r="L38" s="112" t="s">
        <v>297</v>
      </c>
      <c r="M38" s="112">
        <v>0.4</v>
      </c>
      <c r="N38" s="112" t="s">
        <v>297</v>
      </c>
      <c r="O38" s="112" t="s">
        <v>297</v>
      </c>
      <c r="P38" s="112" t="s">
        <v>297</v>
      </c>
      <c r="Q38" s="112" t="s">
        <v>297</v>
      </c>
      <c r="R38" s="112" t="s">
        <v>297</v>
      </c>
      <c r="S38" s="112" t="s">
        <v>297</v>
      </c>
      <c r="T38" s="112" t="s">
        <v>297</v>
      </c>
    </row>
    <row r="39" spans="1:20" s="40" customFormat="1" ht="31.5" x14ac:dyDescent="0.25">
      <c r="A39" s="395"/>
      <c r="B39" s="395"/>
      <c r="C39" s="395"/>
      <c r="D39" s="112" t="s">
        <v>579</v>
      </c>
      <c r="E39" s="112"/>
      <c r="F39" s="112" t="s">
        <v>580</v>
      </c>
      <c r="G39" s="230" t="s">
        <v>297</v>
      </c>
      <c r="H39" s="112" t="s">
        <v>581</v>
      </c>
      <c r="I39" s="230" t="s">
        <v>297</v>
      </c>
      <c r="J39" s="113" t="s">
        <v>583</v>
      </c>
      <c r="K39" s="112">
        <v>2007</v>
      </c>
      <c r="L39" s="112" t="s">
        <v>297</v>
      </c>
      <c r="M39" s="112">
        <v>10</v>
      </c>
      <c r="N39" s="112" t="s">
        <v>297</v>
      </c>
      <c r="O39" s="112">
        <f>1.6*2</f>
        <v>3.2</v>
      </c>
      <c r="P39" s="112" t="s">
        <v>297</v>
      </c>
      <c r="Q39" s="112" t="s">
        <v>297</v>
      </c>
      <c r="R39" s="112" t="s">
        <v>297</v>
      </c>
      <c r="S39" s="112" t="s">
        <v>297</v>
      </c>
      <c r="T39" s="112" t="s">
        <v>297</v>
      </c>
    </row>
    <row r="40" spans="1:20" s="40" customFormat="1" ht="63" x14ac:dyDescent="0.25">
      <c r="A40" s="393">
        <v>4</v>
      </c>
      <c r="B40" s="393"/>
      <c r="C40" s="393" t="s">
        <v>623</v>
      </c>
      <c r="D40" s="112" t="s">
        <v>584</v>
      </c>
      <c r="E40" s="112"/>
      <c r="F40" s="112" t="s">
        <v>591</v>
      </c>
      <c r="G40" s="230" t="s">
        <v>297</v>
      </c>
      <c r="H40" s="112"/>
      <c r="I40" s="230" t="s">
        <v>297</v>
      </c>
      <c r="J40" s="113" t="s">
        <v>583</v>
      </c>
      <c r="K40" s="112">
        <v>2007</v>
      </c>
      <c r="L40" s="112" t="s">
        <v>297</v>
      </c>
      <c r="M40" s="112">
        <v>10</v>
      </c>
      <c r="N40" s="112" t="s">
        <v>297</v>
      </c>
      <c r="O40" s="112" t="s">
        <v>297</v>
      </c>
      <c r="P40" s="112" t="s">
        <v>297</v>
      </c>
      <c r="Q40" s="112" t="s">
        <v>297</v>
      </c>
      <c r="R40" s="112" t="s">
        <v>297</v>
      </c>
      <c r="S40" s="112" t="s">
        <v>297</v>
      </c>
      <c r="T40" s="112" t="s">
        <v>297</v>
      </c>
    </row>
    <row r="41" spans="1:20" s="40" customFormat="1" ht="126" x14ac:dyDescent="0.25">
      <c r="A41" s="394"/>
      <c r="B41" s="394"/>
      <c r="C41" s="394"/>
      <c r="D41" s="112" t="s">
        <v>586</v>
      </c>
      <c r="E41" s="112"/>
      <c r="F41" s="112" t="s">
        <v>592</v>
      </c>
      <c r="G41" s="230" t="s">
        <v>297</v>
      </c>
      <c r="H41" s="112" t="s">
        <v>597</v>
      </c>
      <c r="I41" s="230" t="s">
        <v>297</v>
      </c>
      <c r="J41" s="113" t="s">
        <v>583</v>
      </c>
      <c r="K41" s="112">
        <v>2007</v>
      </c>
      <c r="L41" s="112" t="s">
        <v>297</v>
      </c>
      <c r="M41" s="112">
        <v>10</v>
      </c>
      <c r="N41" s="112" t="s">
        <v>297</v>
      </c>
      <c r="O41" s="112" t="s">
        <v>297</v>
      </c>
      <c r="P41" s="112" t="s">
        <v>297</v>
      </c>
      <c r="Q41" s="112" t="s">
        <v>297</v>
      </c>
      <c r="R41" s="112" t="s">
        <v>297</v>
      </c>
      <c r="S41" s="112" t="s">
        <v>297</v>
      </c>
      <c r="T41" s="112" t="s">
        <v>297</v>
      </c>
    </row>
    <row r="42" spans="1:20" s="40" customFormat="1" ht="31.5" x14ac:dyDescent="0.25">
      <c r="A42" s="394"/>
      <c r="B42" s="394"/>
      <c r="C42" s="394"/>
      <c r="D42" s="112" t="s">
        <v>589</v>
      </c>
      <c r="E42" s="112"/>
      <c r="F42" s="112" t="s">
        <v>588</v>
      </c>
      <c r="G42" s="230" t="s">
        <v>297</v>
      </c>
      <c r="H42" s="112" t="s">
        <v>593</v>
      </c>
      <c r="I42" s="230" t="s">
        <v>297</v>
      </c>
      <c r="J42" s="113" t="s">
        <v>583</v>
      </c>
      <c r="K42" s="112">
        <v>2007</v>
      </c>
      <c r="L42" s="112" t="s">
        <v>297</v>
      </c>
      <c r="M42" s="112">
        <v>0.4</v>
      </c>
      <c r="N42" s="112" t="s">
        <v>297</v>
      </c>
      <c r="O42" s="112" t="s">
        <v>297</v>
      </c>
      <c r="P42" s="112" t="s">
        <v>297</v>
      </c>
      <c r="Q42" s="112" t="s">
        <v>297</v>
      </c>
      <c r="R42" s="112" t="s">
        <v>297</v>
      </c>
      <c r="S42" s="112" t="s">
        <v>297</v>
      </c>
      <c r="T42" s="112" t="s">
        <v>297</v>
      </c>
    </row>
    <row r="43" spans="1:20" s="40" customFormat="1" ht="31.5" x14ac:dyDescent="0.25">
      <c r="A43" s="395"/>
      <c r="B43" s="395"/>
      <c r="C43" s="395"/>
      <c r="D43" s="112" t="s">
        <v>579</v>
      </c>
      <c r="E43" s="112"/>
      <c r="F43" s="112" t="s">
        <v>580</v>
      </c>
      <c r="G43" s="230" t="s">
        <v>297</v>
      </c>
      <c r="H43" s="112" t="s">
        <v>581</v>
      </c>
      <c r="I43" s="230" t="s">
        <v>297</v>
      </c>
      <c r="J43" s="113" t="s">
        <v>583</v>
      </c>
      <c r="K43" s="112">
        <v>2007</v>
      </c>
      <c r="L43" s="112" t="s">
        <v>297</v>
      </c>
      <c r="M43" s="112">
        <v>10</v>
      </c>
      <c r="N43" s="112" t="s">
        <v>297</v>
      </c>
      <c r="O43" s="112">
        <v>0.8</v>
      </c>
      <c r="P43" s="112" t="s">
        <v>297</v>
      </c>
      <c r="Q43" s="112" t="s">
        <v>297</v>
      </c>
      <c r="R43" s="112" t="s">
        <v>297</v>
      </c>
      <c r="S43" s="112" t="s">
        <v>297</v>
      </c>
      <c r="T43" s="112" t="s">
        <v>297</v>
      </c>
    </row>
    <row r="44" spans="1:20" s="40" customFormat="1" ht="63" x14ac:dyDescent="0.25">
      <c r="A44" s="393">
        <v>5</v>
      </c>
      <c r="B44" s="393"/>
      <c r="C44" s="393" t="s">
        <v>624</v>
      </c>
      <c r="D44" s="112" t="s">
        <v>584</v>
      </c>
      <c r="E44" s="112"/>
      <c r="F44" s="112" t="s">
        <v>585</v>
      </c>
      <c r="G44" s="230" t="s">
        <v>297</v>
      </c>
      <c r="H44" s="112"/>
      <c r="I44" s="230" t="s">
        <v>297</v>
      </c>
      <c r="J44" s="113" t="s">
        <v>583</v>
      </c>
      <c r="K44" s="112">
        <v>2007</v>
      </c>
      <c r="L44" s="112" t="s">
        <v>297</v>
      </c>
      <c r="M44" s="112">
        <v>10</v>
      </c>
      <c r="N44" s="112" t="s">
        <v>297</v>
      </c>
      <c r="O44" s="112" t="s">
        <v>297</v>
      </c>
      <c r="P44" s="112" t="s">
        <v>297</v>
      </c>
      <c r="Q44" s="112" t="s">
        <v>297</v>
      </c>
      <c r="R44" s="112" t="s">
        <v>297</v>
      </c>
      <c r="S44" s="112" t="s">
        <v>297</v>
      </c>
      <c r="T44" s="112" t="s">
        <v>297</v>
      </c>
    </row>
    <row r="45" spans="1:20" s="40" customFormat="1" ht="157.5" x14ac:dyDescent="0.25">
      <c r="A45" s="394"/>
      <c r="B45" s="394"/>
      <c r="C45" s="394"/>
      <c r="D45" s="112" t="s">
        <v>586</v>
      </c>
      <c r="E45" s="112"/>
      <c r="F45" s="112" t="s">
        <v>592</v>
      </c>
      <c r="G45" s="230" t="s">
        <v>297</v>
      </c>
      <c r="H45" s="112" t="s">
        <v>596</v>
      </c>
      <c r="I45" s="230" t="s">
        <v>297</v>
      </c>
      <c r="J45" s="113" t="s">
        <v>583</v>
      </c>
      <c r="K45" s="112">
        <v>2007</v>
      </c>
      <c r="L45" s="112" t="s">
        <v>297</v>
      </c>
      <c r="M45" s="112">
        <v>10</v>
      </c>
      <c r="N45" s="112" t="s">
        <v>297</v>
      </c>
      <c r="O45" s="112" t="s">
        <v>297</v>
      </c>
      <c r="P45" s="112" t="s">
        <v>297</v>
      </c>
      <c r="Q45" s="112" t="s">
        <v>297</v>
      </c>
      <c r="R45" s="112" t="s">
        <v>297</v>
      </c>
      <c r="S45" s="112" t="s">
        <v>297</v>
      </c>
      <c r="T45" s="112" t="s">
        <v>297</v>
      </c>
    </row>
    <row r="46" spans="1:20" s="40" customFormat="1" ht="31.5" x14ac:dyDescent="0.25">
      <c r="A46" s="394"/>
      <c r="B46" s="394"/>
      <c r="C46" s="394"/>
      <c r="D46" s="112" t="s">
        <v>589</v>
      </c>
      <c r="E46" s="112"/>
      <c r="F46" s="112" t="s">
        <v>588</v>
      </c>
      <c r="G46" s="230" t="s">
        <v>297</v>
      </c>
      <c r="H46" s="112" t="s">
        <v>593</v>
      </c>
      <c r="I46" s="230" t="s">
        <v>297</v>
      </c>
      <c r="J46" s="113" t="s">
        <v>583</v>
      </c>
      <c r="K46" s="112">
        <v>2007</v>
      </c>
      <c r="L46" s="112" t="s">
        <v>297</v>
      </c>
      <c r="M46" s="112">
        <v>0.4</v>
      </c>
      <c r="N46" s="112" t="s">
        <v>297</v>
      </c>
      <c r="O46" s="112" t="s">
        <v>297</v>
      </c>
      <c r="P46" s="112" t="s">
        <v>297</v>
      </c>
      <c r="Q46" s="112" t="s">
        <v>297</v>
      </c>
      <c r="R46" s="112" t="s">
        <v>297</v>
      </c>
      <c r="S46" s="112" t="s">
        <v>297</v>
      </c>
      <c r="T46" s="112" t="s">
        <v>297</v>
      </c>
    </row>
    <row r="47" spans="1:20" s="40" customFormat="1" ht="31.5" x14ac:dyDescent="0.25">
      <c r="A47" s="395"/>
      <c r="B47" s="395"/>
      <c r="C47" s="395"/>
      <c r="D47" s="112" t="s">
        <v>579</v>
      </c>
      <c r="E47" s="112"/>
      <c r="F47" s="112" t="s">
        <v>580</v>
      </c>
      <c r="G47" s="230" t="s">
        <v>297</v>
      </c>
      <c r="H47" s="112" t="s">
        <v>581</v>
      </c>
      <c r="I47" s="230" t="s">
        <v>297</v>
      </c>
      <c r="J47" s="113" t="s">
        <v>583</v>
      </c>
      <c r="K47" s="112">
        <v>2007</v>
      </c>
      <c r="L47" s="112" t="s">
        <v>297</v>
      </c>
      <c r="M47" s="112">
        <v>10</v>
      </c>
      <c r="N47" s="112" t="s">
        <v>297</v>
      </c>
      <c r="O47" s="112">
        <v>1.26</v>
      </c>
      <c r="P47" s="112" t="s">
        <v>297</v>
      </c>
      <c r="Q47" s="112" t="s">
        <v>297</v>
      </c>
      <c r="R47" s="112" t="s">
        <v>297</v>
      </c>
      <c r="S47" s="112" t="s">
        <v>297</v>
      </c>
      <c r="T47" s="112" t="s">
        <v>297</v>
      </c>
    </row>
    <row r="48" spans="1:20" s="40" customFormat="1" ht="63" x14ac:dyDescent="0.25">
      <c r="A48" s="393">
        <v>6</v>
      </c>
      <c r="B48" s="393"/>
      <c r="C48" s="393" t="s">
        <v>595</v>
      </c>
      <c r="D48" s="112" t="s">
        <v>584</v>
      </c>
      <c r="E48" s="112"/>
      <c r="F48" s="112" t="s">
        <v>600</v>
      </c>
      <c r="G48" s="230" t="s">
        <v>297</v>
      </c>
      <c r="H48" s="112"/>
      <c r="I48" s="230" t="s">
        <v>297</v>
      </c>
      <c r="J48" s="113" t="s">
        <v>583</v>
      </c>
      <c r="K48" s="112">
        <v>2007</v>
      </c>
      <c r="L48" s="112" t="s">
        <v>297</v>
      </c>
      <c r="M48" s="112">
        <v>10</v>
      </c>
      <c r="N48" s="112" t="s">
        <v>297</v>
      </c>
      <c r="O48" s="112" t="s">
        <v>297</v>
      </c>
      <c r="P48" s="112" t="s">
        <v>297</v>
      </c>
      <c r="Q48" s="112" t="s">
        <v>297</v>
      </c>
      <c r="R48" s="112" t="s">
        <v>297</v>
      </c>
      <c r="S48" s="112" t="s">
        <v>297</v>
      </c>
      <c r="T48" s="112" t="s">
        <v>297</v>
      </c>
    </row>
    <row r="49" spans="1:20" s="40" customFormat="1" ht="157.5" x14ac:dyDescent="0.25">
      <c r="A49" s="394"/>
      <c r="B49" s="394"/>
      <c r="C49" s="394"/>
      <c r="D49" s="112" t="s">
        <v>586</v>
      </c>
      <c r="E49" s="112"/>
      <c r="F49" s="112" t="s">
        <v>592</v>
      </c>
      <c r="G49" s="230" t="s">
        <v>297</v>
      </c>
      <c r="H49" s="112" t="s">
        <v>599</v>
      </c>
      <c r="I49" s="230" t="s">
        <v>297</v>
      </c>
      <c r="J49" s="113" t="s">
        <v>583</v>
      </c>
      <c r="K49" s="112">
        <v>2007</v>
      </c>
      <c r="L49" s="112" t="s">
        <v>297</v>
      </c>
      <c r="M49" s="112">
        <v>10</v>
      </c>
      <c r="N49" s="112" t="s">
        <v>297</v>
      </c>
      <c r="O49" s="112" t="s">
        <v>297</v>
      </c>
      <c r="P49" s="112" t="s">
        <v>297</v>
      </c>
      <c r="Q49" s="112" t="s">
        <v>297</v>
      </c>
      <c r="R49" s="112" t="s">
        <v>297</v>
      </c>
      <c r="S49" s="112" t="s">
        <v>297</v>
      </c>
      <c r="T49" s="112" t="s">
        <v>297</v>
      </c>
    </row>
    <row r="50" spans="1:20" s="40" customFormat="1" ht="31.5" x14ac:dyDescent="0.25">
      <c r="A50" s="394"/>
      <c r="B50" s="394"/>
      <c r="C50" s="394"/>
      <c r="D50" s="112" t="s">
        <v>589</v>
      </c>
      <c r="E50" s="112"/>
      <c r="F50" s="112" t="s">
        <v>588</v>
      </c>
      <c r="G50" s="230" t="s">
        <v>297</v>
      </c>
      <c r="H50" s="112" t="s">
        <v>593</v>
      </c>
      <c r="I50" s="230" t="s">
        <v>297</v>
      </c>
      <c r="J50" s="113" t="s">
        <v>583</v>
      </c>
      <c r="K50" s="112">
        <v>2007</v>
      </c>
      <c r="L50" s="112" t="s">
        <v>297</v>
      </c>
      <c r="M50" s="112">
        <v>0.4</v>
      </c>
      <c r="N50" s="112" t="s">
        <v>297</v>
      </c>
      <c r="O50" s="112" t="s">
        <v>297</v>
      </c>
      <c r="P50" s="112" t="s">
        <v>297</v>
      </c>
      <c r="Q50" s="112" t="s">
        <v>297</v>
      </c>
      <c r="R50" s="112" t="s">
        <v>297</v>
      </c>
      <c r="S50" s="112" t="s">
        <v>297</v>
      </c>
      <c r="T50" s="112" t="s">
        <v>297</v>
      </c>
    </row>
    <row r="51" spans="1:20" s="40" customFormat="1" ht="31.5" x14ac:dyDescent="0.25">
      <c r="A51" s="395"/>
      <c r="B51" s="395"/>
      <c r="C51" s="395"/>
      <c r="D51" s="112" t="s">
        <v>579</v>
      </c>
      <c r="E51" s="112"/>
      <c r="F51" s="112" t="s">
        <v>580</v>
      </c>
      <c r="G51" s="230" t="s">
        <v>297</v>
      </c>
      <c r="H51" s="112" t="s">
        <v>581</v>
      </c>
      <c r="I51" s="230" t="s">
        <v>297</v>
      </c>
      <c r="J51" s="113" t="s">
        <v>583</v>
      </c>
      <c r="K51" s="112">
        <v>2007</v>
      </c>
      <c r="L51" s="112" t="s">
        <v>297</v>
      </c>
      <c r="M51" s="112">
        <v>10</v>
      </c>
      <c r="N51" s="112" t="s">
        <v>297</v>
      </c>
      <c r="O51" s="112">
        <v>2</v>
      </c>
      <c r="P51" s="112" t="s">
        <v>297</v>
      </c>
      <c r="Q51" s="112" t="s">
        <v>297</v>
      </c>
      <c r="R51" s="112" t="s">
        <v>297</v>
      </c>
      <c r="S51" s="112" t="s">
        <v>297</v>
      </c>
      <c r="T51" s="112" t="s">
        <v>297</v>
      </c>
    </row>
    <row r="52" spans="1:20" s="40" customFormat="1" ht="63" x14ac:dyDescent="0.25">
      <c r="A52" s="393">
        <v>7</v>
      </c>
      <c r="B52" s="393"/>
      <c r="C52" s="393" t="s">
        <v>601</v>
      </c>
      <c r="D52" s="112" t="s">
        <v>584</v>
      </c>
      <c r="E52" s="112"/>
      <c r="F52" s="112" t="s">
        <v>600</v>
      </c>
      <c r="G52" s="230" t="s">
        <v>297</v>
      </c>
      <c r="H52" s="112"/>
      <c r="I52" s="230" t="s">
        <v>297</v>
      </c>
      <c r="J52" s="113" t="s">
        <v>583</v>
      </c>
      <c r="K52" s="112">
        <v>2007</v>
      </c>
      <c r="L52" s="112" t="s">
        <v>297</v>
      </c>
      <c r="M52" s="112">
        <v>10</v>
      </c>
      <c r="N52" s="112" t="s">
        <v>297</v>
      </c>
      <c r="O52" s="112" t="s">
        <v>297</v>
      </c>
      <c r="P52" s="112" t="s">
        <v>297</v>
      </c>
      <c r="Q52" s="112" t="s">
        <v>297</v>
      </c>
      <c r="R52" s="112" t="s">
        <v>297</v>
      </c>
      <c r="S52" s="112" t="s">
        <v>297</v>
      </c>
      <c r="T52" s="112" t="s">
        <v>297</v>
      </c>
    </row>
    <row r="53" spans="1:20" s="40" customFormat="1" ht="141.75" x14ac:dyDescent="0.25">
      <c r="A53" s="394"/>
      <c r="B53" s="394"/>
      <c r="C53" s="394"/>
      <c r="D53" s="112" t="s">
        <v>586</v>
      </c>
      <c r="E53" s="112"/>
      <c r="F53" s="112" t="s">
        <v>592</v>
      </c>
      <c r="G53" s="230" t="s">
        <v>297</v>
      </c>
      <c r="H53" s="112" t="s">
        <v>603</v>
      </c>
      <c r="I53" s="230" t="s">
        <v>297</v>
      </c>
      <c r="J53" s="113" t="s">
        <v>583</v>
      </c>
      <c r="K53" s="112">
        <v>2007</v>
      </c>
      <c r="L53" s="112" t="s">
        <v>297</v>
      </c>
      <c r="M53" s="112">
        <v>10</v>
      </c>
      <c r="N53" s="112" t="s">
        <v>297</v>
      </c>
      <c r="O53" s="112" t="s">
        <v>297</v>
      </c>
      <c r="P53" s="112" t="s">
        <v>297</v>
      </c>
      <c r="Q53" s="112" t="s">
        <v>297</v>
      </c>
      <c r="R53" s="112" t="s">
        <v>297</v>
      </c>
      <c r="S53" s="112" t="s">
        <v>297</v>
      </c>
      <c r="T53" s="112" t="s">
        <v>297</v>
      </c>
    </row>
    <row r="54" spans="1:20" s="40" customFormat="1" ht="31.5" x14ac:dyDescent="0.25">
      <c r="A54" s="394"/>
      <c r="B54" s="394"/>
      <c r="C54" s="394"/>
      <c r="D54" s="112" t="s">
        <v>589</v>
      </c>
      <c r="E54" s="112"/>
      <c r="F54" s="112" t="s">
        <v>602</v>
      </c>
      <c r="G54" s="230" t="s">
        <v>297</v>
      </c>
      <c r="H54" s="112" t="s">
        <v>593</v>
      </c>
      <c r="I54" s="230" t="s">
        <v>297</v>
      </c>
      <c r="J54" s="113" t="s">
        <v>583</v>
      </c>
      <c r="K54" s="112">
        <v>2007</v>
      </c>
      <c r="L54" s="112" t="s">
        <v>297</v>
      </c>
      <c r="M54" s="112">
        <v>0.4</v>
      </c>
      <c r="N54" s="112" t="s">
        <v>297</v>
      </c>
      <c r="O54" s="112" t="s">
        <v>297</v>
      </c>
      <c r="P54" s="112" t="s">
        <v>297</v>
      </c>
      <c r="Q54" s="112" t="s">
        <v>297</v>
      </c>
      <c r="R54" s="112" t="s">
        <v>297</v>
      </c>
      <c r="S54" s="112" t="s">
        <v>297</v>
      </c>
      <c r="T54" s="112" t="s">
        <v>297</v>
      </c>
    </row>
    <row r="55" spans="1:20" s="40" customFormat="1" ht="31.5" x14ac:dyDescent="0.25">
      <c r="A55" s="395"/>
      <c r="B55" s="395"/>
      <c r="C55" s="395"/>
      <c r="D55" s="112" t="s">
        <v>579</v>
      </c>
      <c r="E55" s="112"/>
      <c r="F55" s="112" t="s">
        <v>580</v>
      </c>
      <c r="G55" s="230" t="s">
        <v>297</v>
      </c>
      <c r="H55" s="112" t="s">
        <v>581</v>
      </c>
      <c r="I55" s="230" t="s">
        <v>297</v>
      </c>
      <c r="J55" s="113" t="s">
        <v>583</v>
      </c>
      <c r="K55" s="112">
        <v>2007</v>
      </c>
      <c r="L55" s="112" t="s">
        <v>297</v>
      </c>
      <c r="M55" s="112">
        <v>10</v>
      </c>
      <c r="N55" s="112" t="s">
        <v>297</v>
      </c>
      <c r="O55" s="112">
        <v>2</v>
      </c>
      <c r="P55" s="112" t="s">
        <v>297</v>
      </c>
      <c r="Q55" s="112" t="s">
        <v>297</v>
      </c>
      <c r="R55" s="112" t="s">
        <v>297</v>
      </c>
      <c r="S55" s="112" t="s">
        <v>297</v>
      </c>
      <c r="T55" s="112" t="s">
        <v>297</v>
      </c>
    </row>
    <row r="56" spans="1:20" s="40" customFormat="1" x14ac:dyDescent="0.25">
      <c r="A56" s="231"/>
      <c r="B56" s="231"/>
      <c r="C56" s="231"/>
      <c r="D56" s="231"/>
      <c r="E56" s="231"/>
      <c r="F56" s="231"/>
      <c r="G56" s="231"/>
      <c r="H56" s="231"/>
      <c r="I56" s="231"/>
      <c r="J56" s="233"/>
      <c r="K56" s="231"/>
      <c r="L56" s="231"/>
      <c r="M56" s="231"/>
      <c r="N56" s="231"/>
      <c r="O56" s="231">
        <f>SUM(O25:O55)</f>
        <v>44.94</v>
      </c>
      <c r="P56" s="231"/>
      <c r="Q56" s="231"/>
      <c r="R56" s="231"/>
      <c r="S56" s="231"/>
      <c r="T56" s="231"/>
    </row>
    <row r="57" spans="1:20" s="40" customFormat="1" x14ac:dyDescent="0.25">
      <c r="A57" s="231"/>
      <c r="B57" s="231"/>
      <c r="C57" s="231"/>
      <c r="D57" s="231"/>
      <c r="E57" s="231"/>
      <c r="F57" s="231"/>
      <c r="G57" s="231"/>
      <c r="H57" s="231"/>
      <c r="I57" s="231"/>
      <c r="J57" s="233"/>
      <c r="K57" s="231">
        <v>44.94</v>
      </c>
      <c r="L57" s="231"/>
      <c r="M57" s="231"/>
      <c r="N57" s="231"/>
      <c r="O57" s="231"/>
      <c r="P57" s="231"/>
      <c r="Q57" s="231"/>
      <c r="R57" s="231"/>
      <c r="S57" s="231"/>
      <c r="T57" s="231"/>
    </row>
    <row r="58" spans="1:20" s="40" customFormat="1" x14ac:dyDescent="0.25">
      <c r="A58" s="231"/>
      <c r="B58" s="231"/>
      <c r="C58" s="231"/>
      <c r="D58" s="231"/>
      <c r="E58" s="231"/>
      <c r="F58" s="231"/>
      <c r="G58" s="231"/>
      <c r="H58" s="231"/>
      <c r="I58" s="231"/>
      <c r="J58" s="233"/>
      <c r="K58" s="231"/>
      <c r="L58" s="231"/>
      <c r="M58" s="231"/>
      <c r="N58" s="231"/>
      <c r="O58" s="231"/>
      <c r="P58" s="231"/>
      <c r="Q58" s="231"/>
      <c r="R58" s="231"/>
      <c r="S58" s="231"/>
      <c r="T58" s="231"/>
    </row>
    <row r="59" spans="1:20" s="40" customFormat="1" x14ac:dyDescent="0.25">
      <c r="A59" s="231"/>
      <c r="B59" s="231"/>
      <c r="C59" s="231"/>
      <c r="D59" s="231"/>
      <c r="E59" s="231"/>
      <c r="F59" s="231"/>
      <c r="G59" s="231"/>
      <c r="H59" s="231"/>
      <c r="I59" s="231"/>
      <c r="J59" s="233"/>
      <c r="K59" s="231"/>
      <c r="L59" s="231"/>
      <c r="M59" s="231"/>
      <c r="N59" s="231"/>
      <c r="O59" s="231"/>
      <c r="P59" s="231"/>
      <c r="Q59" s="231"/>
      <c r="R59" s="231"/>
      <c r="S59" s="231"/>
      <c r="T59" s="231"/>
    </row>
    <row r="60" spans="1:20" s="40" customFormat="1" x14ac:dyDescent="0.25">
      <c r="A60" s="231"/>
      <c r="B60" s="231"/>
      <c r="C60" s="231"/>
      <c r="D60" s="231"/>
      <c r="E60" s="231"/>
      <c r="F60" s="231"/>
      <c r="G60" s="231"/>
      <c r="H60" s="231"/>
      <c r="I60" s="231"/>
      <c r="J60" s="233"/>
      <c r="K60" s="231"/>
      <c r="L60" s="231"/>
      <c r="M60" s="231"/>
      <c r="N60" s="231"/>
      <c r="O60" s="231"/>
      <c r="P60" s="231"/>
      <c r="Q60" s="231"/>
      <c r="R60" s="231"/>
      <c r="S60" s="231"/>
      <c r="T60" s="231"/>
    </row>
    <row r="61" spans="1:20" s="40" customFormat="1" x14ac:dyDescent="0.25">
      <c r="A61" s="231"/>
      <c r="B61" s="231"/>
      <c r="C61" s="231"/>
      <c r="D61" s="231"/>
      <c r="E61" s="231"/>
      <c r="F61" s="231"/>
      <c r="G61" s="231"/>
      <c r="H61" s="231"/>
      <c r="I61" s="231"/>
      <c r="J61" s="233"/>
      <c r="K61" s="231"/>
      <c r="L61" s="231"/>
      <c r="M61" s="231"/>
      <c r="N61" s="231"/>
      <c r="O61" s="231"/>
      <c r="P61" s="231"/>
      <c r="Q61" s="231"/>
      <c r="R61" s="231"/>
      <c r="S61" s="231"/>
      <c r="T61" s="231"/>
    </row>
    <row r="62" spans="1:20" s="40" customFormat="1" x14ac:dyDescent="0.25">
      <c r="A62" s="231"/>
      <c r="B62" s="231"/>
      <c r="C62" s="231"/>
      <c r="D62" s="231"/>
      <c r="E62" s="231"/>
      <c r="F62" s="231"/>
      <c r="G62" s="231"/>
      <c r="H62" s="231"/>
      <c r="I62" s="231"/>
      <c r="J62" s="233"/>
      <c r="K62" s="231"/>
      <c r="L62" s="231"/>
      <c r="M62" s="231"/>
      <c r="N62" s="231"/>
      <c r="O62" s="231"/>
      <c r="P62" s="231"/>
      <c r="Q62" s="231"/>
      <c r="R62" s="231"/>
      <c r="S62" s="231"/>
      <c r="T62" s="231"/>
    </row>
    <row r="63" spans="1:20" s="40" customFormat="1" x14ac:dyDescent="0.25">
      <c r="A63" s="231"/>
      <c r="B63" s="231"/>
      <c r="C63" s="231"/>
      <c r="D63" s="231"/>
      <c r="E63" s="231"/>
      <c r="F63" s="231"/>
      <c r="G63" s="231"/>
      <c r="H63" s="231"/>
      <c r="I63" s="231"/>
      <c r="J63" s="233"/>
      <c r="K63" s="231"/>
      <c r="L63" s="231"/>
      <c r="M63" s="231"/>
      <c r="N63" s="231"/>
      <c r="O63" s="231"/>
      <c r="P63" s="231"/>
      <c r="Q63" s="231"/>
      <c r="R63" s="231"/>
      <c r="S63" s="231"/>
      <c r="T63" s="231"/>
    </row>
    <row r="64" spans="1:20" s="40" customFormat="1" x14ac:dyDescent="0.25">
      <c r="A64" s="231"/>
      <c r="B64" s="231"/>
      <c r="C64" s="231"/>
      <c r="D64" s="231"/>
      <c r="E64" s="231"/>
      <c r="F64" s="231"/>
      <c r="G64" s="231"/>
      <c r="H64" s="231"/>
      <c r="I64" s="231"/>
      <c r="J64" s="233"/>
      <c r="K64" s="231"/>
      <c r="L64" s="231"/>
      <c r="M64" s="231"/>
      <c r="N64" s="231"/>
      <c r="O64" s="231"/>
      <c r="P64" s="231"/>
      <c r="Q64" s="231"/>
      <c r="R64" s="231"/>
      <c r="S64" s="231"/>
      <c r="T64" s="231"/>
    </row>
    <row r="65" spans="1:20" s="40" customFormat="1" x14ac:dyDescent="0.25">
      <c r="A65" s="231"/>
      <c r="B65" s="231"/>
      <c r="C65" s="231"/>
      <c r="D65" s="231"/>
      <c r="E65" s="231"/>
      <c r="F65" s="231"/>
      <c r="G65" s="231"/>
      <c r="H65" s="231"/>
      <c r="I65" s="231"/>
      <c r="J65" s="233"/>
      <c r="K65" s="231"/>
      <c r="L65" s="231"/>
      <c r="M65" s="231"/>
      <c r="N65" s="231"/>
      <c r="O65" s="231"/>
      <c r="P65" s="231"/>
      <c r="Q65" s="231"/>
      <c r="R65" s="231"/>
      <c r="S65" s="231"/>
      <c r="T65" s="231"/>
    </row>
    <row r="66" spans="1:20" s="40" customFormat="1" x14ac:dyDescent="0.25">
      <c r="A66" s="231"/>
      <c r="B66" s="231"/>
      <c r="C66" s="231"/>
      <c r="D66" s="231"/>
      <c r="E66" s="231"/>
      <c r="F66" s="231"/>
      <c r="G66" s="231"/>
      <c r="H66" s="231"/>
      <c r="I66" s="231"/>
      <c r="J66" s="233"/>
      <c r="K66" s="231"/>
      <c r="L66" s="231"/>
      <c r="M66" s="231"/>
      <c r="N66" s="231"/>
      <c r="O66" s="231"/>
      <c r="P66" s="231"/>
      <c r="Q66" s="231"/>
      <c r="R66" s="231"/>
      <c r="S66" s="231"/>
      <c r="T66" s="231"/>
    </row>
    <row r="67" spans="1:20" s="40" customFormat="1" x14ac:dyDescent="0.25">
      <c r="A67" s="231"/>
      <c r="B67" s="231"/>
      <c r="C67" s="231"/>
      <c r="D67" s="231"/>
      <c r="E67" s="231"/>
      <c r="F67" s="231"/>
      <c r="G67" s="231"/>
      <c r="H67" s="231"/>
      <c r="I67" s="231"/>
      <c r="J67" s="233"/>
      <c r="K67" s="231"/>
      <c r="L67" s="231"/>
      <c r="M67" s="231"/>
      <c r="N67" s="231"/>
      <c r="O67" s="231"/>
      <c r="P67" s="231"/>
      <c r="Q67" s="231"/>
      <c r="R67" s="231"/>
      <c r="S67" s="231"/>
      <c r="T67" s="231"/>
    </row>
    <row r="68" spans="1:20" s="40" customFormat="1" x14ac:dyDescent="0.25">
      <c r="A68" s="231"/>
      <c r="B68" s="231"/>
      <c r="C68" s="231"/>
      <c r="D68" s="231"/>
      <c r="E68" s="231"/>
      <c r="F68" s="231"/>
      <c r="G68" s="231"/>
      <c r="H68" s="231"/>
      <c r="I68" s="231"/>
      <c r="J68" s="233"/>
      <c r="K68" s="231"/>
      <c r="L68" s="231"/>
      <c r="M68" s="231"/>
      <c r="N68" s="231"/>
      <c r="O68" s="231"/>
      <c r="P68" s="231"/>
      <c r="Q68" s="231"/>
      <c r="R68" s="231"/>
      <c r="S68" s="231"/>
      <c r="T68" s="231"/>
    </row>
    <row r="69" spans="1:20" s="40" customFormat="1" x14ac:dyDescent="0.25">
      <c r="A69" s="231"/>
      <c r="B69" s="231"/>
      <c r="C69" s="231"/>
      <c r="D69" s="231"/>
      <c r="E69" s="231"/>
      <c r="F69" s="231"/>
      <c r="G69" s="231"/>
      <c r="H69" s="231"/>
      <c r="I69" s="231"/>
      <c r="J69" s="233"/>
      <c r="K69" s="231"/>
      <c r="L69" s="231"/>
      <c r="M69" s="231"/>
      <c r="N69" s="231"/>
      <c r="O69" s="231"/>
      <c r="P69" s="231"/>
      <c r="Q69" s="231"/>
      <c r="R69" s="231"/>
      <c r="S69" s="231"/>
      <c r="T69" s="231"/>
    </row>
    <row r="70" spans="1:20" s="40" customFormat="1" x14ac:dyDescent="0.25">
      <c r="A70" s="231"/>
      <c r="B70" s="231"/>
      <c r="C70" s="231"/>
      <c r="D70" s="231"/>
      <c r="E70" s="231"/>
      <c r="F70" s="231"/>
      <c r="G70" s="231"/>
      <c r="H70" s="231"/>
      <c r="I70" s="231"/>
      <c r="J70" s="233"/>
      <c r="K70" s="231"/>
      <c r="L70" s="231"/>
      <c r="M70" s="231"/>
      <c r="N70" s="231"/>
      <c r="O70" s="231"/>
      <c r="P70" s="231"/>
      <c r="Q70" s="231"/>
      <c r="R70" s="231"/>
      <c r="S70" s="231"/>
      <c r="T70" s="231"/>
    </row>
    <row r="71" spans="1:20" s="40" customFormat="1" x14ac:dyDescent="0.25">
      <c r="A71" s="231"/>
      <c r="B71" s="231"/>
      <c r="C71" s="231"/>
      <c r="D71" s="231"/>
      <c r="E71" s="231"/>
      <c r="F71" s="231"/>
      <c r="G71" s="231"/>
      <c r="H71" s="231"/>
      <c r="I71" s="231"/>
      <c r="J71" s="233"/>
      <c r="K71" s="231"/>
      <c r="L71" s="231"/>
      <c r="M71" s="231"/>
      <c r="N71" s="231"/>
      <c r="O71" s="231"/>
      <c r="P71" s="231"/>
      <c r="Q71" s="231"/>
      <c r="R71" s="231"/>
      <c r="S71" s="231"/>
      <c r="T71" s="231"/>
    </row>
    <row r="72" spans="1:20" s="40" customFormat="1" x14ac:dyDescent="0.25">
      <c r="A72" s="231"/>
      <c r="B72" s="231"/>
      <c r="C72" s="231"/>
      <c r="D72" s="231"/>
      <c r="E72" s="231"/>
      <c r="F72" s="231"/>
      <c r="G72" s="231"/>
      <c r="H72" s="231"/>
      <c r="I72" s="231"/>
      <c r="J72" s="233"/>
      <c r="K72" s="231"/>
      <c r="L72" s="231"/>
      <c r="M72" s="231"/>
      <c r="N72" s="231"/>
      <c r="O72" s="231"/>
      <c r="P72" s="231"/>
      <c r="Q72" s="231"/>
      <c r="R72" s="231"/>
      <c r="S72" s="231"/>
      <c r="T72" s="231"/>
    </row>
    <row r="73" spans="1:20" s="40" customFormat="1" x14ac:dyDescent="0.25">
      <c r="A73" s="231"/>
      <c r="B73" s="231"/>
      <c r="C73" s="231"/>
      <c r="D73" s="231"/>
      <c r="E73" s="231"/>
      <c r="F73" s="232"/>
      <c r="G73" s="232"/>
      <c r="H73" s="232"/>
      <c r="I73" s="232"/>
      <c r="J73" s="233"/>
      <c r="K73" s="231"/>
      <c r="L73" s="231"/>
      <c r="M73" s="231"/>
      <c r="N73" s="231"/>
      <c r="O73" s="231"/>
      <c r="P73" s="231"/>
      <c r="Q73" s="231"/>
      <c r="R73" s="231"/>
      <c r="S73" s="231"/>
      <c r="T73" s="231"/>
    </row>
    <row r="74" spans="1:20" s="40" customFormat="1" x14ac:dyDescent="0.25">
      <c r="A74" s="231"/>
      <c r="B74" s="231"/>
      <c r="C74" s="231"/>
      <c r="D74" s="231"/>
      <c r="E74" s="231"/>
      <c r="F74" s="232"/>
      <c r="G74" s="232"/>
      <c r="H74" s="232"/>
      <c r="I74" s="232"/>
      <c r="J74" s="233"/>
      <c r="K74" s="231"/>
      <c r="L74" s="231"/>
      <c r="M74" s="231"/>
      <c r="N74" s="231"/>
      <c r="O74" s="231"/>
      <c r="P74" s="231"/>
      <c r="Q74" s="231"/>
      <c r="R74" s="231"/>
      <c r="S74" s="231"/>
      <c r="T74" s="231"/>
    </row>
    <row r="75" spans="1:20" s="40" customFormat="1" x14ac:dyDescent="0.25">
      <c r="A75" s="231"/>
      <c r="B75" s="231"/>
      <c r="C75" s="231"/>
      <c r="D75" s="231"/>
      <c r="E75" s="231"/>
      <c r="F75" s="232"/>
      <c r="G75" s="232"/>
      <c r="H75" s="232"/>
      <c r="I75" s="232"/>
      <c r="J75" s="233"/>
      <c r="K75" s="231"/>
      <c r="L75" s="231"/>
      <c r="M75" s="231"/>
      <c r="N75" s="231"/>
      <c r="O75" s="231"/>
      <c r="P75" s="231"/>
      <c r="Q75" s="231"/>
      <c r="R75" s="231"/>
      <c r="S75" s="231"/>
      <c r="T75" s="231"/>
    </row>
    <row r="76" spans="1:20" s="40" customFormat="1" x14ac:dyDescent="0.25">
      <c r="A76" s="231"/>
      <c r="B76" s="231"/>
      <c r="C76" s="231"/>
      <c r="D76" s="231"/>
      <c r="E76" s="231"/>
      <c r="F76" s="232"/>
      <c r="G76" s="232"/>
      <c r="H76" s="232"/>
      <c r="I76" s="232"/>
      <c r="J76" s="233"/>
      <c r="K76" s="231"/>
      <c r="L76" s="231"/>
      <c r="M76" s="231"/>
      <c r="N76" s="231"/>
      <c r="O76" s="231"/>
      <c r="P76" s="231"/>
      <c r="Q76" s="231"/>
      <c r="R76" s="231"/>
      <c r="S76" s="231"/>
      <c r="T76" s="231"/>
    </row>
    <row r="77" spans="1:20" s="40" customFormat="1" x14ac:dyDescent="0.25">
      <c r="A77" s="231"/>
      <c r="B77" s="231"/>
      <c r="C77" s="231"/>
      <c r="D77" s="231"/>
      <c r="E77" s="231"/>
      <c r="F77" s="232"/>
      <c r="G77" s="232"/>
      <c r="H77" s="232"/>
      <c r="I77" s="232"/>
      <c r="J77" s="233"/>
      <c r="K77" s="231"/>
      <c r="L77" s="231"/>
      <c r="M77" s="231"/>
      <c r="N77" s="231"/>
      <c r="O77" s="231"/>
      <c r="P77" s="231"/>
      <c r="Q77" s="231"/>
      <c r="R77" s="231"/>
      <c r="S77" s="231"/>
      <c r="T77" s="231"/>
    </row>
    <row r="78" spans="1:20" s="40" customFormat="1" x14ac:dyDescent="0.25">
      <c r="A78" s="231"/>
      <c r="B78" s="231"/>
      <c r="C78" s="231"/>
      <c r="D78" s="231"/>
      <c r="E78" s="231"/>
      <c r="F78" s="232"/>
      <c r="G78" s="232"/>
      <c r="H78" s="232"/>
      <c r="I78" s="232"/>
      <c r="J78" s="233"/>
      <c r="K78" s="231"/>
      <c r="L78" s="231"/>
      <c r="M78" s="231"/>
      <c r="N78" s="231"/>
      <c r="O78" s="231"/>
      <c r="P78" s="231"/>
      <c r="Q78" s="231"/>
      <c r="R78" s="231"/>
      <c r="S78" s="231"/>
      <c r="T78" s="231"/>
    </row>
    <row r="79" spans="1:20" s="39" customFormat="1" ht="12.75" x14ac:dyDescent="0.2"/>
    <row r="80" spans="1:20" s="39" customFormat="1" x14ac:dyDescent="0.25">
      <c r="B80" s="37" t="s">
        <v>104</v>
      </c>
      <c r="C80" s="37"/>
      <c r="D80" s="37"/>
      <c r="E80" s="37"/>
      <c r="F80" s="37"/>
      <c r="G80" s="37"/>
      <c r="H80" s="37"/>
      <c r="I80" s="37"/>
      <c r="J80" s="37"/>
      <c r="K80" s="37"/>
      <c r="L80" s="37"/>
      <c r="M80" s="37"/>
      <c r="N80" s="37"/>
      <c r="O80" s="37"/>
      <c r="P80" s="37"/>
      <c r="Q80" s="37"/>
      <c r="R80" s="37"/>
    </row>
    <row r="81" spans="2:113" x14ac:dyDescent="0.25">
      <c r="B81" s="410" t="s">
        <v>421</v>
      </c>
      <c r="C81" s="410"/>
      <c r="D81" s="410"/>
      <c r="E81" s="410"/>
      <c r="F81" s="410"/>
      <c r="G81" s="410"/>
      <c r="H81" s="410"/>
      <c r="I81" s="410"/>
      <c r="J81" s="410"/>
      <c r="K81" s="410"/>
      <c r="L81" s="410"/>
      <c r="M81" s="410"/>
      <c r="N81" s="410"/>
      <c r="O81" s="410"/>
      <c r="P81" s="410"/>
      <c r="Q81" s="410"/>
      <c r="R81" s="410"/>
    </row>
    <row r="82" spans="2:113" x14ac:dyDescent="0.25">
      <c r="B82" s="37"/>
      <c r="C82" s="37"/>
      <c r="D82" s="37"/>
      <c r="E82" s="37"/>
      <c r="F82" s="37"/>
      <c r="G82" s="37"/>
      <c r="H82" s="37"/>
      <c r="I82" s="37"/>
      <c r="J82" s="37"/>
      <c r="K82" s="37"/>
      <c r="L82" s="37"/>
      <c r="M82" s="37"/>
      <c r="N82" s="37"/>
      <c r="O82" s="37"/>
      <c r="P82" s="37"/>
      <c r="Q82" s="37"/>
      <c r="R82" s="37"/>
      <c r="S82" s="37"/>
      <c r="T82" s="37"/>
      <c r="U82" s="37"/>
      <c r="V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c r="CC82" s="37"/>
      <c r="CD82" s="37"/>
      <c r="CE82" s="37"/>
      <c r="CF82" s="37"/>
      <c r="CG82" s="37"/>
      <c r="CH82" s="37"/>
      <c r="CI82" s="37"/>
      <c r="CJ82" s="37"/>
      <c r="CK82" s="37"/>
      <c r="CL82" s="37"/>
      <c r="CM82" s="37"/>
      <c r="CN82" s="37"/>
      <c r="CO82" s="37"/>
      <c r="CP82" s="37"/>
      <c r="CQ82" s="37"/>
      <c r="CR82" s="37"/>
      <c r="CS82" s="37"/>
      <c r="CT82" s="37"/>
      <c r="CU82" s="37"/>
      <c r="CV82" s="37"/>
      <c r="CW82" s="37"/>
      <c r="CX82" s="37"/>
      <c r="CY82" s="37"/>
      <c r="CZ82" s="37"/>
      <c r="DA82" s="37"/>
      <c r="DB82" s="37"/>
      <c r="DC82" s="37"/>
      <c r="DD82" s="37"/>
      <c r="DE82" s="37"/>
      <c r="DF82" s="37"/>
      <c r="DG82" s="37"/>
      <c r="DH82" s="37"/>
      <c r="DI82" s="37"/>
    </row>
    <row r="83" spans="2:113" x14ac:dyDescent="0.25">
      <c r="B83" s="36" t="s">
        <v>385</v>
      </c>
      <c r="C83" s="36"/>
      <c r="D83" s="36"/>
      <c r="E83" s="36"/>
      <c r="F83" s="34"/>
      <c r="G83" s="34"/>
      <c r="H83" s="36"/>
      <c r="I83" s="36"/>
      <c r="J83" s="36"/>
      <c r="K83" s="36"/>
      <c r="L83" s="36"/>
      <c r="M83" s="36"/>
      <c r="N83" s="36"/>
      <c r="O83" s="36"/>
      <c r="P83" s="36"/>
      <c r="Q83" s="36"/>
      <c r="R83" s="36"/>
      <c r="S83" s="38"/>
      <c r="T83" s="38"/>
      <c r="U83" s="38"/>
      <c r="V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c r="BS83" s="38"/>
      <c r="BT83" s="38"/>
      <c r="BU83" s="38"/>
      <c r="BV83" s="38"/>
      <c r="BW83" s="38"/>
      <c r="BX83" s="38"/>
      <c r="BY83" s="38"/>
      <c r="BZ83" s="38"/>
      <c r="CA83" s="38"/>
      <c r="CB83" s="38"/>
      <c r="CC83" s="38"/>
      <c r="CD83" s="38"/>
      <c r="CE83" s="38"/>
      <c r="CF83" s="38"/>
      <c r="CG83" s="38"/>
      <c r="CH83" s="38"/>
      <c r="CI83" s="38"/>
      <c r="CJ83" s="38"/>
      <c r="CK83" s="38"/>
      <c r="CL83" s="38"/>
      <c r="CM83" s="38"/>
      <c r="CN83" s="38"/>
      <c r="CO83" s="38"/>
      <c r="CP83" s="38"/>
      <c r="CQ83" s="38"/>
      <c r="CR83" s="38"/>
      <c r="CS83" s="38"/>
      <c r="CT83" s="38"/>
      <c r="CU83" s="38"/>
      <c r="CV83" s="38"/>
      <c r="CW83" s="38"/>
      <c r="CX83" s="38"/>
      <c r="CY83" s="38"/>
      <c r="CZ83" s="38"/>
      <c r="DA83" s="38"/>
      <c r="DB83" s="38"/>
      <c r="DC83" s="38"/>
      <c r="DD83" s="38"/>
      <c r="DE83" s="38"/>
      <c r="DF83" s="38"/>
      <c r="DG83" s="38"/>
      <c r="DH83" s="38"/>
      <c r="DI83" s="38"/>
    </row>
    <row r="84" spans="2:113" x14ac:dyDescent="0.25">
      <c r="B84" s="36" t="s">
        <v>103</v>
      </c>
      <c r="C84" s="36"/>
      <c r="D84" s="36"/>
      <c r="E84" s="36"/>
      <c r="F84" s="34"/>
      <c r="G84" s="34"/>
      <c r="H84" s="36"/>
      <c r="I84" s="36"/>
      <c r="J84" s="36"/>
      <c r="K84" s="36"/>
      <c r="L84" s="36"/>
      <c r="M84" s="36"/>
      <c r="N84" s="36"/>
      <c r="O84" s="36"/>
      <c r="P84" s="36"/>
      <c r="Q84" s="36"/>
      <c r="R84" s="36"/>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c r="CR84" s="37"/>
      <c r="CS84" s="37"/>
      <c r="CT84" s="37"/>
      <c r="CU84" s="37"/>
      <c r="CV84" s="37"/>
      <c r="CW84" s="37"/>
      <c r="CX84" s="37"/>
      <c r="CY84" s="37"/>
      <c r="CZ84" s="37"/>
      <c r="DA84" s="37"/>
      <c r="DB84" s="37"/>
      <c r="DC84" s="37"/>
      <c r="DD84" s="37"/>
      <c r="DE84" s="37"/>
      <c r="DF84" s="37"/>
      <c r="DG84" s="37"/>
      <c r="DH84" s="37"/>
      <c r="DI84" s="37"/>
    </row>
    <row r="85" spans="2:113" s="34" customFormat="1" x14ac:dyDescent="0.25">
      <c r="B85" s="36" t="s">
        <v>102</v>
      </c>
      <c r="C85" s="36"/>
      <c r="D85" s="36"/>
      <c r="E85" s="36"/>
      <c r="H85" s="36"/>
      <c r="I85" s="36"/>
      <c r="J85" s="36"/>
      <c r="K85" s="36"/>
      <c r="L85" s="36"/>
      <c r="M85" s="36"/>
      <c r="N85" s="36"/>
      <c r="O85" s="36"/>
      <c r="P85" s="36"/>
      <c r="Q85" s="36"/>
      <c r="R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row>
    <row r="86" spans="2:113" s="34" customFormat="1" x14ac:dyDescent="0.25">
      <c r="B86" s="36" t="s">
        <v>101</v>
      </c>
      <c r="C86" s="36"/>
      <c r="D86" s="36"/>
      <c r="E86" s="36"/>
      <c r="H86" s="36"/>
      <c r="I86" s="36"/>
      <c r="J86" s="36"/>
      <c r="K86" s="36"/>
      <c r="L86" s="36"/>
      <c r="M86" s="36"/>
      <c r="N86" s="36"/>
      <c r="O86" s="36"/>
      <c r="P86" s="36"/>
      <c r="Q86" s="36"/>
      <c r="R86" s="36"/>
      <c r="S86" s="36"/>
      <c r="T86" s="36"/>
      <c r="U86" s="36"/>
      <c r="V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row>
    <row r="87" spans="2:113" s="34" customFormat="1" x14ac:dyDescent="0.25">
      <c r="B87" s="36" t="s">
        <v>100</v>
      </c>
      <c r="C87" s="36"/>
      <c r="D87" s="36"/>
      <c r="E87" s="36"/>
      <c r="H87" s="36"/>
      <c r="I87" s="36"/>
      <c r="J87" s="36"/>
      <c r="K87" s="36"/>
      <c r="L87" s="36"/>
      <c r="M87" s="36"/>
      <c r="N87" s="36"/>
      <c r="O87" s="36"/>
      <c r="P87" s="36"/>
      <c r="Q87" s="36"/>
      <c r="R87" s="36"/>
      <c r="S87" s="36"/>
      <c r="T87" s="36"/>
      <c r="U87" s="36"/>
      <c r="V87" s="36"/>
      <c r="AN87" s="36"/>
      <c r="AO87" s="36"/>
      <c r="AP87" s="36"/>
      <c r="AQ87" s="36"/>
      <c r="AR87" s="36"/>
      <c r="AS87" s="36"/>
      <c r="AT87" s="36"/>
      <c r="AU87" s="36"/>
      <c r="AV87" s="36"/>
      <c r="AW87" s="36"/>
      <c r="AX87" s="36"/>
      <c r="AY87" s="36"/>
      <c r="AZ87" s="36"/>
      <c r="BA87" s="36"/>
      <c r="BB87" s="36"/>
      <c r="BC87" s="36"/>
      <c r="BD87" s="36"/>
      <c r="BE87" s="36"/>
      <c r="BF87" s="36"/>
      <c r="BG87" s="36"/>
      <c r="BH87" s="36"/>
      <c r="BI87" s="36"/>
      <c r="BJ87" s="36"/>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row>
    <row r="88" spans="2:113" s="34" customFormat="1" x14ac:dyDescent="0.25">
      <c r="B88" s="36" t="s">
        <v>99</v>
      </c>
      <c r="C88" s="36"/>
      <c r="D88" s="36"/>
      <c r="E88" s="36"/>
      <c r="H88" s="36"/>
      <c r="I88" s="36"/>
      <c r="J88" s="36"/>
      <c r="K88" s="36"/>
      <c r="L88" s="36"/>
      <c r="M88" s="36"/>
      <c r="N88" s="36"/>
      <c r="O88" s="36"/>
      <c r="P88" s="36"/>
      <c r="Q88" s="36"/>
      <c r="R88" s="36"/>
      <c r="S88" s="36"/>
      <c r="T88" s="36"/>
      <c r="U88" s="36"/>
      <c r="V88" s="36"/>
      <c r="AN88" s="36"/>
      <c r="AO88" s="36"/>
      <c r="AP88" s="36"/>
      <c r="AQ88" s="36"/>
      <c r="AR88" s="36"/>
      <c r="AS88" s="36"/>
      <c r="AT88" s="36"/>
      <c r="AU88" s="36"/>
      <c r="AV88" s="36"/>
      <c r="AW88" s="36"/>
      <c r="AX88" s="36"/>
      <c r="AY88" s="36"/>
      <c r="AZ88" s="36"/>
      <c r="BA88" s="36"/>
      <c r="BB88" s="36"/>
      <c r="BC88" s="36"/>
      <c r="BD88" s="36"/>
      <c r="BE88" s="36"/>
      <c r="BF88" s="36"/>
      <c r="BG88" s="36"/>
      <c r="BH88" s="36"/>
      <c r="BI88" s="36"/>
      <c r="BJ88" s="36"/>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row>
    <row r="89" spans="2:113" s="34" customFormat="1" x14ac:dyDescent="0.25">
      <c r="B89" s="36" t="s">
        <v>98</v>
      </c>
      <c r="C89" s="36"/>
      <c r="D89" s="36"/>
      <c r="E89" s="36"/>
      <c r="H89" s="36"/>
      <c r="I89" s="36"/>
      <c r="J89" s="36"/>
      <c r="K89" s="36"/>
      <c r="L89" s="36"/>
      <c r="M89" s="36"/>
      <c r="N89" s="36"/>
      <c r="O89" s="36"/>
      <c r="P89" s="36"/>
      <c r="Q89" s="36"/>
      <c r="R89" s="36"/>
      <c r="S89" s="36"/>
      <c r="T89" s="36"/>
      <c r="U89" s="36"/>
      <c r="V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6"/>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row>
    <row r="90" spans="2:113" s="34" customFormat="1" x14ac:dyDescent="0.25">
      <c r="B90" s="36" t="s">
        <v>97</v>
      </c>
      <c r="C90" s="36"/>
      <c r="D90" s="36"/>
      <c r="E90" s="36"/>
      <c r="H90" s="36"/>
      <c r="I90" s="36"/>
      <c r="J90" s="36"/>
      <c r="K90" s="36"/>
      <c r="L90" s="36"/>
      <c r="M90" s="36"/>
      <c r="N90" s="36"/>
      <c r="O90" s="36"/>
      <c r="P90" s="36"/>
      <c r="Q90" s="36"/>
      <c r="R90" s="36"/>
      <c r="S90" s="36"/>
      <c r="T90" s="36"/>
      <c r="U90" s="36"/>
      <c r="V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row>
    <row r="91" spans="2:113" s="34" customFormat="1" x14ac:dyDescent="0.25">
      <c r="B91" s="36" t="s">
        <v>96</v>
      </c>
      <c r="C91" s="36"/>
      <c r="D91" s="36"/>
      <c r="E91" s="36"/>
      <c r="H91" s="36"/>
      <c r="I91" s="36"/>
      <c r="J91" s="36"/>
      <c r="K91" s="36"/>
      <c r="L91" s="36"/>
      <c r="M91" s="36"/>
      <c r="N91" s="36"/>
      <c r="O91" s="36"/>
      <c r="P91" s="36"/>
      <c r="Q91" s="36"/>
      <c r="R91" s="36"/>
      <c r="S91" s="36"/>
      <c r="T91" s="36"/>
      <c r="U91" s="36"/>
      <c r="V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row>
    <row r="92" spans="2:113" s="34" customFormat="1" x14ac:dyDescent="0.25">
      <c r="B92" s="36" t="s">
        <v>95</v>
      </c>
      <c r="C92" s="36"/>
      <c r="D92" s="36"/>
      <c r="E92" s="36"/>
      <c r="H92" s="36"/>
      <c r="I92" s="36"/>
      <c r="J92" s="36"/>
      <c r="K92" s="36"/>
      <c r="L92" s="36"/>
      <c r="M92" s="36"/>
      <c r="N92" s="36"/>
      <c r="O92" s="36"/>
      <c r="P92" s="36"/>
      <c r="Q92" s="36"/>
      <c r="R92" s="36"/>
      <c r="S92" s="36"/>
      <c r="T92" s="36"/>
      <c r="U92" s="36"/>
      <c r="V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6"/>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row>
    <row r="93" spans="2:113" s="34" customFormat="1" x14ac:dyDescent="0.25">
      <c r="Q93" s="36"/>
      <c r="R93" s="36"/>
      <c r="S93" s="36"/>
      <c r="T93" s="36"/>
      <c r="U93" s="36"/>
      <c r="V93" s="36"/>
      <c r="AN93" s="36"/>
      <c r="AO93" s="36"/>
      <c r="AP93" s="36"/>
      <c r="AQ93" s="36"/>
      <c r="AR93" s="36"/>
      <c r="AS93" s="36"/>
      <c r="AT93" s="36"/>
      <c r="AU93" s="36"/>
      <c r="AV93" s="36"/>
      <c r="AW93" s="36"/>
      <c r="AX93" s="36"/>
      <c r="AY93" s="36"/>
      <c r="AZ93" s="36"/>
      <c r="BA93" s="36"/>
      <c r="BB93" s="36"/>
      <c r="BC93" s="36"/>
      <c r="BD93" s="36"/>
      <c r="BE93" s="36"/>
      <c r="BF93" s="36"/>
      <c r="BG93" s="36"/>
      <c r="BH93" s="36"/>
      <c r="BI93" s="36"/>
      <c r="BJ93" s="36"/>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row>
    <row r="94" spans="2:113" s="34" customFormat="1" x14ac:dyDescent="0.25">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row>
  </sheetData>
  <mergeCells count="49">
    <mergeCell ref="B25:B31"/>
    <mergeCell ref="A25:A31"/>
    <mergeCell ref="B81:R81"/>
    <mergeCell ref="L21:M22"/>
    <mergeCell ref="N21:O22"/>
    <mergeCell ref="P21:P22"/>
    <mergeCell ref="D21:D23"/>
    <mergeCell ref="B21:C22"/>
    <mergeCell ref="C32:C35"/>
    <mergeCell ref="B32:B35"/>
    <mergeCell ref="C44:C47"/>
    <mergeCell ref="B44:B47"/>
    <mergeCell ref="C52:C55"/>
    <mergeCell ref="B52:B55"/>
    <mergeCell ref="D30:D31"/>
    <mergeCell ref="C25:C31"/>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32:A35"/>
    <mergeCell ref="A36:A39"/>
    <mergeCell ref="B36:B39"/>
    <mergeCell ref="C36:C39"/>
    <mergeCell ref="C40:C43"/>
    <mergeCell ref="B40:B43"/>
    <mergeCell ref="A40:A43"/>
    <mergeCell ref="A52:A55"/>
    <mergeCell ref="A44:A47"/>
    <mergeCell ref="C48:C51"/>
    <mergeCell ref="B48:B51"/>
    <mergeCell ref="A48:A51"/>
  </mergeCells>
  <pageMargins left="0.78740157480314965" right="0.78740157480314965"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E33" zoomScale="73" zoomScaleSheetLayoutView="73" workbookViewId="0">
      <selection activeCell="R37" sqref="R37"/>
    </sheetView>
  </sheetViews>
  <sheetFormatPr defaultColWidth="10.7109375" defaultRowHeight="15.75" x14ac:dyDescent="0.25"/>
  <cols>
    <col min="1" max="2" width="10.7109375" style="33"/>
    <col min="3" max="3" width="26.7109375" style="33" customWidth="1"/>
    <col min="4" max="4" width="11.5703125" style="33" customWidth="1"/>
    <col min="5" max="5" width="28.7109375" style="33" customWidth="1"/>
    <col min="6" max="6" width="12.7109375" style="33" customWidth="1"/>
    <col min="7" max="7" width="12.85546875" style="33" customWidth="1"/>
    <col min="8" max="8" width="8.7109375" style="33" customWidth="1"/>
    <col min="9" max="9" width="12.85546875" style="33" customWidth="1"/>
    <col min="10" max="10" width="20.140625" style="33" customWidth="1"/>
    <col min="11" max="11" width="11.140625" style="33" customWidth="1"/>
    <col min="12" max="12" width="8.85546875" style="33" customWidth="1"/>
    <col min="13" max="13" width="8.7109375" style="33" customWidth="1"/>
    <col min="14" max="14" width="26.570312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26.7109375" style="33" customWidth="1"/>
    <col min="22" max="22" width="14.42578125" style="33" customWidth="1"/>
    <col min="23" max="23" width="20.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8" t="s">
        <v>66</v>
      </c>
    </row>
    <row r="2" spans="1:27" s="16" customFormat="1" ht="18.75" customHeight="1" x14ac:dyDescent="0.3">
      <c r="Q2" s="134"/>
      <c r="R2" s="134"/>
      <c r="AA2" s="13" t="s">
        <v>8</v>
      </c>
    </row>
    <row r="3" spans="1:27" s="16" customFormat="1" ht="18.75" customHeight="1" x14ac:dyDescent="0.3">
      <c r="Q3" s="134"/>
      <c r="R3" s="134"/>
      <c r="AA3" s="13" t="s">
        <v>65</v>
      </c>
    </row>
    <row r="4" spans="1:27" s="16" customFormat="1" x14ac:dyDescent="0.2">
      <c r="E4" s="135"/>
      <c r="Q4" s="134"/>
      <c r="R4" s="134"/>
    </row>
    <row r="5" spans="1:27" s="16" customFormat="1" x14ac:dyDescent="0.2">
      <c r="A5" s="375" t="str">
        <f>'1. паспорт местоположение'!A5:C5</f>
        <v>Год раскрытия информации: 2021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6" customFormat="1" x14ac:dyDescent="0.2">
      <c r="A6" s="130"/>
      <c r="B6" s="130"/>
      <c r="C6" s="130"/>
      <c r="D6" s="130"/>
      <c r="E6" s="130"/>
      <c r="F6" s="130"/>
      <c r="G6" s="130"/>
      <c r="H6" s="130"/>
      <c r="I6" s="130"/>
      <c r="J6" s="130"/>
      <c r="K6" s="130"/>
      <c r="L6" s="130"/>
      <c r="M6" s="130"/>
      <c r="N6" s="130"/>
      <c r="O6" s="130"/>
      <c r="P6" s="130"/>
      <c r="Q6" s="130"/>
      <c r="R6" s="130"/>
      <c r="S6" s="130"/>
      <c r="T6" s="130"/>
    </row>
    <row r="7" spans="1:27" s="16" customFormat="1" ht="18.75" x14ac:dyDescent="0.2">
      <c r="E7" s="387" t="s">
        <v>7</v>
      </c>
      <c r="F7" s="387"/>
      <c r="G7" s="387"/>
      <c r="H7" s="387"/>
      <c r="I7" s="387"/>
      <c r="J7" s="387"/>
      <c r="K7" s="387"/>
      <c r="L7" s="387"/>
      <c r="M7" s="387"/>
      <c r="N7" s="387"/>
      <c r="O7" s="387"/>
      <c r="P7" s="387"/>
      <c r="Q7" s="387"/>
      <c r="R7" s="387"/>
      <c r="S7" s="387"/>
      <c r="T7" s="387"/>
      <c r="U7" s="387"/>
      <c r="V7" s="387"/>
      <c r="W7" s="387"/>
      <c r="X7" s="387"/>
      <c r="Y7" s="387"/>
    </row>
    <row r="8" spans="1:27" s="16" customFormat="1" ht="18.75" x14ac:dyDescent="0.2">
      <c r="E8" s="153"/>
      <c r="F8" s="153"/>
      <c r="G8" s="153"/>
      <c r="H8" s="153"/>
      <c r="I8" s="153"/>
      <c r="J8" s="153"/>
      <c r="K8" s="153"/>
      <c r="L8" s="153"/>
      <c r="M8" s="153"/>
      <c r="N8" s="153"/>
      <c r="O8" s="153"/>
      <c r="P8" s="153"/>
      <c r="Q8" s="153"/>
      <c r="R8" s="153"/>
      <c r="S8" s="138"/>
      <c r="T8" s="138"/>
      <c r="U8" s="138"/>
      <c r="V8" s="138"/>
      <c r="W8" s="138"/>
    </row>
    <row r="9" spans="1:27" s="16" customFormat="1" ht="18.75" customHeight="1" x14ac:dyDescent="0.2">
      <c r="E9" s="382" t="str">
        <f>'1. паспорт местоположение'!A9</f>
        <v xml:space="preserve">Акционерное общество "Западная энергетическая компания" </v>
      </c>
      <c r="F9" s="382"/>
      <c r="G9" s="382"/>
      <c r="H9" s="382"/>
      <c r="I9" s="382"/>
      <c r="J9" s="382"/>
      <c r="K9" s="382"/>
      <c r="L9" s="382"/>
      <c r="M9" s="382"/>
      <c r="N9" s="382"/>
      <c r="O9" s="382"/>
      <c r="P9" s="382"/>
      <c r="Q9" s="382"/>
      <c r="R9" s="382"/>
      <c r="S9" s="382"/>
      <c r="T9" s="382"/>
      <c r="U9" s="382"/>
      <c r="V9" s="382"/>
      <c r="W9" s="382"/>
      <c r="X9" s="382"/>
      <c r="Y9" s="382"/>
    </row>
    <row r="10" spans="1:27" s="16" customFormat="1" ht="18.75" customHeight="1" x14ac:dyDescent="0.2">
      <c r="E10" s="383" t="s">
        <v>6</v>
      </c>
      <c r="F10" s="383"/>
      <c r="G10" s="383"/>
      <c r="H10" s="383"/>
      <c r="I10" s="383"/>
      <c r="J10" s="383"/>
      <c r="K10" s="383"/>
      <c r="L10" s="383"/>
      <c r="M10" s="383"/>
      <c r="N10" s="383"/>
      <c r="O10" s="383"/>
      <c r="P10" s="383"/>
      <c r="Q10" s="383"/>
      <c r="R10" s="383"/>
      <c r="S10" s="383"/>
      <c r="T10" s="383"/>
      <c r="U10" s="383"/>
      <c r="V10" s="383"/>
      <c r="W10" s="383"/>
      <c r="X10" s="383"/>
      <c r="Y10" s="383"/>
    </row>
    <row r="11" spans="1:27" s="16"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6" customFormat="1" ht="18.75" customHeight="1" x14ac:dyDescent="0.2">
      <c r="E12" s="382" t="str">
        <f>'1. паспорт местоположение'!A12</f>
        <v>K-20-02</v>
      </c>
      <c r="F12" s="382"/>
      <c r="G12" s="382"/>
      <c r="H12" s="382"/>
      <c r="I12" s="382"/>
      <c r="J12" s="382"/>
      <c r="K12" s="382"/>
      <c r="L12" s="382"/>
      <c r="M12" s="382"/>
      <c r="N12" s="382"/>
      <c r="O12" s="382"/>
      <c r="P12" s="382"/>
      <c r="Q12" s="382"/>
      <c r="R12" s="382"/>
      <c r="S12" s="382"/>
      <c r="T12" s="382"/>
      <c r="U12" s="382"/>
      <c r="V12" s="382"/>
      <c r="W12" s="382"/>
      <c r="X12" s="382"/>
      <c r="Y12" s="382"/>
    </row>
    <row r="13" spans="1:27" s="16" customFormat="1" ht="18.75" customHeight="1" x14ac:dyDescent="0.2">
      <c r="E13" s="383" t="s">
        <v>5</v>
      </c>
      <c r="F13" s="383"/>
      <c r="G13" s="383"/>
      <c r="H13" s="383"/>
      <c r="I13" s="383"/>
      <c r="J13" s="383"/>
      <c r="K13" s="383"/>
      <c r="L13" s="383"/>
      <c r="M13" s="383"/>
      <c r="N13" s="383"/>
      <c r="O13" s="383"/>
      <c r="P13" s="383"/>
      <c r="Q13" s="383"/>
      <c r="R13" s="383"/>
      <c r="S13" s="383"/>
      <c r="T13" s="383"/>
      <c r="U13" s="383"/>
      <c r="V13" s="383"/>
      <c r="W13" s="383"/>
      <c r="X13" s="383"/>
      <c r="Y13" s="383"/>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82" t="str">
        <f>'1. паспорт местоположение'!A15</f>
        <v>Приобретение электросетевого комплекса ООО "Татэнерго"</v>
      </c>
      <c r="F15" s="382"/>
      <c r="G15" s="382"/>
      <c r="H15" s="382"/>
      <c r="I15" s="382"/>
      <c r="J15" s="382"/>
      <c r="K15" s="382"/>
      <c r="L15" s="382"/>
      <c r="M15" s="382"/>
      <c r="N15" s="382"/>
      <c r="O15" s="382"/>
      <c r="P15" s="382"/>
      <c r="Q15" s="382"/>
      <c r="R15" s="382"/>
      <c r="S15" s="382"/>
      <c r="T15" s="382"/>
      <c r="U15" s="382"/>
      <c r="V15" s="382"/>
      <c r="W15" s="382"/>
      <c r="X15" s="382"/>
      <c r="Y15" s="382"/>
    </row>
    <row r="16" spans="1:27" s="137" customFormat="1" ht="15" customHeight="1" x14ac:dyDescent="0.2">
      <c r="E16" s="383" t="s">
        <v>4</v>
      </c>
      <c r="F16" s="383"/>
      <c r="G16" s="383"/>
      <c r="H16" s="383"/>
      <c r="I16" s="383"/>
      <c r="J16" s="383"/>
      <c r="K16" s="383"/>
      <c r="L16" s="383"/>
      <c r="M16" s="383"/>
      <c r="N16" s="383"/>
      <c r="O16" s="383"/>
      <c r="P16" s="383"/>
      <c r="Q16" s="383"/>
      <c r="R16" s="383"/>
      <c r="S16" s="383"/>
      <c r="T16" s="383"/>
      <c r="U16" s="383"/>
      <c r="V16" s="383"/>
      <c r="W16" s="383"/>
      <c r="X16" s="383"/>
      <c r="Y16" s="383"/>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399"/>
      <c r="F18" s="399"/>
      <c r="G18" s="399"/>
      <c r="H18" s="399"/>
      <c r="I18" s="399"/>
      <c r="J18" s="399"/>
      <c r="K18" s="399"/>
      <c r="L18" s="399"/>
      <c r="M18" s="399"/>
      <c r="N18" s="399"/>
      <c r="O18" s="399"/>
      <c r="P18" s="399"/>
      <c r="Q18" s="399"/>
      <c r="R18" s="399"/>
      <c r="S18" s="399"/>
      <c r="T18" s="399"/>
      <c r="U18" s="399"/>
      <c r="V18" s="399"/>
      <c r="W18" s="399"/>
      <c r="X18" s="399"/>
      <c r="Y18" s="399"/>
    </row>
    <row r="19" spans="1:27" ht="25.5" customHeight="1" x14ac:dyDescent="0.25">
      <c r="A19" s="399" t="s">
        <v>389</v>
      </c>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row>
    <row r="20" spans="1:27" s="40" customFormat="1" ht="21" customHeight="1" x14ac:dyDescent="0.25"/>
    <row r="21" spans="1:27" ht="15.75" customHeight="1" x14ac:dyDescent="0.25">
      <c r="A21" s="412" t="s">
        <v>3</v>
      </c>
      <c r="B21" s="414" t="s">
        <v>396</v>
      </c>
      <c r="C21" s="415"/>
      <c r="D21" s="414" t="s">
        <v>398</v>
      </c>
      <c r="E21" s="415"/>
      <c r="F21" s="396" t="s">
        <v>88</v>
      </c>
      <c r="G21" s="398"/>
      <c r="H21" s="398"/>
      <c r="I21" s="397"/>
      <c r="J21" s="412" t="s">
        <v>399</v>
      </c>
      <c r="K21" s="414" t="s">
        <v>400</v>
      </c>
      <c r="L21" s="415"/>
      <c r="M21" s="414" t="s">
        <v>401</v>
      </c>
      <c r="N21" s="415"/>
      <c r="O21" s="414" t="s">
        <v>388</v>
      </c>
      <c r="P21" s="415"/>
      <c r="Q21" s="414" t="s">
        <v>121</v>
      </c>
      <c r="R21" s="415"/>
      <c r="S21" s="412" t="s">
        <v>120</v>
      </c>
      <c r="T21" s="412" t="s">
        <v>402</v>
      </c>
      <c r="U21" s="412" t="s">
        <v>397</v>
      </c>
      <c r="V21" s="414" t="s">
        <v>119</v>
      </c>
      <c r="W21" s="415"/>
      <c r="X21" s="396" t="s">
        <v>111</v>
      </c>
      <c r="Y21" s="398"/>
      <c r="Z21" s="396" t="s">
        <v>110</v>
      </c>
      <c r="AA21" s="398"/>
    </row>
    <row r="22" spans="1:27" ht="216" customHeight="1" x14ac:dyDescent="0.25">
      <c r="A22" s="418"/>
      <c r="B22" s="416"/>
      <c r="C22" s="417"/>
      <c r="D22" s="416"/>
      <c r="E22" s="417"/>
      <c r="F22" s="396" t="s">
        <v>118</v>
      </c>
      <c r="G22" s="397"/>
      <c r="H22" s="396" t="s">
        <v>117</v>
      </c>
      <c r="I22" s="397"/>
      <c r="J22" s="413"/>
      <c r="K22" s="416"/>
      <c r="L22" s="417"/>
      <c r="M22" s="416"/>
      <c r="N22" s="417"/>
      <c r="O22" s="416"/>
      <c r="P22" s="417"/>
      <c r="Q22" s="416"/>
      <c r="R22" s="417"/>
      <c r="S22" s="413"/>
      <c r="T22" s="413"/>
      <c r="U22" s="413"/>
      <c r="V22" s="416"/>
      <c r="W22" s="417"/>
      <c r="X22" s="71" t="s">
        <v>109</v>
      </c>
      <c r="Y22" s="71" t="s">
        <v>386</v>
      </c>
      <c r="Z22" s="71" t="s">
        <v>108</v>
      </c>
      <c r="AA22" s="71" t="s">
        <v>107</v>
      </c>
    </row>
    <row r="23" spans="1:27" ht="60" customHeight="1" x14ac:dyDescent="0.25">
      <c r="A23" s="413"/>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1" t="s">
        <v>105</v>
      </c>
      <c r="AA23" s="71" t="s">
        <v>105</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ht="78.75" x14ac:dyDescent="0.25">
      <c r="A25" s="112">
        <v>1</v>
      </c>
      <c r="B25" s="112" t="s">
        <v>297</v>
      </c>
      <c r="C25" s="112" t="s">
        <v>576</v>
      </c>
      <c r="D25" s="112" t="s">
        <v>297</v>
      </c>
      <c r="E25" s="112" t="s">
        <v>576</v>
      </c>
      <c r="F25" s="112" t="s">
        <v>297</v>
      </c>
      <c r="G25" s="112">
        <v>110</v>
      </c>
      <c r="H25" s="112" t="s">
        <v>297</v>
      </c>
      <c r="I25" s="112">
        <v>110</v>
      </c>
      <c r="J25" s="112" t="s">
        <v>297</v>
      </c>
      <c r="K25" s="112" t="s">
        <v>297</v>
      </c>
      <c r="L25" s="112" t="s">
        <v>566</v>
      </c>
      <c r="M25" s="112" t="s">
        <v>297</v>
      </c>
      <c r="N25" s="112" t="s">
        <v>577</v>
      </c>
      <c r="O25" s="112" t="s">
        <v>297</v>
      </c>
      <c r="P25" s="112" t="s">
        <v>567</v>
      </c>
      <c r="Q25" s="112" t="s">
        <v>297</v>
      </c>
      <c r="R25" s="112">
        <v>1.34</v>
      </c>
      <c r="S25" s="112">
        <v>2007</v>
      </c>
      <c r="T25" s="113" t="s">
        <v>297</v>
      </c>
      <c r="U25" s="113" t="s">
        <v>297</v>
      </c>
      <c r="V25" s="112" t="s">
        <v>297</v>
      </c>
      <c r="W25" s="112" t="s">
        <v>641</v>
      </c>
      <c r="X25" s="112" t="s">
        <v>297</v>
      </c>
      <c r="Y25" s="112" t="s">
        <v>297</v>
      </c>
      <c r="Z25" s="112" t="s">
        <v>297</v>
      </c>
      <c r="AA25" s="112" t="s">
        <v>297</v>
      </c>
    </row>
    <row r="26" spans="1:27" s="40" customFormat="1" ht="47.25" x14ac:dyDescent="0.25">
      <c r="A26" s="112">
        <v>2</v>
      </c>
      <c r="B26" s="112" t="s">
        <v>297</v>
      </c>
      <c r="C26" s="112" t="s">
        <v>604</v>
      </c>
      <c r="D26" s="112" t="s">
        <v>297</v>
      </c>
      <c r="E26" s="112" t="s">
        <v>604</v>
      </c>
      <c r="F26" s="112" t="s">
        <v>297</v>
      </c>
      <c r="G26" s="112">
        <v>10</v>
      </c>
      <c r="H26" s="112"/>
      <c r="I26" s="112">
        <v>10</v>
      </c>
      <c r="J26" s="113" t="s">
        <v>297</v>
      </c>
      <c r="K26" s="113" t="s">
        <v>297</v>
      </c>
      <c r="L26" s="113"/>
      <c r="M26" s="112" t="s">
        <v>297</v>
      </c>
      <c r="N26" s="114" t="s">
        <v>605</v>
      </c>
      <c r="O26" s="114" t="s">
        <v>297</v>
      </c>
      <c r="P26" s="114" t="s">
        <v>557</v>
      </c>
      <c r="Q26" s="114" t="s">
        <v>297</v>
      </c>
      <c r="R26" s="114">
        <v>0.34</v>
      </c>
      <c r="S26" s="113" t="s">
        <v>606</v>
      </c>
      <c r="T26" s="113" t="s">
        <v>297</v>
      </c>
      <c r="U26" s="113" t="s">
        <v>297</v>
      </c>
      <c r="V26" s="112" t="s">
        <v>297</v>
      </c>
      <c r="W26" s="112"/>
      <c r="X26" s="112" t="s">
        <v>297</v>
      </c>
      <c r="Y26" s="112" t="s">
        <v>297</v>
      </c>
      <c r="Z26" s="112" t="s">
        <v>297</v>
      </c>
      <c r="AA26" s="112" t="s">
        <v>297</v>
      </c>
    </row>
    <row r="27" spans="1:27" s="40" customFormat="1" ht="47.25" x14ac:dyDescent="0.25">
      <c r="A27" s="112">
        <v>4</v>
      </c>
      <c r="B27" s="112" t="s">
        <v>297</v>
      </c>
      <c r="C27" s="112" t="s">
        <v>607</v>
      </c>
      <c r="D27" s="112" t="s">
        <v>297</v>
      </c>
      <c r="E27" s="112" t="s">
        <v>607</v>
      </c>
      <c r="F27" s="112" t="s">
        <v>297</v>
      </c>
      <c r="G27" s="112">
        <v>10</v>
      </c>
      <c r="H27" s="112"/>
      <c r="I27" s="112">
        <v>10</v>
      </c>
      <c r="J27" s="113" t="s">
        <v>297</v>
      </c>
      <c r="K27" s="113" t="s">
        <v>297</v>
      </c>
      <c r="L27" s="113"/>
      <c r="M27" s="112" t="s">
        <v>297</v>
      </c>
      <c r="N27" s="114" t="s">
        <v>605</v>
      </c>
      <c r="O27" s="114" t="s">
        <v>297</v>
      </c>
      <c r="P27" s="114" t="s">
        <v>557</v>
      </c>
      <c r="Q27" s="114" t="s">
        <v>297</v>
      </c>
      <c r="R27" s="114">
        <v>0.34</v>
      </c>
      <c r="S27" s="113" t="s">
        <v>606</v>
      </c>
      <c r="T27" s="113" t="s">
        <v>297</v>
      </c>
      <c r="U27" s="113" t="s">
        <v>297</v>
      </c>
      <c r="V27" s="112" t="s">
        <v>297</v>
      </c>
      <c r="W27" s="112"/>
      <c r="X27" s="112" t="s">
        <v>297</v>
      </c>
      <c r="Y27" s="112" t="s">
        <v>297</v>
      </c>
      <c r="Z27" s="112" t="s">
        <v>297</v>
      </c>
      <c r="AA27" s="112" t="s">
        <v>297</v>
      </c>
    </row>
    <row r="28" spans="1:27" s="40" customFormat="1" ht="47.25" x14ac:dyDescent="0.25">
      <c r="A28" s="112">
        <v>4</v>
      </c>
      <c r="B28" s="112" t="s">
        <v>297</v>
      </c>
      <c r="C28" s="112" t="s">
        <v>610</v>
      </c>
      <c r="D28" s="112" t="s">
        <v>297</v>
      </c>
      <c r="E28" s="112" t="s">
        <v>610</v>
      </c>
      <c r="F28" s="112" t="s">
        <v>297</v>
      </c>
      <c r="G28" s="112">
        <v>10</v>
      </c>
      <c r="H28" s="112"/>
      <c r="I28" s="112">
        <v>10</v>
      </c>
      <c r="J28" s="113" t="s">
        <v>297</v>
      </c>
      <c r="K28" s="113" t="s">
        <v>297</v>
      </c>
      <c r="L28" s="113"/>
      <c r="M28" s="112" t="s">
        <v>297</v>
      </c>
      <c r="N28" s="114" t="s">
        <v>609</v>
      </c>
      <c r="O28" s="114" t="s">
        <v>297</v>
      </c>
      <c r="P28" s="114" t="s">
        <v>557</v>
      </c>
      <c r="Q28" s="114" t="s">
        <v>297</v>
      </c>
      <c r="R28" s="114">
        <v>0.59</v>
      </c>
      <c r="S28" s="113" t="s">
        <v>583</v>
      </c>
      <c r="T28" s="113" t="s">
        <v>297</v>
      </c>
      <c r="U28" s="113" t="s">
        <v>297</v>
      </c>
      <c r="V28" s="112" t="s">
        <v>297</v>
      </c>
      <c r="W28" s="112"/>
      <c r="X28" s="112" t="s">
        <v>297</v>
      </c>
      <c r="Y28" s="112" t="s">
        <v>297</v>
      </c>
      <c r="Z28" s="112" t="s">
        <v>297</v>
      </c>
      <c r="AA28" s="112" t="s">
        <v>297</v>
      </c>
    </row>
    <row r="29" spans="1:27" s="39" customFormat="1" ht="47.25" x14ac:dyDescent="0.2">
      <c r="A29" s="112">
        <v>5</v>
      </c>
      <c r="B29" s="112" t="s">
        <v>297</v>
      </c>
      <c r="C29" s="112" t="s">
        <v>608</v>
      </c>
      <c r="D29" s="112" t="s">
        <v>297</v>
      </c>
      <c r="E29" s="112" t="s">
        <v>608</v>
      </c>
      <c r="F29" s="112" t="s">
        <v>297</v>
      </c>
      <c r="G29" s="112">
        <v>10</v>
      </c>
      <c r="H29" s="112"/>
      <c r="I29" s="112">
        <v>10</v>
      </c>
      <c r="J29" s="113" t="s">
        <v>297</v>
      </c>
      <c r="K29" s="113" t="s">
        <v>297</v>
      </c>
      <c r="L29" s="113"/>
      <c r="M29" s="112" t="s">
        <v>297</v>
      </c>
      <c r="N29" s="114" t="s">
        <v>609</v>
      </c>
      <c r="O29" s="114" t="s">
        <v>297</v>
      </c>
      <c r="P29" s="114" t="s">
        <v>557</v>
      </c>
      <c r="Q29" s="114" t="s">
        <v>297</v>
      </c>
      <c r="R29" s="114">
        <v>0.59</v>
      </c>
      <c r="S29" s="113" t="s">
        <v>583</v>
      </c>
      <c r="T29" s="113" t="s">
        <v>297</v>
      </c>
      <c r="U29" s="113" t="s">
        <v>297</v>
      </c>
      <c r="V29" s="112" t="s">
        <v>297</v>
      </c>
      <c r="W29" s="112"/>
      <c r="X29" s="112" t="s">
        <v>297</v>
      </c>
      <c r="Y29" s="112" t="s">
        <v>297</v>
      </c>
      <c r="Z29" s="112" t="s">
        <v>297</v>
      </c>
      <c r="AA29" s="112" t="s">
        <v>297</v>
      </c>
    </row>
    <row r="30" spans="1:27" s="39" customFormat="1" ht="78.75" x14ac:dyDescent="0.2">
      <c r="A30" s="112">
        <v>6</v>
      </c>
      <c r="B30" s="112" t="s">
        <v>297</v>
      </c>
      <c r="C30" s="112" t="s">
        <v>611</v>
      </c>
      <c r="D30" s="112" t="s">
        <v>297</v>
      </c>
      <c r="E30" s="112" t="s">
        <v>611</v>
      </c>
      <c r="F30" s="112" t="s">
        <v>297</v>
      </c>
      <c r="G30" s="112">
        <v>10</v>
      </c>
      <c r="H30" s="112"/>
      <c r="I30" s="112">
        <v>10</v>
      </c>
      <c r="J30" s="113" t="s">
        <v>297</v>
      </c>
      <c r="K30" s="113" t="s">
        <v>297</v>
      </c>
      <c r="L30" s="113"/>
      <c r="M30" s="112" t="s">
        <v>297</v>
      </c>
      <c r="N30" s="114" t="s">
        <v>612</v>
      </c>
      <c r="O30" s="114" t="s">
        <v>297</v>
      </c>
      <c r="P30" s="114" t="s">
        <v>557</v>
      </c>
      <c r="Q30" s="114" t="s">
        <v>297</v>
      </c>
      <c r="R30" s="114">
        <v>0.77</v>
      </c>
      <c r="S30" s="113" t="s">
        <v>583</v>
      </c>
      <c r="T30" s="113" t="s">
        <v>297</v>
      </c>
      <c r="U30" s="113" t="s">
        <v>297</v>
      </c>
      <c r="V30" s="112" t="s">
        <v>297</v>
      </c>
      <c r="W30" s="112"/>
      <c r="X30" s="112" t="s">
        <v>297</v>
      </c>
      <c r="Y30" s="112" t="s">
        <v>297</v>
      </c>
      <c r="Z30" s="112" t="s">
        <v>297</v>
      </c>
      <c r="AA30" s="112" t="s">
        <v>297</v>
      </c>
    </row>
    <row r="31" spans="1:27" s="39" customFormat="1" ht="78.75" x14ac:dyDescent="0.2">
      <c r="A31" s="112">
        <v>7</v>
      </c>
      <c r="B31" s="112" t="s">
        <v>297</v>
      </c>
      <c r="C31" s="112" t="s">
        <v>613</v>
      </c>
      <c r="D31" s="112" t="s">
        <v>297</v>
      </c>
      <c r="E31" s="112" t="s">
        <v>613</v>
      </c>
      <c r="F31" s="112" t="s">
        <v>297</v>
      </c>
      <c r="G31" s="112">
        <v>10</v>
      </c>
      <c r="H31" s="112"/>
      <c r="I31" s="112">
        <v>10</v>
      </c>
      <c r="J31" s="113" t="s">
        <v>297</v>
      </c>
      <c r="K31" s="113" t="s">
        <v>297</v>
      </c>
      <c r="L31" s="113"/>
      <c r="M31" s="112" t="s">
        <v>297</v>
      </c>
      <c r="N31" s="114" t="s">
        <v>612</v>
      </c>
      <c r="O31" s="114" t="s">
        <v>297</v>
      </c>
      <c r="P31" s="114" t="s">
        <v>557</v>
      </c>
      <c r="Q31" s="114" t="s">
        <v>297</v>
      </c>
      <c r="R31" s="114">
        <v>0.77</v>
      </c>
      <c r="S31" s="113" t="s">
        <v>583</v>
      </c>
      <c r="T31" s="113" t="s">
        <v>297</v>
      </c>
      <c r="U31" s="113" t="s">
        <v>297</v>
      </c>
      <c r="V31" s="112" t="s">
        <v>297</v>
      </c>
      <c r="W31" s="112"/>
      <c r="X31" s="112" t="s">
        <v>297</v>
      </c>
      <c r="Y31" s="112" t="s">
        <v>297</v>
      </c>
      <c r="Z31" s="112" t="s">
        <v>297</v>
      </c>
      <c r="AA31" s="112" t="s">
        <v>297</v>
      </c>
    </row>
    <row r="32" spans="1:27" s="39" customFormat="1" ht="47.25" x14ac:dyDescent="0.2">
      <c r="A32" s="112">
        <v>8</v>
      </c>
      <c r="B32" s="112" t="s">
        <v>297</v>
      </c>
      <c r="C32" s="112" t="s">
        <v>614</v>
      </c>
      <c r="D32" s="112" t="s">
        <v>297</v>
      </c>
      <c r="E32" s="112" t="s">
        <v>614</v>
      </c>
      <c r="F32" s="112" t="s">
        <v>297</v>
      </c>
      <c r="G32" s="112">
        <v>10</v>
      </c>
      <c r="H32" s="112"/>
      <c r="I32" s="112">
        <v>10</v>
      </c>
      <c r="J32" s="113" t="s">
        <v>297</v>
      </c>
      <c r="K32" s="113" t="s">
        <v>297</v>
      </c>
      <c r="L32" s="113"/>
      <c r="M32" s="112" t="s">
        <v>297</v>
      </c>
      <c r="N32" s="114" t="s">
        <v>609</v>
      </c>
      <c r="O32" s="114" t="s">
        <v>297</v>
      </c>
      <c r="P32" s="114" t="s">
        <v>557</v>
      </c>
      <c r="Q32" s="114" t="s">
        <v>297</v>
      </c>
      <c r="R32" s="114">
        <v>0.08</v>
      </c>
      <c r="S32" s="113" t="s">
        <v>583</v>
      </c>
      <c r="T32" s="113" t="s">
        <v>297</v>
      </c>
      <c r="U32" s="113" t="s">
        <v>297</v>
      </c>
      <c r="V32" s="112" t="s">
        <v>297</v>
      </c>
      <c r="W32" s="112"/>
      <c r="X32" s="112" t="s">
        <v>297</v>
      </c>
      <c r="Y32" s="112" t="s">
        <v>297</v>
      </c>
      <c r="Z32" s="112" t="s">
        <v>297</v>
      </c>
      <c r="AA32" s="112" t="s">
        <v>297</v>
      </c>
    </row>
    <row r="33" spans="1:27" ht="78.75" x14ac:dyDescent="0.25">
      <c r="A33" s="112">
        <v>9</v>
      </c>
      <c r="B33" s="112" t="s">
        <v>297</v>
      </c>
      <c r="C33" s="112" t="s">
        <v>615</v>
      </c>
      <c r="D33" s="112" t="s">
        <v>297</v>
      </c>
      <c r="E33" s="112" t="s">
        <v>615</v>
      </c>
      <c r="F33" s="112" t="s">
        <v>297</v>
      </c>
      <c r="G33" s="112">
        <v>10</v>
      </c>
      <c r="H33" s="112"/>
      <c r="I33" s="112">
        <v>10</v>
      </c>
      <c r="J33" s="113" t="s">
        <v>297</v>
      </c>
      <c r="K33" s="113" t="s">
        <v>297</v>
      </c>
      <c r="L33" s="113"/>
      <c r="M33" s="112" t="s">
        <v>297</v>
      </c>
      <c r="N33" s="114" t="s">
        <v>616</v>
      </c>
      <c r="O33" s="114" t="s">
        <v>297</v>
      </c>
      <c r="P33" s="114" t="s">
        <v>557</v>
      </c>
      <c r="Q33" s="114" t="s">
        <v>297</v>
      </c>
      <c r="R33" s="114">
        <v>0.72699999999999998</v>
      </c>
      <c r="S33" s="113" t="s">
        <v>578</v>
      </c>
      <c r="T33" s="113" t="s">
        <v>297</v>
      </c>
      <c r="U33" s="113" t="s">
        <v>297</v>
      </c>
      <c r="V33" s="112" t="s">
        <v>297</v>
      </c>
      <c r="W33" s="112"/>
      <c r="X33" s="112" t="s">
        <v>297</v>
      </c>
      <c r="Y33" s="112" t="s">
        <v>297</v>
      </c>
      <c r="Z33" s="112" t="s">
        <v>297</v>
      </c>
      <c r="AA33" s="112" t="s">
        <v>297</v>
      </c>
    </row>
    <row r="34" spans="1:27" ht="47.25" x14ac:dyDescent="0.25">
      <c r="A34" s="112">
        <v>10</v>
      </c>
      <c r="B34" s="112" t="s">
        <v>297</v>
      </c>
      <c r="C34" s="112" t="s">
        <v>617</v>
      </c>
      <c r="D34" s="112" t="s">
        <v>297</v>
      </c>
      <c r="E34" s="112" t="s">
        <v>617</v>
      </c>
      <c r="F34" s="112" t="s">
        <v>297</v>
      </c>
      <c r="G34" s="112">
        <v>10</v>
      </c>
      <c r="H34" s="112"/>
      <c r="I34" s="112">
        <v>10</v>
      </c>
      <c r="J34" s="113" t="s">
        <v>297</v>
      </c>
      <c r="K34" s="113" t="s">
        <v>297</v>
      </c>
      <c r="L34" s="113"/>
      <c r="M34" s="112" t="s">
        <v>297</v>
      </c>
      <c r="N34" s="114" t="s">
        <v>618</v>
      </c>
      <c r="O34" s="114" t="s">
        <v>297</v>
      </c>
      <c r="P34" s="114" t="s">
        <v>557</v>
      </c>
      <c r="Q34" s="114" t="s">
        <v>297</v>
      </c>
      <c r="R34" s="114">
        <v>0.375</v>
      </c>
      <c r="S34" s="113" t="s">
        <v>583</v>
      </c>
      <c r="T34" s="113" t="s">
        <v>297</v>
      </c>
      <c r="U34" s="113" t="s">
        <v>297</v>
      </c>
      <c r="V34" s="112" t="s">
        <v>297</v>
      </c>
      <c r="W34" s="112"/>
      <c r="X34" s="112" t="s">
        <v>297</v>
      </c>
      <c r="Y34" s="112" t="s">
        <v>297</v>
      </c>
      <c r="Z34" s="112" t="s">
        <v>297</v>
      </c>
      <c r="AA34" s="112" t="s">
        <v>297</v>
      </c>
    </row>
    <row r="35" spans="1:27" ht="63" x14ac:dyDescent="0.25">
      <c r="A35" s="112">
        <v>11</v>
      </c>
      <c r="B35" s="112" t="s">
        <v>297</v>
      </c>
      <c r="C35" s="112" t="s">
        <v>619</v>
      </c>
      <c r="D35" s="112" t="s">
        <v>297</v>
      </c>
      <c r="E35" s="112" t="s">
        <v>619</v>
      </c>
      <c r="F35" s="112" t="s">
        <v>297</v>
      </c>
      <c r="G35" s="112">
        <v>10</v>
      </c>
      <c r="H35" s="112"/>
      <c r="I35" s="112">
        <v>10</v>
      </c>
      <c r="J35" s="113" t="s">
        <v>297</v>
      </c>
      <c r="K35" s="113" t="s">
        <v>297</v>
      </c>
      <c r="L35" s="113"/>
      <c r="M35" s="112" t="s">
        <v>297</v>
      </c>
      <c r="N35" s="114" t="s">
        <v>618</v>
      </c>
      <c r="O35" s="114" t="s">
        <v>297</v>
      </c>
      <c r="P35" s="114" t="s">
        <v>557</v>
      </c>
      <c r="Q35" s="114" t="s">
        <v>297</v>
      </c>
      <c r="R35" s="114">
        <v>0.40500000000000003</v>
      </c>
      <c r="S35" s="113" t="s">
        <v>583</v>
      </c>
      <c r="T35" s="113" t="s">
        <v>297</v>
      </c>
      <c r="U35" s="113" t="s">
        <v>297</v>
      </c>
      <c r="V35" s="112" t="s">
        <v>297</v>
      </c>
      <c r="W35" s="112"/>
      <c r="X35" s="112" t="s">
        <v>297</v>
      </c>
      <c r="Y35" s="112" t="s">
        <v>297</v>
      </c>
      <c r="Z35" s="112" t="s">
        <v>297</v>
      </c>
      <c r="AA35" s="112" t="s">
        <v>297</v>
      </c>
    </row>
    <row r="36" spans="1:27" ht="78.75" x14ac:dyDescent="0.25">
      <c r="A36" s="112">
        <v>12</v>
      </c>
      <c r="B36" s="112" t="s">
        <v>297</v>
      </c>
      <c r="C36" s="112" t="s">
        <v>620</v>
      </c>
      <c r="D36" s="112" t="s">
        <v>297</v>
      </c>
      <c r="E36" s="112" t="s">
        <v>620</v>
      </c>
      <c r="F36" s="112" t="s">
        <v>297</v>
      </c>
      <c r="G36" s="112">
        <v>10</v>
      </c>
      <c r="H36" s="112"/>
      <c r="I36" s="112">
        <v>10</v>
      </c>
      <c r="J36" s="113" t="s">
        <v>297</v>
      </c>
      <c r="K36" s="113" t="s">
        <v>297</v>
      </c>
      <c r="L36" s="113"/>
      <c r="M36" s="112" t="s">
        <v>297</v>
      </c>
      <c r="N36" s="114" t="s">
        <v>616</v>
      </c>
      <c r="O36" s="114" t="s">
        <v>297</v>
      </c>
      <c r="P36" s="114" t="s">
        <v>557</v>
      </c>
      <c r="Q36" s="114" t="s">
        <v>297</v>
      </c>
      <c r="R36" s="114">
        <v>0.752</v>
      </c>
      <c r="S36" s="113" t="s">
        <v>578</v>
      </c>
      <c r="T36" s="113" t="s">
        <v>297</v>
      </c>
      <c r="U36" s="113" t="s">
        <v>297</v>
      </c>
      <c r="V36" s="112" t="s">
        <v>297</v>
      </c>
      <c r="W36" s="112"/>
      <c r="X36" s="112" t="s">
        <v>297</v>
      </c>
      <c r="Y36" s="112" t="s">
        <v>297</v>
      </c>
      <c r="Z36" s="112" t="s">
        <v>297</v>
      </c>
      <c r="AA36" s="112" t="s">
        <v>297</v>
      </c>
    </row>
    <row r="37" spans="1:27" x14ac:dyDescent="0.25">
      <c r="R37" s="33">
        <f>SUM(R26:R36)</f>
        <v>5.7389999999999999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SheetLayoutView="100" workbookViewId="0">
      <selection activeCell="C33" sqref="C33"/>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6" customFormat="1" ht="18.75" customHeight="1" x14ac:dyDescent="0.2">
      <c r="C1" s="28" t="s">
        <v>66</v>
      </c>
      <c r="E1" s="134"/>
      <c r="F1" s="134"/>
    </row>
    <row r="2" spans="1:29" s="16" customFormat="1" ht="18.75" customHeight="1" x14ac:dyDescent="0.3">
      <c r="C2" s="13" t="s">
        <v>8</v>
      </c>
      <c r="E2" s="134"/>
      <c r="F2" s="134"/>
    </row>
    <row r="3" spans="1:29" s="16" customFormat="1" ht="18.75" x14ac:dyDescent="0.3">
      <c r="A3" s="135"/>
      <c r="C3" s="13" t="s">
        <v>65</v>
      </c>
      <c r="E3" s="134"/>
      <c r="F3" s="134"/>
    </row>
    <row r="4" spans="1:29" s="16" customFormat="1" ht="18.75" x14ac:dyDescent="0.3">
      <c r="A4" s="135"/>
      <c r="C4" s="13"/>
      <c r="E4" s="134"/>
      <c r="F4" s="134"/>
    </row>
    <row r="5" spans="1:29" s="16" customFormat="1" ht="15.75" x14ac:dyDescent="0.2">
      <c r="A5" s="375" t="str">
        <f>'1. паспорт местоположение'!A5:C5</f>
        <v>Год раскрытия информации: 2021 год</v>
      </c>
      <c r="B5" s="375"/>
      <c r="C5" s="37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6" customFormat="1" ht="18.75" x14ac:dyDescent="0.3">
      <c r="A6" s="135"/>
      <c r="E6" s="134"/>
      <c r="F6" s="134"/>
      <c r="G6" s="13"/>
    </row>
    <row r="7" spans="1:29" s="16" customFormat="1" ht="18.75" x14ac:dyDescent="0.2">
      <c r="A7" s="387" t="s">
        <v>7</v>
      </c>
      <c r="B7" s="387"/>
      <c r="C7" s="387"/>
      <c r="D7" s="138"/>
      <c r="E7" s="138"/>
      <c r="F7" s="138"/>
      <c r="G7" s="138"/>
      <c r="H7" s="138"/>
      <c r="I7" s="138"/>
      <c r="J7" s="138"/>
      <c r="K7" s="138"/>
      <c r="L7" s="138"/>
      <c r="M7" s="138"/>
      <c r="N7" s="138"/>
      <c r="O7" s="138"/>
      <c r="P7" s="138"/>
      <c r="Q7" s="138"/>
      <c r="R7" s="138"/>
      <c r="S7" s="138"/>
      <c r="T7" s="138"/>
      <c r="U7" s="138"/>
    </row>
    <row r="8" spans="1:29" s="16" customFormat="1" ht="18.75" x14ac:dyDescent="0.2">
      <c r="A8" s="387"/>
      <c r="B8" s="387"/>
      <c r="C8" s="387"/>
      <c r="D8" s="153"/>
      <c r="E8" s="153"/>
      <c r="F8" s="153"/>
      <c r="G8" s="153"/>
      <c r="H8" s="138"/>
      <c r="I8" s="138"/>
      <c r="J8" s="138"/>
      <c r="K8" s="138"/>
      <c r="L8" s="138"/>
      <c r="M8" s="138"/>
      <c r="N8" s="138"/>
      <c r="O8" s="138"/>
      <c r="P8" s="138"/>
      <c r="Q8" s="138"/>
      <c r="R8" s="138"/>
      <c r="S8" s="138"/>
      <c r="T8" s="138"/>
      <c r="U8" s="138"/>
    </row>
    <row r="9" spans="1:29" s="16" customFormat="1" ht="18.75" x14ac:dyDescent="0.2">
      <c r="A9" s="382" t="str">
        <f>'1. паспорт местоположение'!A9:C9</f>
        <v xml:space="preserve">Акционерное общество "Западная энергетическая компания" </v>
      </c>
      <c r="B9" s="382"/>
      <c r="C9" s="382"/>
      <c r="D9" s="140"/>
      <c r="E9" s="140"/>
      <c r="F9" s="140"/>
      <c r="G9" s="140"/>
      <c r="H9" s="138"/>
      <c r="I9" s="138"/>
      <c r="J9" s="138"/>
      <c r="K9" s="138"/>
      <c r="L9" s="138"/>
      <c r="M9" s="138"/>
      <c r="N9" s="138"/>
      <c r="O9" s="138"/>
      <c r="P9" s="138"/>
      <c r="Q9" s="138"/>
      <c r="R9" s="138"/>
      <c r="S9" s="138"/>
      <c r="T9" s="138"/>
      <c r="U9" s="138"/>
    </row>
    <row r="10" spans="1:29" s="16" customFormat="1" ht="18.75" x14ac:dyDescent="0.2">
      <c r="A10" s="383" t="s">
        <v>6</v>
      </c>
      <c r="B10" s="383"/>
      <c r="C10" s="383"/>
      <c r="D10" s="141"/>
      <c r="E10" s="141"/>
      <c r="F10" s="141"/>
      <c r="G10" s="141"/>
      <c r="H10" s="138"/>
      <c r="I10" s="138"/>
      <c r="J10" s="138"/>
      <c r="K10" s="138"/>
      <c r="L10" s="138"/>
      <c r="M10" s="138"/>
      <c r="N10" s="138"/>
      <c r="O10" s="138"/>
      <c r="P10" s="138"/>
      <c r="Q10" s="138"/>
      <c r="R10" s="138"/>
      <c r="S10" s="138"/>
      <c r="T10" s="138"/>
      <c r="U10" s="138"/>
    </row>
    <row r="11" spans="1:29" s="16" customFormat="1" ht="18.75" x14ac:dyDescent="0.2">
      <c r="A11" s="387"/>
      <c r="B11" s="387"/>
      <c r="C11" s="387"/>
      <c r="D11" s="153"/>
      <c r="E11" s="153"/>
      <c r="F11" s="153"/>
      <c r="G11" s="153"/>
      <c r="H11" s="138"/>
      <c r="I11" s="138"/>
      <c r="J11" s="138"/>
      <c r="K11" s="138"/>
      <c r="L11" s="138"/>
      <c r="M11" s="138"/>
      <c r="N11" s="138"/>
      <c r="O11" s="138"/>
      <c r="P11" s="138"/>
      <c r="Q11" s="138"/>
      <c r="R11" s="138"/>
      <c r="S11" s="138"/>
      <c r="T11" s="138"/>
      <c r="U11" s="138"/>
    </row>
    <row r="12" spans="1:29" s="16" customFormat="1" ht="18.75" x14ac:dyDescent="0.2">
      <c r="A12" s="382" t="str">
        <f>'1. паспорт местоположение'!A12:C12</f>
        <v>K-20-02</v>
      </c>
      <c r="B12" s="382"/>
      <c r="C12" s="382"/>
      <c r="D12" s="140"/>
      <c r="E12" s="140"/>
      <c r="F12" s="140"/>
      <c r="G12" s="140"/>
      <c r="H12" s="138"/>
      <c r="I12" s="138"/>
      <c r="J12" s="138"/>
      <c r="K12" s="138"/>
      <c r="L12" s="138"/>
      <c r="M12" s="138"/>
      <c r="N12" s="138"/>
      <c r="O12" s="138"/>
      <c r="P12" s="138"/>
      <c r="Q12" s="138"/>
      <c r="R12" s="138"/>
      <c r="S12" s="138"/>
      <c r="T12" s="138"/>
      <c r="U12" s="138"/>
    </row>
    <row r="13" spans="1:29" s="16" customFormat="1" ht="18.75" x14ac:dyDescent="0.2">
      <c r="A13" s="383" t="s">
        <v>5</v>
      </c>
      <c r="B13" s="383"/>
      <c r="C13" s="383"/>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388"/>
      <c r="B14" s="388"/>
      <c r="C14" s="388"/>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419" t="str">
        <f>'1. паспорт местоположение'!A15:C15</f>
        <v>Приобретение электросетевого комплекса ООО "Татэнерго"</v>
      </c>
      <c r="B15" s="419"/>
      <c r="C15" s="419"/>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83" t="s">
        <v>4</v>
      </c>
      <c r="B16" s="383"/>
      <c r="C16" s="383"/>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384"/>
      <c r="B17" s="384"/>
      <c r="C17" s="384"/>
      <c r="D17" s="142"/>
      <c r="E17" s="142"/>
      <c r="F17" s="142"/>
      <c r="G17" s="142"/>
      <c r="H17" s="142"/>
      <c r="I17" s="142"/>
      <c r="J17" s="142"/>
      <c r="K17" s="142"/>
      <c r="L17" s="142"/>
      <c r="M17" s="142"/>
      <c r="N17" s="142"/>
      <c r="O17" s="142"/>
      <c r="P17" s="142"/>
      <c r="Q17" s="142"/>
      <c r="R17" s="142"/>
    </row>
    <row r="18" spans="1:21" s="137" customFormat="1" ht="27.75" customHeight="1" x14ac:dyDescent="0.2">
      <c r="A18" s="385" t="s">
        <v>381</v>
      </c>
      <c r="B18" s="385"/>
      <c r="C18" s="385"/>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3" t="s">
        <v>394</v>
      </c>
      <c r="C22" s="226" t="s">
        <v>626</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627</v>
      </c>
      <c r="D23" s="151"/>
      <c r="E23" s="151"/>
      <c r="F23" s="151"/>
      <c r="G23" s="151"/>
      <c r="H23" s="151"/>
      <c r="I23" s="151"/>
      <c r="J23" s="151"/>
      <c r="K23" s="151"/>
      <c r="L23" s="151"/>
      <c r="M23" s="151"/>
      <c r="N23" s="151"/>
      <c r="O23" s="151"/>
      <c r="P23" s="151"/>
      <c r="Q23" s="151"/>
      <c r="R23" s="151"/>
      <c r="S23" s="151"/>
      <c r="T23" s="151"/>
      <c r="U23" s="151"/>
    </row>
    <row r="24" spans="1:21" ht="153.75" customHeight="1" x14ac:dyDescent="0.25">
      <c r="A24" s="156" t="s">
        <v>60</v>
      </c>
      <c r="B24" s="157" t="s">
        <v>413</v>
      </c>
      <c r="C24" s="32" t="s">
        <v>642</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158" t="s">
        <v>570</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438</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625</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2020</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2020</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688</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8" t="s">
        <v>66</v>
      </c>
    </row>
    <row r="2" spans="1:28" ht="18.75" x14ac:dyDescent="0.3">
      <c r="Z2" s="13" t="s">
        <v>8</v>
      </c>
    </row>
    <row r="3" spans="1:28" ht="18.75" x14ac:dyDescent="0.3">
      <c r="Z3" s="13" t="s">
        <v>65</v>
      </c>
    </row>
    <row r="4" spans="1:28" ht="18.75" customHeight="1" x14ac:dyDescent="0.25">
      <c r="A4" s="375" t="str">
        <f>'1. паспорт местоположение'!A5:C5</f>
        <v>Год раскрытия информации: 2021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87" t="s">
        <v>7</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38"/>
      <c r="AB6" s="138"/>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38"/>
      <c r="AB7" s="138"/>
    </row>
    <row r="8" spans="1:28" ht="15.75" x14ac:dyDescent="0.25">
      <c r="A8" s="382" t="str">
        <f>'1. паспорт местоположение'!A9:C9</f>
        <v xml:space="preserve">Акционерное общество "Западная энергетическая компания" </v>
      </c>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140"/>
      <c r="AB8" s="140"/>
    </row>
    <row r="9" spans="1:28" ht="15.75" x14ac:dyDescent="0.25">
      <c r="A9" s="383" t="s">
        <v>6</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141"/>
      <c r="AB9" s="141"/>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38"/>
      <c r="AB10" s="138"/>
    </row>
    <row r="11" spans="1:28" ht="15.75" x14ac:dyDescent="0.25">
      <c r="A11" s="382" t="str">
        <f>'1. паспорт местоположение'!A12:C12</f>
        <v>K-20-02</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140"/>
      <c r="AB11" s="140"/>
    </row>
    <row r="12" spans="1:28" ht="15.75" x14ac:dyDescent="0.25">
      <c r="A12" s="383" t="s">
        <v>5</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141"/>
      <c r="AB12" s="141"/>
    </row>
    <row r="13" spans="1:28" ht="18.75" x14ac:dyDescent="0.25">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160"/>
      <c r="AB13" s="160"/>
    </row>
    <row r="14" spans="1:28" ht="15.75" x14ac:dyDescent="0.25">
      <c r="A14" s="382" t="str">
        <f>'1. паспорт местоположение'!A15:C15</f>
        <v>Приобретение электросетевого комплекса ООО "Татэнерго"</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40"/>
      <c r="AB14" s="140"/>
    </row>
    <row r="15" spans="1:28" ht="15.75" x14ac:dyDescent="0.25">
      <c r="A15" s="383" t="s">
        <v>4</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141"/>
      <c r="AB15" s="141"/>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61"/>
      <c r="AB16" s="161"/>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61"/>
      <c r="AB17" s="161"/>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61"/>
      <c r="AB18" s="161"/>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61"/>
      <c r="AB19" s="161"/>
    </row>
    <row r="20" spans="1:28"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162"/>
      <c r="AB20" s="162"/>
    </row>
    <row r="21" spans="1:28" x14ac:dyDescent="0.25">
      <c r="A21" s="421"/>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162"/>
      <c r="AB21" s="162"/>
    </row>
    <row r="22" spans="1:28" x14ac:dyDescent="0.25">
      <c r="A22" s="422" t="s">
        <v>412</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163"/>
      <c r="AB22" s="163"/>
    </row>
    <row r="23" spans="1:28" ht="32.25" customHeight="1" x14ac:dyDescent="0.25">
      <c r="A23" s="424" t="s">
        <v>295</v>
      </c>
      <c r="B23" s="425"/>
      <c r="C23" s="425"/>
      <c r="D23" s="425"/>
      <c r="E23" s="425"/>
      <c r="F23" s="425"/>
      <c r="G23" s="425"/>
      <c r="H23" s="425"/>
      <c r="I23" s="425"/>
      <c r="J23" s="425"/>
      <c r="K23" s="425"/>
      <c r="L23" s="426"/>
      <c r="M23" s="423" t="s">
        <v>296</v>
      </c>
      <c r="N23" s="423"/>
      <c r="O23" s="423"/>
      <c r="P23" s="423"/>
      <c r="Q23" s="423"/>
      <c r="R23" s="423"/>
      <c r="S23" s="423"/>
      <c r="T23" s="423"/>
      <c r="U23" s="423"/>
      <c r="V23" s="423"/>
      <c r="W23" s="423"/>
      <c r="X23" s="423"/>
      <c r="Y23" s="423"/>
      <c r="Z23" s="423"/>
    </row>
    <row r="24" spans="1:28" ht="151.5" customHeight="1" x14ac:dyDescent="0.25">
      <c r="A24" s="164" t="s">
        <v>210</v>
      </c>
      <c r="B24" s="165" t="s">
        <v>230</v>
      </c>
      <c r="C24" s="164" t="s">
        <v>293</v>
      </c>
      <c r="D24" s="164" t="s">
        <v>211</v>
      </c>
      <c r="E24" s="164" t="s">
        <v>294</v>
      </c>
      <c r="F24" s="164" t="s">
        <v>446</v>
      </c>
      <c r="G24" s="164" t="s">
        <v>447</v>
      </c>
      <c r="H24" s="164" t="s">
        <v>212</v>
      </c>
      <c r="I24" s="164" t="s">
        <v>448</v>
      </c>
      <c r="J24" s="164" t="s">
        <v>235</v>
      </c>
      <c r="K24" s="165" t="s">
        <v>229</v>
      </c>
      <c r="L24" s="165" t="s">
        <v>213</v>
      </c>
      <c r="M24" s="166" t="s">
        <v>242</v>
      </c>
      <c r="N24" s="165" t="s">
        <v>449</v>
      </c>
      <c r="O24" s="164" t="s">
        <v>450</v>
      </c>
      <c r="P24" s="164" t="s">
        <v>451</v>
      </c>
      <c r="Q24" s="164" t="s">
        <v>452</v>
      </c>
      <c r="R24" s="164" t="s">
        <v>212</v>
      </c>
      <c r="S24" s="164" t="s">
        <v>453</v>
      </c>
      <c r="T24" s="164" t="s">
        <v>454</v>
      </c>
      <c r="U24" s="164" t="s">
        <v>455</v>
      </c>
      <c r="V24" s="164" t="s">
        <v>452</v>
      </c>
      <c r="W24" s="167" t="s">
        <v>456</v>
      </c>
      <c r="X24" s="167" t="s">
        <v>457</v>
      </c>
      <c r="Y24" s="167" t="s">
        <v>458</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459</v>
      </c>
      <c r="D26" s="171" t="s">
        <v>460</v>
      </c>
      <c r="E26" s="171" t="s">
        <v>461</v>
      </c>
      <c r="F26" s="171" t="s">
        <v>462</v>
      </c>
      <c r="G26" s="171" t="s">
        <v>463</v>
      </c>
      <c r="H26" s="171" t="s">
        <v>212</v>
      </c>
      <c r="I26" s="171" t="s">
        <v>464</v>
      </c>
      <c r="J26" s="171" t="s">
        <v>465</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466</v>
      </c>
      <c r="G27" s="171" t="s">
        <v>467</v>
      </c>
      <c r="H27" s="172" t="s">
        <v>212</v>
      </c>
      <c r="I27" s="171" t="s">
        <v>468</v>
      </c>
      <c r="J27" s="171" t="s">
        <v>469</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470</v>
      </c>
      <c r="G28" s="171" t="s">
        <v>471</v>
      </c>
      <c r="H28" s="172" t="s">
        <v>212</v>
      </c>
      <c r="I28" s="171" t="s">
        <v>236</v>
      </c>
      <c r="J28" s="171" t="s">
        <v>472</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473</v>
      </c>
      <c r="G29" s="171" t="s">
        <v>474</v>
      </c>
      <c r="H29" s="172" t="s">
        <v>212</v>
      </c>
      <c r="I29" s="171" t="s">
        <v>237</v>
      </c>
      <c r="J29" s="171" t="s">
        <v>475</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476</v>
      </c>
      <c r="G30" s="171" t="s">
        <v>477</v>
      </c>
      <c r="H30" s="172" t="s">
        <v>212</v>
      </c>
      <c r="I30" s="171" t="s">
        <v>238</v>
      </c>
      <c r="J30" s="171" t="s">
        <v>478</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479</v>
      </c>
      <c r="D32" s="171" t="s">
        <v>480</v>
      </c>
      <c r="E32" s="171" t="s">
        <v>481</v>
      </c>
      <c r="F32" s="171" t="s">
        <v>482</v>
      </c>
      <c r="G32" s="171" t="s">
        <v>483</v>
      </c>
      <c r="H32" s="171" t="s">
        <v>212</v>
      </c>
      <c r="I32" s="171" t="s">
        <v>484</v>
      </c>
      <c r="J32" s="171" t="s">
        <v>485</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6" customFormat="1" ht="18.75" customHeight="1" x14ac:dyDescent="0.2">
      <c r="O1" s="28" t="s">
        <v>66</v>
      </c>
    </row>
    <row r="2" spans="1:28" s="16" customFormat="1" ht="18.75" customHeight="1" x14ac:dyDescent="0.3">
      <c r="O2" s="13" t="s">
        <v>8</v>
      </c>
    </row>
    <row r="3" spans="1:28" s="16" customFormat="1" ht="18.75" x14ac:dyDescent="0.3">
      <c r="A3" s="135"/>
      <c r="B3" s="135"/>
      <c r="O3" s="13" t="s">
        <v>65</v>
      </c>
    </row>
    <row r="4" spans="1:28" s="16" customFormat="1" ht="18.75" x14ac:dyDescent="0.3">
      <c r="A4" s="135"/>
      <c r="B4" s="135"/>
      <c r="L4" s="13"/>
    </row>
    <row r="5" spans="1:28" s="16" customFormat="1" ht="15.75" x14ac:dyDescent="0.2">
      <c r="A5" s="375" t="str">
        <f>'1. паспорт местоположение'!A5:C5</f>
        <v>Год раскрытия информации: 2021 год</v>
      </c>
      <c r="B5" s="375"/>
      <c r="C5" s="375"/>
      <c r="D5" s="375"/>
      <c r="E5" s="375"/>
      <c r="F5" s="375"/>
      <c r="G5" s="375"/>
      <c r="H5" s="375"/>
      <c r="I5" s="375"/>
      <c r="J5" s="375"/>
      <c r="K5" s="375"/>
      <c r="L5" s="375"/>
      <c r="M5" s="375"/>
      <c r="N5" s="375"/>
      <c r="O5" s="375"/>
      <c r="P5" s="105"/>
      <c r="Q5" s="105"/>
      <c r="R5" s="105"/>
      <c r="S5" s="105"/>
      <c r="T5" s="105"/>
      <c r="U5" s="105"/>
      <c r="V5" s="105"/>
      <c r="W5" s="105"/>
      <c r="X5" s="105"/>
      <c r="Y5" s="105"/>
      <c r="Z5" s="105"/>
      <c r="AA5" s="105"/>
      <c r="AB5" s="105"/>
    </row>
    <row r="6" spans="1:28" s="16" customFormat="1" ht="18.75" x14ac:dyDescent="0.3">
      <c r="A6" s="135"/>
      <c r="B6" s="135"/>
      <c r="L6" s="13"/>
    </row>
    <row r="7" spans="1:28" s="16" customFormat="1" ht="18.75" x14ac:dyDescent="0.2">
      <c r="A7" s="387" t="s">
        <v>7</v>
      </c>
      <c r="B7" s="387"/>
      <c r="C7" s="387"/>
      <c r="D7" s="387"/>
      <c r="E7" s="387"/>
      <c r="F7" s="387"/>
      <c r="G7" s="387"/>
      <c r="H7" s="387"/>
      <c r="I7" s="387"/>
      <c r="J7" s="387"/>
      <c r="K7" s="387"/>
      <c r="L7" s="387"/>
      <c r="M7" s="387"/>
      <c r="N7" s="387"/>
      <c r="O7" s="387"/>
      <c r="P7" s="138"/>
      <c r="Q7" s="138"/>
      <c r="R7" s="138"/>
      <c r="S7" s="138"/>
      <c r="T7" s="138"/>
      <c r="U7" s="138"/>
      <c r="V7" s="138"/>
      <c r="W7" s="138"/>
      <c r="X7" s="138"/>
      <c r="Y7" s="138"/>
      <c r="Z7" s="138"/>
    </row>
    <row r="8" spans="1:28" s="16" customFormat="1" ht="18.75" x14ac:dyDescent="0.2">
      <c r="A8" s="387"/>
      <c r="B8" s="387"/>
      <c r="C8" s="387"/>
      <c r="D8" s="387"/>
      <c r="E8" s="387"/>
      <c r="F8" s="387"/>
      <c r="G8" s="387"/>
      <c r="H8" s="387"/>
      <c r="I8" s="387"/>
      <c r="J8" s="387"/>
      <c r="K8" s="387"/>
      <c r="L8" s="387"/>
      <c r="M8" s="387"/>
      <c r="N8" s="387"/>
      <c r="O8" s="387"/>
      <c r="P8" s="138"/>
      <c r="Q8" s="138"/>
      <c r="R8" s="138"/>
      <c r="S8" s="138"/>
      <c r="T8" s="138"/>
      <c r="U8" s="138"/>
      <c r="V8" s="138"/>
      <c r="W8" s="138"/>
      <c r="X8" s="138"/>
      <c r="Y8" s="138"/>
      <c r="Z8" s="138"/>
    </row>
    <row r="9" spans="1:28" s="16" customFormat="1" ht="18.75" x14ac:dyDescent="0.2">
      <c r="A9" s="382" t="str">
        <f>'1. паспорт местоположение'!A9:C9</f>
        <v xml:space="preserve">Акционерное общество "Западная энергетическая компания" </v>
      </c>
      <c r="B9" s="382"/>
      <c r="C9" s="382"/>
      <c r="D9" s="382"/>
      <c r="E9" s="382"/>
      <c r="F9" s="382"/>
      <c r="G9" s="382"/>
      <c r="H9" s="382"/>
      <c r="I9" s="382"/>
      <c r="J9" s="382"/>
      <c r="K9" s="382"/>
      <c r="L9" s="382"/>
      <c r="M9" s="382"/>
      <c r="N9" s="382"/>
      <c r="O9" s="382"/>
      <c r="P9" s="138"/>
      <c r="Q9" s="138"/>
      <c r="R9" s="138"/>
      <c r="S9" s="138"/>
      <c r="T9" s="138"/>
      <c r="U9" s="138"/>
      <c r="V9" s="138"/>
      <c r="W9" s="138"/>
      <c r="X9" s="138"/>
      <c r="Y9" s="138"/>
      <c r="Z9" s="138"/>
    </row>
    <row r="10" spans="1:28" s="16" customFormat="1" ht="18.75" x14ac:dyDescent="0.2">
      <c r="A10" s="383" t="s">
        <v>6</v>
      </c>
      <c r="B10" s="383"/>
      <c r="C10" s="383"/>
      <c r="D10" s="383"/>
      <c r="E10" s="383"/>
      <c r="F10" s="383"/>
      <c r="G10" s="383"/>
      <c r="H10" s="383"/>
      <c r="I10" s="383"/>
      <c r="J10" s="383"/>
      <c r="K10" s="383"/>
      <c r="L10" s="383"/>
      <c r="M10" s="383"/>
      <c r="N10" s="383"/>
      <c r="O10" s="383"/>
      <c r="P10" s="138"/>
      <c r="Q10" s="138"/>
      <c r="R10" s="138"/>
      <c r="S10" s="138"/>
      <c r="T10" s="138"/>
      <c r="U10" s="138"/>
      <c r="V10" s="138"/>
      <c r="W10" s="138"/>
      <c r="X10" s="138"/>
      <c r="Y10" s="138"/>
      <c r="Z10" s="138"/>
    </row>
    <row r="11" spans="1:28" s="16" customFormat="1" ht="18.75" x14ac:dyDescent="0.2">
      <c r="A11" s="387"/>
      <c r="B11" s="387"/>
      <c r="C11" s="387"/>
      <c r="D11" s="387"/>
      <c r="E11" s="387"/>
      <c r="F11" s="387"/>
      <c r="G11" s="387"/>
      <c r="H11" s="387"/>
      <c r="I11" s="387"/>
      <c r="J11" s="387"/>
      <c r="K11" s="387"/>
      <c r="L11" s="387"/>
      <c r="M11" s="387"/>
      <c r="N11" s="387"/>
      <c r="O11" s="387"/>
      <c r="P11" s="138"/>
      <c r="Q11" s="138"/>
      <c r="R11" s="138"/>
      <c r="S11" s="138"/>
      <c r="T11" s="138"/>
      <c r="U11" s="138"/>
      <c r="V11" s="138"/>
      <c r="W11" s="138"/>
      <c r="X11" s="138"/>
      <c r="Y11" s="138"/>
      <c r="Z11" s="138"/>
    </row>
    <row r="12" spans="1:28" s="16" customFormat="1" ht="18.75" x14ac:dyDescent="0.2">
      <c r="A12" s="382" t="str">
        <f>'1. паспорт местоположение'!A12:C12</f>
        <v>K-20-02</v>
      </c>
      <c r="B12" s="382"/>
      <c r="C12" s="382"/>
      <c r="D12" s="382"/>
      <c r="E12" s="382"/>
      <c r="F12" s="382"/>
      <c r="G12" s="382"/>
      <c r="H12" s="382"/>
      <c r="I12" s="382"/>
      <c r="J12" s="382"/>
      <c r="K12" s="382"/>
      <c r="L12" s="382"/>
      <c r="M12" s="382"/>
      <c r="N12" s="382"/>
      <c r="O12" s="382"/>
      <c r="P12" s="138"/>
      <c r="Q12" s="138"/>
      <c r="R12" s="138"/>
      <c r="S12" s="138"/>
      <c r="T12" s="138"/>
      <c r="U12" s="138"/>
      <c r="V12" s="138"/>
      <c r="W12" s="138"/>
      <c r="X12" s="138"/>
      <c r="Y12" s="138"/>
      <c r="Z12" s="138"/>
    </row>
    <row r="13" spans="1:28" s="16" customFormat="1" ht="18.75" x14ac:dyDescent="0.2">
      <c r="A13" s="383" t="s">
        <v>5</v>
      </c>
      <c r="B13" s="383"/>
      <c r="C13" s="383"/>
      <c r="D13" s="383"/>
      <c r="E13" s="383"/>
      <c r="F13" s="383"/>
      <c r="G13" s="383"/>
      <c r="H13" s="383"/>
      <c r="I13" s="383"/>
      <c r="J13" s="383"/>
      <c r="K13" s="383"/>
      <c r="L13" s="383"/>
      <c r="M13" s="383"/>
      <c r="N13" s="383"/>
      <c r="O13" s="383"/>
      <c r="P13" s="138"/>
      <c r="Q13" s="138"/>
      <c r="R13" s="138"/>
      <c r="S13" s="138"/>
      <c r="T13" s="138"/>
      <c r="U13" s="138"/>
      <c r="V13" s="138"/>
      <c r="W13" s="138"/>
      <c r="X13" s="138"/>
      <c r="Y13" s="138"/>
      <c r="Z13" s="138"/>
    </row>
    <row r="14" spans="1:28" s="136" customFormat="1" ht="15.75" customHeight="1" x14ac:dyDescent="0.2">
      <c r="A14" s="388"/>
      <c r="B14" s="388"/>
      <c r="C14" s="388"/>
      <c r="D14" s="388"/>
      <c r="E14" s="388"/>
      <c r="F14" s="388"/>
      <c r="G14" s="388"/>
      <c r="H14" s="388"/>
      <c r="I14" s="388"/>
      <c r="J14" s="388"/>
      <c r="K14" s="388"/>
      <c r="L14" s="388"/>
      <c r="M14" s="388"/>
      <c r="N14" s="388"/>
      <c r="O14" s="388"/>
      <c r="P14" s="139"/>
      <c r="Q14" s="139"/>
      <c r="R14" s="139"/>
      <c r="S14" s="139"/>
      <c r="T14" s="139"/>
      <c r="U14" s="139"/>
      <c r="V14" s="139"/>
      <c r="W14" s="139"/>
      <c r="X14" s="139"/>
      <c r="Y14" s="139"/>
      <c r="Z14" s="139"/>
    </row>
    <row r="15" spans="1:28" s="137" customFormat="1" ht="15.75" x14ac:dyDescent="0.2">
      <c r="A15" s="382" t="str">
        <f>'1. паспорт местоположение'!A15:C15</f>
        <v>Приобретение электросетевого комплекса ООО "Татэнерго"</v>
      </c>
      <c r="B15" s="382"/>
      <c r="C15" s="382"/>
      <c r="D15" s="382"/>
      <c r="E15" s="382"/>
      <c r="F15" s="382"/>
      <c r="G15" s="382"/>
      <c r="H15" s="382"/>
      <c r="I15" s="382"/>
      <c r="J15" s="382"/>
      <c r="K15" s="382"/>
      <c r="L15" s="382"/>
      <c r="M15" s="382"/>
      <c r="N15" s="382"/>
      <c r="O15" s="382"/>
      <c r="P15" s="140"/>
      <c r="Q15" s="140"/>
      <c r="R15" s="140"/>
      <c r="S15" s="140"/>
      <c r="T15" s="140"/>
      <c r="U15" s="140"/>
      <c r="V15" s="140"/>
      <c r="W15" s="140"/>
      <c r="X15" s="140"/>
      <c r="Y15" s="140"/>
      <c r="Z15" s="140"/>
    </row>
    <row r="16" spans="1:28" s="137" customFormat="1" ht="15" customHeight="1" x14ac:dyDescent="0.2">
      <c r="A16" s="383" t="s">
        <v>4</v>
      </c>
      <c r="B16" s="383"/>
      <c r="C16" s="383"/>
      <c r="D16" s="383"/>
      <c r="E16" s="383"/>
      <c r="F16" s="383"/>
      <c r="G16" s="383"/>
      <c r="H16" s="383"/>
      <c r="I16" s="383"/>
      <c r="J16" s="383"/>
      <c r="K16" s="383"/>
      <c r="L16" s="383"/>
      <c r="M16" s="383"/>
      <c r="N16" s="383"/>
      <c r="O16" s="383"/>
      <c r="P16" s="141"/>
      <c r="Q16" s="141"/>
      <c r="R16" s="141"/>
      <c r="S16" s="141"/>
      <c r="T16" s="141"/>
      <c r="U16" s="141"/>
      <c r="V16" s="141"/>
      <c r="W16" s="141"/>
      <c r="X16" s="141"/>
      <c r="Y16" s="141"/>
      <c r="Z16" s="141"/>
    </row>
    <row r="17" spans="1:26" s="137" customFormat="1" ht="15" customHeight="1" x14ac:dyDescent="0.2">
      <c r="A17" s="384"/>
      <c r="B17" s="384"/>
      <c r="C17" s="384"/>
      <c r="D17" s="384"/>
      <c r="E17" s="384"/>
      <c r="F17" s="384"/>
      <c r="G17" s="384"/>
      <c r="H17" s="384"/>
      <c r="I17" s="384"/>
      <c r="J17" s="384"/>
      <c r="K17" s="384"/>
      <c r="L17" s="384"/>
      <c r="M17" s="384"/>
      <c r="N17" s="384"/>
      <c r="O17" s="384"/>
      <c r="P17" s="142"/>
      <c r="Q17" s="142"/>
      <c r="R17" s="142"/>
      <c r="S17" s="142"/>
      <c r="T17" s="142"/>
      <c r="U17" s="142"/>
      <c r="V17" s="142"/>
      <c r="W17" s="142"/>
    </row>
    <row r="18" spans="1:26" s="137" customFormat="1" ht="91.5" customHeight="1" x14ac:dyDescent="0.2">
      <c r="A18" s="427" t="s">
        <v>390</v>
      </c>
      <c r="B18" s="427"/>
      <c r="C18" s="427"/>
      <c r="D18" s="427"/>
      <c r="E18" s="427"/>
      <c r="F18" s="427"/>
      <c r="G18" s="427"/>
      <c r="H18" s="427"/>
      <c r="I18" s="427"/>
      <c r="J18" s="427"/>
      <c r="K18" s="427"/>
      <c r="L18" s="427"/>
      <c r="M18" s="427"/>
      <c r="N18" s="427"/>
      <c r="O18" s="427"/>
      <c r="P18" s="143"/>
      <c r="Q18" s="143"/>
      <c r="R18" s="143"/>
      <c r="S18" s="143"/>
      <c r="T18" s="143"/>
      <c r="U18" s="143"/>
      <c r="V18" s="143"/>
      <c r="W18" s="143"/>
      <c r="X18" s="143"/>
      <c r="Y18" s="143"/>
      <c r="Z18" s="143"/>
    </row>
    <row r="19" spans="1:26" s="137" customFormat="1" ht="78" customHeight="1" x14ac:dyDescent="0.2">
      <c r="A19" s="428" t="s">
        <v>3</v>
      </c>
      <c r="B19" s="428" t="s">
        <v>82</v>
      </c>
      <c r="C19" s="428" t="s">
        <v>81</v>
      </c>
      <c r="D19" s="428" t="s">
        <v>73</v>
      </c>
      <c r="E19" s="429" t="s">
        <v>80</v>
      </c>
      <c r="F19" s="430"/>
      <c r="G19" s="430"/>
      <c r="H19" s="430"/>
      <c r="I19" s="431"/>
      <c r="J19" s="428" t="s">
        <v>79</v>
      </c>
      <c r="K19" s="428"/>
      <c r="L19" s="428"/>
      <c r="M19" s="428"/>
      <c r="N19" s="428"/>
      <c r="O19" s="428"/>
      <c r="P19" s="142"/>
      <c r="Q19" s="142"/>
      <c r="R19" s="142"/>
      <c r="S19" s="142"/>
      <c r="T19" s="142"/>
      <c r="U19" s="142"/>
      <c r="V19" s="142"/>
      <c r="W19" s="142"/>
    </row>
    <row r="20" spans="1:26" s="137" customFormat="1" ht="51" customHeight="1" x14ac:dyDescent="0.2">
      <c r="A20" s="428"/>
      <c r="B20" s="428"/>
      <c r="C20" s="428"/>
      <c r="D20" s="428"/>
      <c r="E20" s="219" t="s">
        <v>78</v>
      </c>
      <c r="F20" s="219" t="s">
        <v>77</v>
      </c>
      <c r="G20" s="219" t="s">
        <v>76</v>
      </c>
      <c r="H20" s="219" t="s">
        <v>75</v>
      </c>
      <c r="I20" s="219" t="s">
        <v>74</v>
      </c>
      <c r="J20" s="219">
        <v>2018</v>
      </c>
      <c r="K20" s="219">
        <v>2019</v>
      </c>
      <c r="L20" s="219">
        <v>2020</v>
      </c>
      <c r="M20" s="219">
        <v>2021</v>
      </c>
      <c r="N20" s="219">
        <v>2022</v>
      </c>
      <c r="O20" s="219">
        <v>2023</v>
      </c>
      <c r="P20" s="146"/>
      <c r="Q20" s="146"/>
      <c r="R20" s="146"/>
      <c r="S20" s="146"/>
      <c r="T20" s="146"/>
      <c r="U20" s="146"/>
      <c r="V20" s="146"/>
      <c r="W20" s="146"/>
      <c r="X20" s="147"/>
      <c r="Y20" s="147"/>
      <c r="Z20" s="147"/>
    </row>
    <row r="21" spans="1:26" s="137"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146"/>
      <c r="Q21" s="146"/>
      <c r="R21" s="146"/>
      <c r="S21" s="146"/>
      <c r="T21" s="146"/>
      <c r="U21" s="146"/>
      <c r="V21" s="146"/>
      <c r="W21" s="146"/>
      <c r="X21" s="147"/>
      <c r="Y21" s="147"/>
      <c r="Z21" s="147"/>
    </row>
    <row r="22" spans="1:26" s="137" customFormat="1" ht="18.75" x14ac:dyDescent="0.2">
      <c r="A22" s="220" t="s">
        <v>62</v>
      </c>
      <c r="B22" s="221" t="s">
        <v>546</v>
      </c>
      <c r="C22" s="222">
        <v>0</v>
      </c>
      <c r="D22" s="222">
        <v>0</v>
      </c>
      <c r="E22" s="222">
        <v>0</v>
      </c>
      <c r="F22" s="222">
        <v>0</v>
      </c>
      <c r="G22" s="222">
        <v>0</v>
      </c>
      <c r="H22" s="222">
        <v>0</v>
      </c>
      <c r="I22" s="222">
        <v>0</v>
      </c>
      <c r="J22" s="223">
        <v>0</v>
      </c>
      <c r="K22" s="223">
        <v>0</v>
      </c>
      <c r="L22" s="224">
        <v>0</v>
      </c>
      <c r="M22" s="224">
        <v>0</v>
      </c>
      <c r="N22" s="224">
        <v>0</v>
      </c>
      <c r="O22" s="224">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G30" sqref="G30"/>
    </sheetView>
  </sheetViews>
  <sheetFormatPr defaultRowHeight="12.75" x14ac:dyDescent="0.2"/>
  <cols>
    <col min="1" max="1" width="66.140625" style="269" customWidth="1"/>
    <col min="2" max="2" width="17.140625" style="269" customWidth="1"/>
    <col min="3" max="3" width="13.85546875" style="269" customWidth="1"/>
    <col min="4" max="5" width="13.5703125" style="269" customWidth="1"/>
    <col min="6" max="6" width="14.5703125" style="269" customWidth="1"/>
    <col min="7" max="7" width="13.42578125" style="269" customWidth="1"/>
    <col min="8" max="12" width="15.42578125" style="269" customWidth="1"/>
    <col min="13" max="13" width="15.42578125" style="269" hidden="1" customWidth="1"/>
    <col min="14" max="14" width="15.42578125" style="342" hidden="1" customWidth="1"/>
    <col min="15" max="19" width="15.42578125" style="269" hidden="1" customWidth="1"/>
    <col min="20" max="29" width="17.28515625" style="269" hidden="1" customWidth="1"/>
    <col min="30" max="31" width="17.28515625" style="259" hidden="1" customWidth="1"/>
    <col min="32" max="32" width="0" style="259" hidden="1" customWidth="1"/>
    <col min="33" max="16384" width="9.140625" style="259"/>
  </cols>
  <sheetData>
    <row r="1" spans="1:45" x14ac:dyDescent="0.2">
      <c r="A1" s="256"/>
      <c r="B1" s="257"/>
      <c r="C1" s="257"/>
      <c r="D1" s="257"/>
      <c r="E1" s="257"/>
      <c r="F1" s="257"/>
      <c r="G1" s="257"/>
      <c r="H1" s="257"/>
      <c r="I1" s="257"/>
      <c r="J1" s="257"/>
      <c r="K1" s="258"/>
      <c r="L1" s="257"/>
      <c r="M1" s="257"/>
      <c r="N1" s="257"/>
      <c r="O1" s="257"/>
      <c r="P1" s="258" t="s">
        <v>66</v>
      </c>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P1" s="260"/>
      <c r="AQ1" s="260"/>
      <c r="AR1" s="261"/>
      <c r="AS1" s="261"/>
    </row>
    <row r="2" spans="1:45" x14ac:dyDescent="0.2">
      <c r="A2" s="256"/>
      <c r="B2" s="257"/>
      <c r="C2" s="257"/>
      <c r="D2" s="257"/>
      <c r="E2" s="257"/>
      <c r="F2" s="257"/>
      <c r="G2" s="257"/>
      <c r="H2" s="257"/>
      <c r="I2" s="257"/>
      <c r="J2" s="257"/>
      <c r="K2" s="262"/>
      <c r="L2" s="257"/>
      <c r="M2" s="257"/>
      <c r="N2" s="257"/>
      <c r="O2" s="257"/>
      <c r="P2" s="262" t="s">
        <v>8</v>
      </c>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P2" s="260"/>
      <c r="AQ2" s="260"/>
      <c r="AR2" s="261"/>
      <c r="AS2" s="261"/>
    </row>
    <row r="3" spans="1:45" x14ac:dyDescent="0.2">
      <c r="A3" s="263"/>
      <c r="B3" s="257"/>
      <c r="C3" s="257"/>
      <c r="D3" s="257"/>
      <c r="E3" s="257"/>
      <c r="F3" s="257"/>
      <c r="G3" s="257"/>
      <c r="H3" s="257"/>
      <c r="I3" s="257"/>
      <c r="J3" s="257"/>
      <c r="K3" s="262"/>
      <c r="L3" s="257"/>
      <c r="M3" s="257"/>
      <c r="N3" s="257"/>
      <c r="O3" s="257"/>
      <c r="P3" s="262" t="s">
        <v>444</v>
      </c>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P3" s="260"/>
      <c r="AQ3" s="260"/>
      <c r="AR3" s="261"/>
      <c r="AS3" s="261"/>
    </row>
    <row r="4" spans="1:45" x14ac:dyDescent="0.2">
      <c r="A4" s="264"/>
      <c r="B4" s="256"/>
      <c r="C4" s="256"/>
      <c r="D4" s="256"/>
      <c r="E4" s="256"/>
      <c r="F4" s="256"/>
      <c r="G4" s="256"/>
      <c r="H4" s="256"/>
      <c r="I4" s="256"/>
      <c r="J4" s="256"/>
      <c r="K4" s="262"/>
      <c r="L4" s="256"/>
      <c r="M4" s="256"/>
      <c r="N4" s="256"/>
      <c r="O4" s="256"/>
      <c r="P4" s="256"/>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60"/>
      <c r="AQ4" s="260"/>
      <c r="AR4" s="261"/>
      <c r="AS4" s="261"/>
    </row>
    <row r="5" spans="1:45" x14ac:dyDescent="0.2">
      <c r="A5" s="433" t="str">
        <f>'1. паспорт местоположение'!A5:C5</f>
        <v>Год раскрытия информации: 2021 год</v>
      </c>
      <c r="B5" s="433"/>
      <c r="C5" s="433"/>
      <c r="D5" s="433"/>
      <c r="E5" s="433"/>
      <c r="F5" s="433"/>
      <c r="G5" s="433"/>
      <c r="H5" s="433"/>
      <c r="I5" s="433"/>
      <c r="J5" s="433"/>
      <c r="K5" s="433"/>
      <c r="L5" s="433"/>
      <c r="M5" s="433"/>
      <c r="N5" s="433"/>
      <c r="O5" s="433"/>
      <c r="P5" s="433"/>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0"/>
      <c r="AQ5" s="260"/>
      <c r="AR5" s="261"/>
      <c r="AS5" s="261"/>
    </row>
    <row r="6" spans="1:45" x14ac:dyDescent="0.2">
      <c r="A6" s="264"/>
      <c r="B6" s="256"/>
      <c r="C6" s="256"/>
      <c r="D6" s="256"/>
      <c r="E6" s="256"/>
      <c r="F6" s="256"/>
      <c r="G6" s="256"/>
      <c r="H6" s="256"/>
      <c r="I6" s="256"/>
      <c r="J6" s="256"/>
      <c r="K6" s="262"/>
      <c r="L6" s="256"/>
      <c r="M6" s="256"/>
      <c r="N6" s="256"/>
      <c r="O6" s="256"/>
      <c r="P6" s="256"/>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60"/>
      <c r="AQ6" s="260"/>
      <c r="AR6" s="261"/>
      <c r="AS6" s="261"/>
    </row>
    <row r="7" spans="1:45" x14ac:dyDescent="0.2">
      <c r="A7" s="433" t="s">
        <v>7</v>
      </c>
      <c r="B7" s="433"/>
      <c r="C7" s="433"/>
      <c r="D7" s="433"/>
      <c r="E7" s="433"/>
      <c r="F7" s="433"/>
      <c r="G7" s="433"/>
      <c r="H7" s="433"/>
      <c r="I7" s="433"/>
      <c r="J7" s="433"/>
      <c r="K7" s="433"/>
      <c r="L7" s="433"/>
      <c r="M7" s="433"/>
      <c r="N7" s="433"/>
      <c r="O7" s="433"/>
      <c r="P7" s="433"/>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0"/>
      <c r="AQ7" s="260"/>
      <c r="AR7" s="261"/>
      <c r="AS7" s="261"/>
    </row>
    <row r="8" spans="1:45" x14ac:dyDescent="0.2">
      <c r="A8" s="267"/>
      <c r="B8" s="267"/>
      <c r="C8" s="267"/>
      <c r="D8" s="267"/>
      <c r="E8" s="267"/>
      <c r="F8" s="267"/>
      <c r="G8" s="267"/>
      <c r="H8" s="267"/>
      <c r="I8" s="267"/>
      <c r="J8" s="267"/>
      <c r="K8" s="267"/>
      <c r="L8" s="265"/>
      <c r="M8" s="265"/>
      <c r="N8" s="265"/>
      <c r="O8" s="265"/>
      <c r="P8" s="265"/>
      <c r="Q8" s="266"/>
      <c r="R8" s="266"/>
      <c r="S8" s="266"/>
      <c r="T8" s="266"/>
      <c r="U8" s="266"/>
      <c r="V8" s="266"/>
      <c r="W8" s="266"/>
      <c r="X8" s="266"/>
      <c r="Y8" s="266"/>
      <c r="Z8" s="257"/>
      <c r="AA8" s="257"/>
      <c r="AB8" s="257"/>
      <c r="AC8" s="257"/>
      <c r="AD8" s="257"/>
      <c r="AE8" s="257"/>
      <c r="AF8" s="257"/>
      <c r="AG8" s="257"/>
      <c r="AH8" s="257"/>
      <c r="AI8" s="257"/>
      <c r="AJ8" s="257"/>
      <c r="AK8" s="257"/>
      <c r="AL8" s="257"/>
      <c r="AM8" s="257"/>
      <c r="AN8" s="257"/>
      <c r="AO8" s="257"/>
      <c r="AP8" s="260"/>
      <c r="AQ8" s="260"/>
      <c r="AR8" s="261"/>
      <c r="AS8" s="261"/>
    </row>
    <row r="9" spans="1:45" x14ac:dyDescent="0.2">
      <c r="A9" s="434" t="str">
        <f>'1. паспорт местоположение'!A9:C9</f>
        <v xml:space="preserve">Акционерное общество "Западная энергетическая компания" </v>
      </c>
      <c r="B9" s="434"/>
      <c r="C9" s="434"/>
      <c r="D9" s="434"/>
      <c r="E9" s="434"/>
      <c r="F9" s="434"/>
      <c r="G9" s="434"/>
      <c r="H9" s="434"/>
      <c r="I9" s="434"/>
      <c r="J9" s="434"/>
      <c r="K9" s="434"/>
      <c r="L9" s="434"/>
      <c r="M9" s="434"/>
      <c r="N9" s="434"/>
      <c r="O9" s="434"/>
      <c r="P9" s="434"/>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0"/>
      <c r="AQ9" s="260"/>
      <c r="AR9" s="261"/>
      <c r="AS9" s="261"/>
    </row>
    <row r="10" spans="1:45" x14ac:dyDescent="0.2">
      <c r="A10" s="432" t="s">
        <v>6</v>
      </c>
      <c r="B10" s="432"/>
      <c r="C10" s="432"/>
      <c r="D10" s="432"/>
      <c r="E10" s="432"/>
      <c r="F10" s="432"/>
      <c r="G10" s="432"/>
      <c r="H10" s="432"/>
      <c r="I10" s="432"/>
      <c r="J10" s="432"/>
      <c r="K10" s="432"/>
      <c r="L10" s="432"/>
      <c r="M10" s="432"/>
      <c r="N10" s="432"/>
      <c r="O10" s="432"/>
      <c r="P10" s="432"/>
      <c r="AD10" s="269"/>
      <c r="AE10" s="269"/>
      <c r="AF10" s="269"/>
      <c r="AG10" s="269"/>
      <c r="AH10" s="269"/>
      <c r="AI10" s="269"/>
      <c r="AJ10" s="269"/>
      <c r="AK10" s="269"/>
      <c r="AL10" s="269"/>
      <c r="AM10" s="269"/>
      <c r="AN10" s="269"/>
      <c r="AO10" s="269"/>
      <c r="AP10" s="260"/>
      <c r="AQ10" s="260"/>
      <c r="AR10" s="261"/>
      <c r="AS10" s="261"/>
    </row>
    <row r="11" spans="1:45" x14ac:dyDescent="0.2">
      <c r="A11" s="267"/>
      <c r="B11" s="267"/>
      <c r="C11" s="267"/>
      <c r="D11" s="267"/>
      <c r="E11" s="267"/>
      <c r="F11" s="267"/>
      <c r="G11" s="267"/>
      <c r="H11" s="267"/>
      <c r="I11" s="267"/>
      <c r="J11" s="267"/>
      <c r="K11" s="267"/>
      <c r="L11" s="265"/>
      <c r="M11" s="265"/>
      <c r="N11" s="265"/>
      <c r="O11" s="265"/>
      <c r="P11" s="265"/>
      <c r="Q11" s="266"/>
      <c r="R11" s="266"/>
      <c r="S11" s="266"/>
      <c r="T11" s="266"/>
      <c r="U11" s="266"/>
      <c r="V11" s="266"/>
      <c r="W11" s="266"/>
      <c r="X11" s="266"/>
      <c r="Y11" s="266"/>
      <c r="Z11" s="257"/>
      <c r="AA11" s="257"/>
      <c r="AB11" s="257"/>
      <c r="AC11" s="257"/>
      <c r="AD11" s="257"/>
      <c r="AE11" s="257"/>
      <c r="AF11" s="257"/>
      <c r="AG11" s="257"/>
      <c r="AH11" s="257"/>
      <c r="AI11" s="257"/>
      <c r="AJ11" s="257"/>
      <c r="AK11" s="257"/>
      <c r="AL11" s="257"/>
      <c r="AM11" s="257"/>
      <c r="AN11" s="257"/>
      <c r="AO11" s="257"/>
      <c r="AP11" s="260"/>
      <c r="AQ11" s="260"/>
      <c r="AR11" s="261"/>
      <c r="AS11" s="261"/>
    </row>
    <row r="12" spans="1:45" x14ac:dyDescent="0.2">
      <c r="A12" s="434" t="str">
        <f>'1. паспорт местоположение'!A12:C12</f>
        <v>K-20-02</v>
      </c>
      <c r="B12" s="434"/>
      <c r="C12" s="434"/>
      <c r="D12" s="434"/>
      <c r="E12" s="434"/>
      <c r="F12" s="434"/>
      <c r="G12" s="434"/>
      <c r="H12" s="434"/>
      <c r="I12" s="434"/>
      <c r="J12" s="434"/>
      <c r="K12" s="434"/>
      <c r="L12" s="434"/>
      <c r="M12" s="434"/>
      <c r="N12" s="434"/>
      <c r="O12" s="434"/>
      <c r="P12" s="434"/>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0"/>
      <c r="AQ12" s="260"/>
      <c r="AR12" s="261"/>
      <c r="AS12" s="261"/>
    </row>
    <row r="13" spans="1:45" x14ac:dyDescent="0.2">
      <c r="A13" s="432" t="s">
        <v>5</v>
      </c>
      <c r="B13" s="432"/>
      <c r="C13" s="432"/>
      <c r="D13" s="432"/>
      <c r="E13" s="432"/>
      <c r="F13" s="432"/>
      <c r="G13" s="432"/>
      <c r="H13" s="432"/>
      <c r="I13" s="432"/>
      <c r="J13" s="432"/>
      <c r="K13" s="432"/>
      <c r="L13" s="432"/>
      <c r="M13" s="432"/>
      <c r="N13" s="432"/>
      <c r="O13" s="432"/>
      <c r="P13" s="432"/>
      <c r="AD13" s="269"/>
      <c r="AE13" s="269"/>
      <c r="AF13" s="269"/>
      <c r="AG13" s="269"/>
      <c r="AH13" s="269"/>
      <c r="AI13" s="269"/>
      <c r="AJ13" s="269"/>
      <c r="AK13" s="269"/>
      <c r="AL13" s="269"/>
      <c r="AM13" s="269"/>
      <c r="AN13" s="269"/>
      <c r="AO13" s="269"/>
      <c r="AP13" s="260"/>
      <c r="AQ13" s="260"/>
      <c r="AR13" s="261"/>
      <c r="AS13" s="261"/>
    </row>
    <row r="14" spans="1:45" x14ac:dyDescent="0.2">
      <c r="A14" s="270"/>
      <c r="B14" s="270"/>
      <c r="C14" s="270"/>
      <c r="D14" s="270"/>
      <c r="E14" s="270"/>
      <c r="F14" s="270"/>
      <c r="G14" s="270"/>
      <c r="H14" s="270"/>
      <c r="I14" s="270"/>
      <c r="J14" s="270"/>
      <c r="K14" s="270"/>
      <c r="L14" s="270"/>
      <c r="M14" s="270"/>
      <c r="N14" s="270"/>
      <c r="O14" s="270"/>
      <c r="P14" s="270"/>
      <c r="Q14" s="271"/>
      <c r="R14" s="271"/>
      <c r="S14" s="271"/>
      <c r="T14" s="271"/>
      <c r="U14" s="271"/>
      <c r="V14" s="271"/>
      <c r="W14" s="271"/>
      <c r="X14" s="271"/>
      <c r="Y14" s="271"/>
      <c r="Z14" s="257"/>
      <c r="AA14" s="257"/>
      <c r="AB14" s="257"/>
      <c r="AC14" s="257"/>
      <c r="AD14" s="257"/>
      <c r="AE14" s="257"/>
      <c r="AF14" s="257"/>
      <c r="AG14" s="257"/>
      <c r="AH14" s="257"/>
      <c r="AI14" s="257"/>
      <c r="AJ14" s="257"/>
      <c r="AK14" s="257"/>
      <c r="AL14" s="257"/>
      <c r="AM14" s="257"/>
      <c r="AN14" s="257"/>
      <c r="AO14" s="257"/>
      <c r="AP14" s="260"/>
      <c r="AQ14" s="260"/>
      <c r="AR14" s="261"/>
      <c r="AS14" s="261"/>
    </row>
    <row r="15" spans="1:45" x14ac:dyDescent="0.2">
      <c r="A15" s="439" t="str">
        <f>'1. паспорт местоположение'!A15:C15</f>
        <v>Приобретение электросетевого комплекса ООО "Татэнерго"</v>
      </c>
      <c r="B15" s="439"/>
      <c r="C15" s="439"/>
      <c r="D15" s="439"/>
      <c r="E15" s="439"/>
      <c r="F15" s="439"/>
      <c r="G15" s="439"/>
      <c r="H15" s="439"/>
      <c r="I15" s="439"/>
      <c r="J15" s="439"/>
      <c r="K15" s="439"/>
      <c r="L15" s="439"/>
      <c r="M15" s="439"/>
      <c r="N15" s="439"/>
      <c r="O15" s="439"/>
      <c r="P15" s="439"/>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60"/>
      <c r="AQ15" s="260"/>
      <c r="AR15" s="261"/>
      <c r="AS15" s="261"/>
    </row>
    <row r="16" spans="1:45" x14ac:dyDescent="0.2">
      <c r="A16" s="440" t="s">
        <v>4</v>
      </c>
      <c r="B16" s="440"/>
      <c r="C16" s="440"/>
      <c r="D16" s="440"/>
      <c r="E16" s="440"/>
      <c r="F16" s="440"/>
      <c r="G16" s="440"/>
      <c r="H16" s="440"/>
      <c r="I16" s="440"/>
      <c r="J16" s="440"/>
      <c r="K16" s="440"/>
      <c r="L16" s="440"/>
      <c r="M16" s="440"/>
      <c r="N16" s="440"/>
      <c r="O16" s="440"/>
      <c r="P16" s="440"/>
      <c r="AD16" s="269"/>
      <c r="AE16" s="269"/>
      <c r="AF16" s="269"/>
      <c r="AG16" s="269"/>
      <c r="AH16" s="269"/>
      <c r="AI16" s="269"/>
      <c r="AJ16" s="269"/>
      <c r="AK16" s="269"/>
      <c r="AL16" s="269"/>
      <c r="AM16" s="269"/>
      <c r="AN16" s="269"/>
      <c r="AO16" s="269"/>
      <c r="AP16" s="260"/>
      <c r="AQ16" s="260"/>
      <c r="AR16" s="261"/>
      <c r="AS16" s="261"/>
    </row>
    <row r="17" spans="1:4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273"/>
      <c r="X17" s="273"/>
      <c r="Y17" s="273"/>
      <c r="Z17" s="273"/>
      <c r="AA17" s="273"/>
      <c r="AB17" s="273"/>
      <c r="AC17" s="273"/>
      <c r="AD17" s="273"/>
      <c r="AE17" s="273"/>
      <c r="AF17" s="273"/>
      <c r="AG17" s="273"/>
      <c r="AH17" s="273"/>
      <c r="AI17" s="273"/>
      <c r="AJ17" s="273"/>
      <c r="AK17" s="273"/>
      <c r="AL17" s="273"/>
      <c r="AM17" s="273"/>
      <c r="AN17" s="273"/>
      <c r="AO17" s="273"/>
      <c r="AP17" s="260"/>
      <c r="AQ17" s="260"/>
      <c r="AR17" s="261"/>
      <c r="AS17" s="261"/>
    </row>
    <row r="18" spans="1:45" x14ac:dyDescent="0.2">
      <c r="A18" s="441" t="s">
        <v>391</v>
      </c>
      <c r="B18" s="441"/>
      <c r="C18" s="441"/>
      <c r="D18" s="441"/>
      <c r="E18" s="441"/>
      <c r="F18" s="441"/>
      <c r="G18" s="441"/>
      <c r="H18" s="441"/>
      <c r="I18" s="441"/>
      <c r="J18" s="441"/>
      <c r="K18" s="441"/>
      <c r="L18" s="441"/>
      <c r="M18" s="441"/>
      <c r="N18" s="441"/>
      <c r="O18" s="441"/>
      <c r="P18" s="441"/>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0"/>
      <c r="AQ18" s="260"/>
      <c r="AR18" s="261"/>
      <c r="AS18" s="261"/>
    </row>
    <row r="19" spans="1:45" x14ac:dyDescent="0.2">
      <c r="A19" s="274"/>
      <c r="B19" s="274"/>
      <c r="C19" s="274"/>
      <c r="D19" s="274"/>
      <c r="E19" s="274"/>
      <c r="F19" s="274"/>
      <c r="G19" s="274"/>
      <c r="H19" s="274"/>
      <c r="I19" s="274"/>
      <c r="J19" s="274"/>
      <c r="K19" s="274"/>
      <c r="L19" s="274"/>
      <c r="M19" s="274"/>
      <c r="N19" s="274"/>
      <c r="O19" s="274"/>
      <c r="P19" s="274"/>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0"/>
      <c r="AQ19" s="260"/>
      <c r="AR19" s="261"/>
      <c r="AS19" s="261"/>
    </row>
    <row r="20" spans="1:45" x14ac:dyDescent="0.2">
      <c r="A20" s="274"/>
      <c r="B20" s="274"/>
      <c r="C20" s="274"/>
      <c r="D20" s="274"/>
      <c r="E20" s="274"/>
      <c r="F20" s="274"/>
      <c r="G20" s="274"/>
      <c r="H20" s="274"/>
      <c r="I20" s="274"/>
      <c r="J20" s="274"/>
      <c r="K20" s="274"/>
      <c r="L20" s="274"/>
      <c r="M20" s="274"/>
      <c r="N20" s="274"/>
      <c r="O20" s="274"/>
      <c r="P20" s="274"/>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0"/>
      <c r="AQ20" s="260"/>
      <c r="AR20" s="261"/>
      <c r="AS20" s="261"/>
    </row>
    <row r="21" spans="1:45" x14ac:dyDescent="0.2">
      <c r="A21" s="275"/>
      <c r="N21" s="269"/>
      <c r="AP21" s="260"/>
      <c r="AQ21" s="260"/>
      <c r="AR21" s="261"/>
      <c r="AS21" s="261"/>
    </row>
    <row r="22" spans="1:45" x14ac:dyDescent="0.2">
      <c r="A22" s="266"/>
      <c r="N22" s="269"/>
      <c r="AP22" s="260"/>
      <c r="AQ22" s="260"/>
      <c r="AR22" s="261"/>
      <c r="AS22" s="261"/>
    </row>
    <row r="23" spans="1:45" ht="13.5" thickBot="1" x14ac:dyDescent="0.25">
      <c r="A23" s="276" t="s">
        <v>288</v>
      </c>
      <c r="B23" s="276" t="s">
        <v>1</v>
      </c>
      <c r="D23" s="277"/>
      <c r="N23" s="269"/>
    </row>
    <row r="24" spans="1:45" ht="15" x14ac:dyDescent="0.2">
      <c r="A24" s="278" t="s">
        <v>428</v>
      </c>
      <c r="B24" s="228">
        <f>'6.2. Паспорт фин осв ввод'!C30*1000000</f>
        <v>166236925.03</v>
      </c>
      <c r="N24" s="269"/>
    </row>
    <row r="25" spans="1:45" x14ac:dyDescent="0.2">
      <c r="A25" s="279" t="s">
        <v>286</v>
      </c>
      <c r="B25" s="280">
        <v>0</v>
      </c>
      <c r="N25" s="269"/>
    </row>
    <row r="26" spans="1:45" x14ac:dyDescent="0.2">
      <c r="A26" s="281" t="s">
        <v>284</v>
      </c>
      <c r="B26" s="280">
        <v>30</v>
      </c>
      <c r="D26" s="266" t="s">
        <v>287</v>
      </c>
      <c r="N26" s="269"/>
    </row>
    <row r="27" spans="1:45" ht="13.5" thickBot="1" x14ac:dyDescent="0.25">
      <c r="A27" s="282" t="s">
        <v>282</v>
      </c>
      <c r="B27" s="283">
        <v>1</v>
      </c>
      <c r="D27" s="435" t="s">
        <v>285</v>
      </c>
      <c r="E27" s="436"/>
      <c r="F27" s="437"/>
      <c r="G27" s="284">
        <f>IF(SUM(B89:AG89)=0,"не окупается",SUM(B89:AG89))</f>
        <v>6.9880300543124152</v>
      </c>
      <c r="H27" s="285"/>
      <c r="N27" s="269"/>
    </row>
    <row r="28" spans="1:45" ht="15" x14ac:dyDescent="0.2">
      <c r="A28" s="278" t="s">
        <v>281</v>
      </c>
      <c r="B28" s="228">
        <f>B24*0.001</f>
        <v>166236.92503000001</v>
      </c>
      <c r="D28" s="435" t="s">
        <v>283</v>
      </c>
      <c r="E28" s="436"/>
      <c r="F28" s="437"/>
      <c r="G28" s="284">
        <f>IF(SUM(B90:AG90)=0,"не окупается",SUM(B90:AG90))</f>
        <v>9.4964773792135997</v>
      </c>
      <c r="H28" s="285"/>
      <c r="N28" s="269"/>
    </row>
    <row r="29" spans="1:45" x14ac:dyDescent="0.2">
      <c r="A29" s="281" t="s">
        <v>429</v>
      </c>
      <c r="B29" s="280">
        <v>6</v>
      </c>
      <c r="D29" s="435" t="s">
        <v>669</v>
      </c>
      <c r="E29" s="436"/>
      <c r="F29" s="437"/>
      <c r="G29" s="286">
        <f>L87</f>
        <v>18885418.751648095</v>
      </c>
      <c r="H29" s="287"/>
      <c r="N29" s="269"/>
    </row>
    <row r="30" spans="1:45" x14ac:dyDescent="0.2">
      <c r="A30" s="281" t="s">
        <v>280</v>
      </c>
      <c r="B30" s="280">
        <v>6</v>
      </c>
      <c r="D30" s="435"/>
      <c r="E30" s="436"/>
      <c r="F30" s="437"/>
      <c r="G30" s="288"/>
      <c r="H30" s="289"/>
      <c r="N30" s="269"/>
    </row>
    <row r="31" spans="1:45" x14ac:dyDescent="0.2">
      <c r="A31" s="281" t="s">
        <v>259</v>
      </c>
      <c r="B31" s="280">
        <v>0</v>
      </c>
      <c r="N31" s="269"/>
    </row>
    <row r="32" spans="1:45" x14ac:dyDescent="0.2">
      <c r="A32" s="281" t="s">
        <v>279</v>
      </c>
      <c r="B32" s="280">
        <v>1</v>
      </c>
      <c r="N32" s="269"/>
    </row>
    <row r="33" spans="1:31" x14ac:dyDescent="0.2">
      <c r="A33" s="281" t="s">
        <v>278</v>
      </c>
      <c r="B33" s="280">
        <v>1</v>
      </c>
      <c r="N33" s="269"/>
    </row>
    <row r="34" spans="1:31" x14ac:dyDescent="0.2">
      <c r="A34" s="290" t="s">
        <v>670</v>
      </c>
      <c r="B34" s="280">
        <f>B24*0.03</f>
        <v>4987107.7508999994</v>
      </c>
      <c r="N34" s="269"/>
    </row>
    <row r="35" spans="1:31" ht="13.5" thickBot="1" x14ac:dyDescent="0.25">
      <c r="A35" s="291" t="s">
        <v>253</v>
      </c>
      <c r="B35" s="292">
        <v>0.2</v>
      </c>
      <c r="N35" s="269"/>
    </row>
    <row r="36" spans="1:31" x14ac:dyDescent="0.2">
      <c r="A36" s="278" t="s">
        <v>430</v>
      </c>
      <c r="B36" s="293">
        <v>0</v>
      </c>
      <c r="N36" s="269"/>
    </row>
    <row r="37" spans="1:31" x14ac:dyDescent="0.2">
      <c r="A37" s="279" t="s">
        <v>277</v>
      </c>
      <c r="B37" s="280"/>
      <c r="N37" s="269"/>
    </row>
    <row r="38" spans="1:31" ht="13.5" thickBot="1" x14ac:dyDescent="0.25">
      <c r="A38" s="290" t="s">
        <v>276</v>
      </c>
      <c r="B38" s="294"/>
      <c r="N38" s="269"/>
    </row>
    <row r="39" spans="1:31" x14ac:dyDescent="0.2">
      <c r="A39" s="295" t="s">
        <v>431</v>
      </c>
      <c r="B39" s="296">
        <v>1</v>
      </c>
      <c r="N39" s="269"/>
    </row>
    <row r="40" spans="1:31" x14ac:dyDescent="0.2">
      <c r="A40" s="297" t="s">
        <v>275</v>
      </c>
      <c r="B40" s="298"/>
      <c r="N40" s="269"/>
    </row>
    <row r="41" spans="1:31" x14ac:dyDescent="0.2">
      <c r="A41" s="297" t="s">
        <v>274</v>
      </c>
      <c r="B41" s="299"/>
      <c r="N41" s="269"/>
    </row>
    <row r="42" spans="1:31" x14ac:dyDescent="0.2">
      <c r="A42" s="297" t="s">
        <v>273</v>
      </c>
      <c r="B42" s="299">
        <v>0</v>
      </c>
      <c r="N42" s="269"/>
    </row>
    <row r="43" spans="1:31" x14ac:dyDescent="0.2">
      <c r="A43" s="297" t="s">
        <v>272</v>
      </c>
      <c r="B43" s="300">
        <v>9.8699999999999996E-2</v>
      </c>
      <c r="N43" s="269"/>
    </row>
    <row r="44" spans="1:31" x14ac:dyDescent="0.2">
      <c r="A44" s="297" t="s">
        <v>271</v>
      </c>
      <c r="B44" s="301">
        <v>1</v>
      </c>
      <c r="N44" s="269"/>
    </row>
    <row r="45" spans="1:31" ht="13.5" thickBot="1" x14ac:dyDescent="0.25">
      <c r="A45" s="302" t="s">
        <v>671</v>
      </c>
      <c r="B45" s="301">
        <f>B44*B43+B42*B41*(1-B35)</f>
        <v>9.8699999999999996E-2</v>
      </c>
      <c r="C45" s="303"/>
      <c r="N45" s="269"/>
    </row>
    <row r="46" spans="1:31" x14ac:dyDescent="0.2">
      <c r="A46" s="304" t="s">
        <v>270</v>
      </c>
      <c r="B46" s="305">
        <v>1</v>
      </c>
      <c r="C46" s="305">
        <v>2</v>
      </c>
      <c r="D46" s="305">
        <v>3</v>
      </c>
      <c r="E46" s="305">
        <v>4</v>
      </c>
      <c r="F46" s="305">
        <v>5</v>
      </c>
      <c r="G46" s="305">
        <v>6</v>
      </c>
      <c r="H46" s="305">
        <v>7</v>
      </c>
      <c r="I46" s="305">
        <v>8</v>
      </c>
      <c r="J46" s="305">
        <v>9</v>
      </c>
      <c r="K46" s="305">
        <v>10</v>
      </c>
      <c r="L46" s="305">
        <v>11</v>
      </c>
      <c r="M46" s="305">
        <v>12</v>
      </c>
      <c r="N46" s="305">
        <v>13</v>
      </c>
      <c r="O46" s="305">
        <v>14</v>
      </c>
      <c r="P46" s="305">
        <v>15</v>
      </c>
      <c r="Q46" s="305">
        <v>16</v>
      </c>
      <c r="R46" s="305">
        <v>17</v>
      </c>
      <c r="S46" s="305">
        <v>18</v>
      </c>
      <c r="T46" s="305">
        <v>19</v>
      </c>
      <c r="U46" s="305">
        <v>20</v>
      </c>
      <c r="V46" s="305">
        <v>21</v>
      </c>
      <c r="W46" s="305">
        <v>22</v>
      </c>
      <c r="X46" s="305">
        <v>23</v>
      </c>
      <c r="Y46" s="305">
        <v>24</v>
      </c>
      <c r="Z46" s="305">
        <v>25</v>
      </c>
      <c r="AA46" s="305">
        <v>26</v>
      </c>
      <c r="AB46" s="305">
        <v>27</v>
      </c>
      <c r="AC46" s="306">
        <v>28</v>
      </c>
      <c r="AD46" s="306">
        <v>29</v>
      </c>
      <c r="AE46" s="306">
        <v>30</v>
      </c>
    </row>
    <row r="47" spans="1:31" x14ac:dyDescent="0.2">
      <c r="A47" s="307" t="s">
        <v>269</v>
      </c>
      <c r="B47" s="308">
        <v>6.2E-2</v>
      </c>
      <c r="C47" s="308">
        <v>5.0999999999999997E-2</v>
      </c>
      <c r="D47" s="308">
        <v>4.8000000000000001E-2</v>
      </c>
      <c r="E47" s="308">
        <v>4.7E-2</v>
      </c>
      <c r="F47" s="309">
        <v>4.7E-2</v>
      </c>
      <c r="G47" s="309">
        <v>4.7E-2</v>
      </c>
      <c r="H47" s="309">
        <v>4.7E-2</v>
      </c>
      <c r="I47" s="309">
        <v>4.7E-2</v>
      </c>
      <c r="J47" s="309">
        <v>4.7E-2</v>
      </c>
      <c r="K47" s="309">
        <v>4.7E-2</v>
      </c>
      <c r="L47" s="309">
        <v>4.7E-2</v>
      </c>
      <c r="M47" s="309">
        <v>4.7E-2</v>
      </c>
      <c r="N47" s="309">
        <v>4.7E-2</v>
      </c>
      <c r="O47" s="309">
        <v>4.7E-2</v>
      </c>
      <c r="P47" s="309">
        <v>4.7E-2</v>
      </c>
      <c r="Q47" s="309">
        <v>4.7E-2</v>
      </c>
      <c r="R47" s="309">
        <v>4.7E-2</v>
      </c>
      <c r="S47" s="309">
        <v>4.7E-2</v>
      </c>
      <c r="T47" s="309">
        <v>4.7E-2</v>
      </c>
      <c r="U47" s="309">
        <v>4.7E-2</v>
      </c>
      <c r="V47" s="309">
        <v>4.7E-2</v>
      </c>
      <c r="W47" s="309">
        <v>4.7E-2</v>
      </c>
      <c r="X47" s="309">
        <v>4.7E-2</v>
      </c>
      <c r="Y47" s="309">
        <v>4.7E-2</v>
      </c>
      <c r="Z47" s="309">
        <v>4.7E-2</v>
      </c>
      <c r="AA47" s="309">
        <v>4.7E-2</v>
      </c>
      <c r="AB47" s="309">
        <v>4.7E-2</v>
      </c>
      <c r="AC47" s="309">
        <v>4.7E-2</v>
      </c>
      <c r="AD47" s="309">
        <v>4.7E-2</v>
      </c>
      <c r="AE47" s="309">
        <v>4.7E-2</v>
      </c>
    </row>
    <row r="48" spans="1:31" x14ac:dyDescent="0.2">
      <c r="A48" s="307" t="s">
        <v>268</v>
      </c>
      <c r="B48" s="309">
        <f>B47</f>
        <v>6.2E-2</v>
      </c>
      <c r="C48" s="309">
        <f t="shared" ref="C48:AE48" si="0">(1+B48)*(1+C47)-1</f>
        <v>0.1161620000000001</v>
      </c>
      <c r="D48" s="309">
        <f t="shared" si="0"/>
        <v>0.16973777600000006</v>
      </c>
      <c r="E48" s="309">
        <f t="shared" si="0"/>
        <v>0.22471545147200001</v>
      </c>
      <c r="F48" s="309">
        <f t="shared" si="0"/>
        <v>0.28227707769118382</v>
      </c>
      <c r="G48" s="309">
        <f t="shared" si="0"/>
        <v>0.34254410034266947</v>
      </c>
      <c r="H48" s="309">
        <f t="shared" si="0"/>
        <v>0.40564367305877491</v>
      </c>
      <c r="I48" s="309">
        <f t="shared" si="0"/>
        <v>0.47170892569253731</v>
      </c>
      <c r="J48" s="309">
        <f t="shared" si="0"/>
        <v>0.54087924520008657</v>
      </c>
      <c r="K48" s="309">
        <f t="shared" si="0"/>
        <v>0.61330056972449043</v>
      </c>
      <c r="L48" s="309">
        <f t="shared" si="0"/>
        <v>0.68912569650154132</v>
      </c>
      <c r="M48" s="309">
        <f t="shared" si="0"/>
        <v>0.7685146042371136</v>
      </c>
      <c r="N48" s="309">
        <f t="shared" si="0"/>
        <v>0.8516347906362578</v>
      </c>
      <c r="O48" s="309">
        <f t="shared" si="0"/>
        <v>0.93866162579616175</v>
      </c>
      <c r="P48" s="309">
        <f t="shared" si="0"/>
        <v>1.0297787222085812</v>
      </c>
      <c r="Q48" s="309">
        <f t="shared" si="0"/>
        <v>1.1251783221523843</v>
      </c>
      <c r="R48" s="309">
        <f t="shared" si="0"/>
        <v>1.2250617032935462</v>
      </c>
      <c r="S48" s="309">
        <f t="shared" si="0"/>
        <v>1.3296396033483426</v>
      </c>
      <c r="T48" s="309">
        <f t="shared" si="0"/>
        <v>1.4391326647057148</v>
      </c>
      <c r="U48" s="309">
        <f t="shared" si="0"/>
        <v>1.553771899946883</v>
      </c>
      <c r="V48" s="309">
        <f t="shared" si="0"/>
        <v>1.6737991792443863</v>
      </c>
      <c r="W48" s="309">
        <f t="shared" si="0"/>
        <v>1.7994677406688724</v>
      </c>
      <c r="X48" s="309">
        <f t="shared" si="0"/>
        <v>1.9310427244803092</v>
      </c>
      <c r="Y48" s="309">
        <f t="shared" si="0"/>
        <v>2.0688017325308836</v>
      </c>
      <c r="Z48" s="309">
        <f t="shared" si="0"/>
        <v>2.2130354139598349</v>
      </c>
      <c r="AA48" s="309">
        <f t="shared" si="0"/>
        <v>2.364048078415947</v>
      </c>
      <c r="AB48" s="309">
        <f t="shared" si="0"/>
        <v>2.5221583381014963</v>
      </c>
      <c r="AC48" s="309">
        <f t="shared" si="0"/>
        <v>2.6876997799922662</v>
      </c>
      <c r="AD48" s="309">
        <f t="shared" si="0"/>
        <v>2.8610216696519024</v>
      </c>
      <c r="AE48" s="309">
        <f t="shared" si="0"/>
        <v>3.0424896881255412</v>
      </c>
    </row>
    <row r="49" spans="1:31" ht="13.5" thickBot="1" x14ac:dyDescent="0.25">
      <c r="A49" s="310" t="s">
        <v>432</v>
      </c>
      <c r="B49" s="311">
        <v>0</v>
      </c>
      <c r="C49" s="311">
        <v>24547155.667199995</v>
      </c>
      <c r="D49" s="311">
        <v>29456586.800640002</v>
      </c>
      <c r="E49" s="311">
        <v>39275449.06752</v>
      </c>
      <c r="F49" s="311">
        <v>41730164.634240001</v>
      </c>
      <c r="G49" s="311">
        <v>44184880.200960003</v>
      </c>
      <c r="H49" s="311">
        <v>44184880.200960003</v>
      </c>
      <c r="I49" s="311">
        <v>44184880.200960003</v>
      </c>
      <c r="J49" s="311">
        <v>44184880.200960003</v>
      </c>
      <c r="K49" s="311">
        <v>44184880.200960003</v>
      </c>
      <c r="L49" s="311">
        <v>44184880.200960003</v>
      </c>
      <c r="M49" s="311">
        <v>44184880.200960003</v>
      </c>
      <c r="N49" s="311">
        <v>44184880.200960003</v>
      </c>
      <c r="O49" s="311">
        <v>44184880.200960003</v>
      </c>
      <c r="P49" s="311">
        <v>44184880.200960003</v>
      </c>
      <c r="Q49" s="311">
        <v>44184880.200960003</v>
      </c>
      <c r="R49" s="311">
        <v>44184880.200960003</v>
      </c>
      <c r="S49" s="311">
        <v>44184880.200960003</v>
      </c>
      <c r="T49" s="311">
        <v>44184880.200960003</v>
      </c>
      <c r="U49" s="311">
        <v>44184880.200960003</v>
      </c>
      <c r="V49" s="311">
        <v>44184880.200960003</v>
      </c>
      <c r="W49" s="311">
        <v>44184880.200960003</v>
      </c>
      <c r="X49" s="311">
        <v>44184880.200960003</v>
      </c>
      <c r="Y49" s="311">
        <v>44184880.200960003</v>
      </c>
      <c r="Z49" s="311">
        <v>44184880.200960003</v>
      </c>
      <c r="AA49" s="311">
        <v>44184880.200960003</v>
      </c>
      <c r="AB49" s="311">
        <v>44184880.200960003</v>
      </c>
      <c r="AC49" s="311">
        <v>44184880.200960003</v>
      </c>
      <c r="AD49" s="311">
        <v>44184880.200960003</v>
      </c>
      <c r="AE49" s="311">
        <v>44184880.200960003</v>
      </c>
    </row>
    <row r="50" spans="1:31" ht="13.5" thickBot="1" x14ac:dyDescent="0.25">
      <c r="A50" s="312"/>
      <c r="N50" s="269"/>
      <c r="AC50" s="313"/>
      <c r="AD50" s="313"/>
      <c r="AE50" s="313"/>
    </row>
    <row r="51" spans="1:31" x14ac:dyDescent="0.2">
      <c r="A51" s="314" t="s">
        <v>267</v>
      </c>
      <c r="B51" s="305">
        <v>1</v>
      </c>
      <c r="C51" s="305">
        <v>2</v>
      </c>
      <c r="D51" s="305">
        <v>3</v>
      </c>
      <c r="E51" s="305">
        <v>4</v>
      </c>
      <c r="F51" s="305">
        <v>5</v>
      </c>
      <c r="G51" s="305">
        <v>6</v>
      </c>
      <c r="H51" s="305">
        <v>7</v>
      </c>
      <c r="I51" s="305">
        <v>8</v>
      </c>
      <c r="J51" s="305">
        <v>9</v>
      </c>
      <c r="K51" s="305">
        <v>10</v>
      </c>
      <c r="L51" s="305">
        <v>11</v>
      </c>
      <c r="M51" s="305">
        <v>12</v>
      </c>
      <c r="N51" s="305">
        <v>13</v>
      </c>
      <c r="O51" s="305">
        <v>14</v>
      </c>
      <c r="P51" s="305">
        <v>15</v>
      </c>
      <c r="Q51" s="305">
        <v>16</v>
      </c>
      <c r="R51" s="305">
        <v>17</v>
      </c>
      <c r="S51" s="305">
        <v>18</v>
      </c>
      <c r="T51" s="305">
        <v>19</v>
      </c>
      <c r="U51" s="305">
        <v>20</v>
      </c>
      <c r="V51" s="305">
        <v>21</v>
      </c>
      <c r="W51" s="305">
        <v>22</v>
      </c>
      <c r="X51" s="305">
        <v>23</v>
      </c>
      <c r="Y51" s="305">
        <v>24</v>
      </c>
      <c r="Z51" s="305">
        <v>25</v>
      </c>
      <c r="AA51" s="305">
        <v>26</v>
      </c>
      <c r="AB51" s="305">
        <v>27</v>
      </c>
      <c r="AC51" s="305">
        <v>28</v>
      </c>
      <c r="AD51" s="305">
        <v>29</v>
      </c>
      <c r="AE51" s="305">
        <v>30</v>
      </c>
    </row>
    <row r="52" spans="1:31" x14ac:dyDescent="0.2">
      <c r="A52" s="307" t="s">
        <v>266</v>
      </c>
      <c r="B52" s="315">
        <v>0</v>
      </c>
      <c r="C52" s="315">
        <v>0</v>
      </c>
      <c r="D52" s="315">
        <v>0</v>
      </c>
      <c r="E52" s="315">
        <v>0</v>
      </c>
      <c r="F52" s="315">
        <v>0</v>
      </c>
      <c r="G52" s="315">
        <v>0</v>
      </c>
      <c r="H52" s="315">
        <v>0</v>
      </c>
      <c r="I52" s="315">
        <v>0</v>
      </c>
      <c r="J52" s="315">
        <v>0</v>
      </c>
      <c r="K52" s="315">
        <v>0</v>
      </c>
      <c r="L52" s="315">
        <v>0</v>
      </c>
      <c r="M52" s="315">
        <v>0</v>
      </c>
      <c r="N52" s="315">
        <v>0</v>
      </c>
      <c r="O52" s="315">
        <v>0</v>
      </c>
      <c r="P52" s="315">
        <v>0</v>
      </c>
      <c r="Q52" s="315">
        <v>0</v>
      </c>
      <c r="R52" s="315">
        <v>0</v>
      </c>
      <c r="S52" s="315">
        <v>0</v>
      </c>
      <c r="T52" s="315">
        <v>0</v>
      </c>
      <c r="U52" s="315">
        <v>0</v>
      </c>
      <c r="V52" s="315">
        <v>0</v>
      </c>
      <c r="W52" s="315">
        <v>0</v>
      </c>
      <c r="X52" s="315">
        <v>0</v>
      </c>
      <c r="Y52" s="315">
        <v>0</v>
      </c>
      <c r="Z52" s="315">
        <v>0</v>
      </c>
      <c r="AA52" s="315">
        <v>0</v>
      </c>
      <c r="AB52" s="315">
        <v>0</v>
      </c>
      <c r="AC52" s="316">
        <v>0</v>
      </c>
      <c r="AD52" s="316">
        <v>0</v>
      </c>
      <c r="AE52" s="316">
        <v>0</v>
      </c>
    </row>
    <row r="53" spans="1:31" x14ac:dyDescent="0.2">
      <c r="A53" s="307" t="s">
        <v>265</v>
      </c>
      <c r="B53" s="315">
        <v>0</v>
      </c>
      <c r="C53" s="315">
        <v>0</v>
      </c>
      <c r="D53" s="315">
        <v>0</v>
      </c>
      <c r="E53" s="315">
        <v>0</v>
      </c>
      <c r="F53" s="315">
        <v>0</v>
      </c>
      <c r="G53" s="315">
        <v>0</v>
      </c>
      <c r="H53" s="315">
        <v>0</v>
      </c>
      <c r="I53" s="315">
        <v>0</v>
      </c>
      <c r="J53" s="315">
        <v>0</v>
      </c>
      <c r="K53" s="315">
        <v>0</v>
      </c>
      <c r="L53" s="315">
        <v>0</v>
      </c>
      <c r="M53" s="315">
        <v>0</v>
      </c>
      <c r="N53" s="315">
        <v>0</v>
      </c>
      <c r="O53" s="315">
        <v>0</v>
      </c>
      <c r="P53" s="315">
        <v>0</v>
      </c>
      <c r="Q53" s="315">
        <v>0</v>
      </c>
      <c r="R53" s="315">
        <v>0</v>
      </c>
      <c r="S53" s="315">
        <v>0</v>
      </c>
      <c r="T53" s="315">
        <v>0</v>
      </c>
      <c r="U53" s="315">
        <v>0</v>
      </c>
      <c r="V53" s="315">
        <v>0</v>
      </c>
      <c r="W53" s="315">
        <v>0</v>
      </c>
      <c r="X53" s="315">
        <v>0</v>
      </c>
      <c r="Y53" s="315">
        <v>0</v>
      </c>
      <c r="Z53" s="315">
        <v>0</v>
      </c>
      <c r="AA53" s="315">
        <v>0</v>
      </c>
      <c r="AB53" s="315">
        <v>0</v>
      </c>
      <c r="AC53" s="316">
        <v>0</v>
      </c>
      <c r="AD53" s="316">
        <v>0</v>
      </c>
      <c r="AE53" s="316">
        <v>0</v>
      </c>
    </row>
    <row r="54" spans="1:31" x14ac:dyDescent="0.2">
      <c r="A54" s="307" t="s">
        <v>264</v>
      </c>
      <c r="B54" s="315">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6">
        <v>0</v>
      </c>
      <c r="AD54" s="316">
        <v>0</v>
      </c>
      <c r="AE54" s="316">
        <v>0</v>
      </c>
    </row>
    <row r="55" spans="1:31" ht="13.5" thickBot="1" x14ac:dyDescent="0.25">
      <c r="A55" s="310" t="s">
        <v>263</v>
      </c>
      <c r="B55" s="317">
        <v>0</v>
      </c>
      <c r="C55" s="317">
        <v>0</v>
      </c>
      <c r="D55" s="317">
        <v>0</v>
      </c>
      <c r="E55" s="317">
        <v>0</v>
      </c>
      <c r="F55" s="317">
        <v>0</v>
      </c>
      <c r="G55" s="317">
        <v>0</v>
      </c>
      <c r="H55" s="317">
        <v>0</v>
      </c>
      <c r="I55" s="317">
        <v>0</v>
      </c>
      <c r="J55" s="317">
        <v>0</v>
      </c>
      <c r="K55" s="317">
        <v>0</v>
      </c>
      <c r="L55" s="317">
        <v>0</v>
      </c>
      <c r="M55" s="317">
        <v>0</v>
      </c>
      <c r="N55" s="317">
        <v>0</v>
      </c>
      <c r="O55" s="317">
        <v>0</v>
      </c>
      <c r="P55" s="317">
        <v>0</v>
      </c>
      <c r="Q55" s="317">
        <v>0</v>
      </c>
      <c r="R55" s="317">
        <v>0</v>
      </c>
      <c r="S55" s="317">
        <v>0</v>
      </c>
      <c r="T55" s="317">
        <v>0</v>
      </c>
      <c r="U55" s="317">
        <v>0</v>
      </c>
      <c r="V55" s="317">
        <v>0</v>
      </c>
      <c r="W55" s="317">
        <v>0</v>
      </c>
      <c r="X55" s="317">
        <v>0</v>
      </c>
      <c r="Y55" s="317">
        <v>0</v>
      </c>
      <c r="Z55" s="317">
        <v>0</v>
      </c>
      <c r="AA55" s="317">
        <v>0</v>
      </c>
      <c r="AB55" s="317">
        <v>0</v>
      </c>
      <c r="AC55" s="318">
        <v>0</v>
      </c>
      <c r="AD55" s="318">
        <v>0</v>
      </c>
      <c r="AE55" s="318">
        <v>0</v>
      </c>
    </row>
    <row r="56" spans="1:31" ht="13.5" thickBot="1" x14ac:dyDescent="0.25">
      <c r="A56" s="312"/>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20"/>
      <c r="AD56" s="320"/>
      <c r="AE56" s="320"/>
    </row>
    <row r="57" spans="1:31" ht="13.5" thickBot="1" x14ac:dyDescent="0.25">
      <c r="A57" s="314" t="s">
        <v>433</v>
      </c>
      <c r="B57" s="305">
        <v>1</v>
      </c>
      <c r="C57" s="305">
        <v>2</v>
      </c>
      <c r="D57" s="305">
        <v>3</v>
      </c>
      <c r="E57" s="305">
        <v>4</v>
      </c>
      <c r="F57" s="305">
        <v>5</v>
      </c>
      <c r="G57" s="305">
        <v>6</v>
      </c>
      <c r="H57" s="305">
        <v>7</v>
      </c>
      <c r="I57" s="305">
        <v>8</v>
      </c>
      <c r="J57" s="305">
        <v>9</v>
      </c>
      <c r="K57" s="305">
        <v>10</v>
      </c>
      <c r="L57" s="305">
        <v>11</v>
      </c>
      <c r="M57" s="305">
        <v>12</v>
      </c>
      <c r="N57" s="305">
        <v>13</v>
      </c>
      <c r="O57" s="305">
        <v>14</v>
      </c>
      <c r="P57" s="305">
        <v>15</v>
      </c>
      <c r="Q57" s="305">
        <v>16</v>
      </c>
      <c r="R57" s="305">
        <v>17</v>
      </c>
      <c r="S57" s="305">
        <v>18</v>
      </c>
      <c r="T57" s="305">
        <v>19</v>
      </c>
      <c r="U57" s="305">
        <v>20</v>
      </c>
      <c r="V57" s="305">
        <v>21</v>
      </c>
      <c r="W57" s="305">
        <v>22</v>
      </c>
      <c r="X57" s="305">
        <v>23</v>
      </c>
      <c r="Y57" s="305">
        <v>24</v>
      </c>
      <c r="Z57" s="305">
        <v>25</v>
      </c>
      <c r="AA57" s="305">
        <v>26</v>
      </c>
      <c r="AB57" s="305">
        <v>27</v>
      </c>
      <c r="AC57" s="305">
        <v>28</v>
      </c>
      <c r="AD57" s="305">
        <v>29</v>
      </c>
      <c r="AE57" s="305">
        <v>30</v>
      </c>
    </row>
    <row r="58" spans="1:31" x14ac:dyDescent="0.2">
      <c r="A58" s="314" t="s">
        <v>262</v>
      </c>
      <c r="B58" s="305">
        <f t="shared" ref="B58:AE58" si="1">B49*$B$27</f>
        <v>0</v>
      </c>
      <c r="C58" s="305">
        <f t="shared" si="1"/>
        <v>24547155.667199995</v>
      </c>
      <c r="D58" s="305">
        <f t="shared" si="1"/>
        <v>29456586.800640002</v>
      </c>
      <c r="E58" s="305">
        <f t="shared" si="1"/>
        <v>39275449.06752</v>
      </c>
      <c r="F58" s="305">
        <f t="shared" si="1"/>
        <v>41730164.634240001</v>
      </c>
      <c r="G58" s="305">
        <f t="shared" si="1"/>
        <v>44184880.200960003</v>
      </c>
      <c r="H58" s="305">
        <f t="shared" si="1"/>
        <v>44184880.200960003</v>
      </c>
      <c r="I58" s="305">
        <f t="shared" si="1"/>
        <v>44184880.200960003</v>
      </c>
      <c r="J58" s="305">
        <f t="shared" si="1"/>
        <v>44184880.200960003</v>
      </c>
      <c r="K58" s="305">
        <f t="shared" si="1"/>
        <v>44184880.200960003</v>
      </c>
      <c r="L58" s="305">
        <f t="shared" si="1"/>
        <v>44184880.200960003</v>
      </c>
      <c r="M58" s="305">
        <f t="shared" si="1"/>
        <v>44184880.200960003</v>
      </c>
      <c r="N58" s="305">
        <f t="shared" si="1"/>
        <v>44184880.200960003</v>
      </c>
      <c r="O58" s="305">
        <f t="shared" si="1"/>
        <v>44184880.200960003</v>
      </c>
      <c r="P58" s="305">
        <f t="shared" si="1"/>
        <v>44184880.200960003</v>
      </c>
      <c r="Q58" s="305">
        <f t="shared" si="1"/>
        <v>44184880.200960003</v>
      </c>
      <c r="R58" s="305">
        <f t="shared" si="1"/>
        <v>44184880.200960003</v>
      </c>
      <c r="S58" s="305">
        <f t="shared" si="1"/>
        <v>44184880.200960003</v>
      </c>
      <c r="T58" s="305">
        <f t="shared" si="1"/>
        <v>44184880.200960003</v>
      </c>
      <c r="U58" s="305">
        <f t="shared" si="1"/>
        <v>44184880.200960003</v>
      </c>
      <c r="V58" s="305">
        <f t="shared" si="1"/>
        <v>44184880.200960003</v>
      </c>
      <c r="W58" s="305">
        <f t="shared" si="1"/>
        <v>44184880.200960003</v>
      </c>
      <c r="X58" s="305">
        <f t="shared" si="1"/>
        <v>44184880.200960003</v>
      </c>
      <c r="Y58" s="305">
        <f t="shared" si="1"/>
        <v>44184880.200960003</v>
      </c>
      <c r="Z58" s="305">
        <f t="shared" si="1"/>
        <v>44184880.200960003</v>
      </c>
      <c r="AA58" s="305">
        <f t="shared" si="1"/>
        <v>44184880.200960003</v>
      </c>
      <c r="AB58" s="305">
        <f t="shared" si="1"/>
        <v>44184880.200960003</v>
      </c>
      <c r="AC58" s="305">
        <f t="shared" si="1"/>
        <v>44184880.200960003</v>
      </c>
      <c r="AD58" s="305">
        <f t="shared" si="1"/>
        <v>44184880.200960003</v>
      </c>
      <c r="AE58" s="305">
        <f t="shared" si="1"/>
        <v>44184880.200960003</v>
      </c>
    </row>
    <row r="59" spans="1:31" x14ac:dyDescent="0.2">
      <c r="A59" s="307" t="s">
        <v>261</v>
      </c>
      <c r="B59" s="321">
        <f t="shared" ref="B59:AE59" si="2">SUM(B60:B65)</f>
        <v>0</v>
      </c>
      <c r="C59" s="321">
        <f t="shared" si="2"/>
        <v>0</v>
      </c>
      <c r="D59" s="321">
        <f t="shared" si="2"/>
        <v>-3535305.2723046667</v>
      </c>
      <c r="E59" s="321">
        <f t="shared" si="2"/>
        <v>-3413398.1939493334</v>
      </c>
      <c r="F59" s="321">
        <f t="shared" si="2"/>
        <v>-3291491.1155940001</v>
      </c>
      <c r="G59" s="321">
        <f t="shared" si="2"/>
        <v>-3169584.0372386668</v>
      </c>
      <c r="H59" s="321">
        <f t="shared" si="2"/>
        <v>-3047676.9588833335</v>
      </c>
      <c r="I59" s="321">
        <f t="shared" si="2"/>
        <v>-2726285.5704920003</v>
      </c>
      <c r="J59" s="321">
        <f t="shared" si="2"/>
        <v>-2803862.8021726669</v>
      </c>
      <c r="K59" s="321">
        <f t="shared" si="2"/>
        <v>-8666485.0248973332</v>
      </c>
      <c r="L59" s="321">
        <f t="shared" si="2"/>
        <v>-2560048.6454620003</v>
      </c>
      <c r="M59" s="321">
        <f t="shared" si="2"/>
        <v>-2438141.567106667</v>
      </c>
      <c r="N59" s="321">
        <f t="shared" si="2"/>
        <v>-4998190.2125686659</v>
      </c>
      <c r="O59" s="321">
        <f t="shared" si="2"/>
        <v>-2606546.962161656</v>
      </c>
      <c r="P59" s="321">
        <f t="shared" si="2"/>
        <v>-2072420.3320406673</v>
      </c>
      <c r="Q59" s="321">
        <f t="shared" si="2"/>
        <v>-1950513.2536853342</v>
      </c>
      <c r="R59" s="321">
        <f t="shared" si="2"/>
        <v>-1828606.1753300009</v>
      </c>
      <c r="S59" s="321">
        <f t="shared" si="2"/>
        <v>-7691228.3980546668</v>
      </c>
      <c r="T59" s="321">
        <f t="shared" si="2"/>
        <v>-1584792.0186193343</v>
      </c>
      <c r="U59" s="321">
        <f t="shared" si="2"/>
        <v>-1875104.4920296562</v>
      </c>
      <c r="V59" s="321">
        <f t="shared" si="2"/>
        <v>-1340977.861908668</v>
      </c>
      <c r="W59" s="321">
        <f t="shared" si="2"/>
        <v>-1219070.7835533347</v>
      </c>
      <c r="X59" s="321">
        <f t="shared" si="2"/>
        <v>-1097163.7051980013</v>
      </c>
      <c r="Y59" s="321">
        <f t="shared" si="2"/>
        <v>-975256.62684266805</v>
      </c>
      <c r="Z59" s="321">
        <f t="shared" si="2"/>
        <v>-853349.54848733475</v>
      </c>
      <c r="AA59" s="321">
        <f t="shared" si="2"/>
        <v>-6715971.7712120004</v>
      </c>
      <c r="AB59" s="321">
        <f t="shared" si="2"/>
        <v>-609535.39177666814</v>
      </c>
      <c r="AC59" s="321">
        <f t="shared" si="2"/>
        <v>-487628.31342133478</v>
      </c>
      <c r="AD59" s="321">
        <f t="shared" si="2"/>
        <v>-365721.23506600142</v>
      </c>
      <c r="AE59" s="321">
        <f t="shared" si="2"/>
        <v>-243814.15671066809</v>
      </c>
    </row>
    <row r="60" spans="1:31" x14ac:dyDescent="0.2">
      <c r="A60" s="322" t="s">
        <v>260</v>
      </c>
      <c r="B60" s="315"/>
      <c r="C60" s="315"/>
      <c r="D60" s="315"/>
      <c r="E60" s="315"/>
      <c r="F60" s="315"/>
      <c r="G60" s="315"/>
      <c r="H60" s="315"/>
      <c r="I60" s="315">
        <f>B28*1.2</f>
        <v>199484.31003600001</v>
      </c>
      <c r="J60" s="315"/>
      <c r="K60" s="315"/>
      <c r="L60" s="315"/>
      <c r="M60" s="315"/>
      <c r="N60" s="315"/>
      <c r="O60" s="315">
        <v>-412219.55176565517</v>
      </c>
      <c r="P60" s="315"/>
      <c r="Q60" s="315"/>
      <c r="R60" s="315"/>
      <c r="S60" s="315"/>
      <c r="T60" s="315"/>
      <c r="U60" s="315">
        <v>-412219.55176565517</v>
      </c>
      <c r="V60" s="315"/>
      <c r="W60" s="315"/>
      <c r="X60" s="315"/>
      <c r="Y60" s="315"/>
      <c r="Z60" s="315"/>
      <c r="AA60" s="315"/>
      <c r="AB60" s="315"/>
      <c r="AC60" s="315"/>
      <c r="AD60" s="315"/>
      <c r="AE60" s="315"/>
    </row>
    <row r="61" spans="1:31" x14ac:dyDescent="0.2">
      <c r="A61" s="322" t="s">
        <v>259</v>
      </c>
      <c r="B61" s="315"/>
      <c r="C61" s="315"/>
      <c r="D61" s="315"/>
      <c r="E61" s="315"/>
      <c r="F61" s="315"/>
      <c r="G61" s="315"/>
      <c r="H61" s="315"/>
      <c r="I61" s="315"/>
      <c r="J61" s="315"/>
      <c r="K61" s="315">
        <v>0</v>
      </c>
      <c r="L61" s="315"/>
      <c r="M61" s="315"/>
      <c r="N61" s="315"/>
      <c r="O61" s="315"/>
      <c r="P61" s="315"/>
      <c r="Q61" s="315"/>
      <c r="R61" s="315"/>
      <c r="S61" s="315">
        <f>K61</f>
        <v>0</v>
      </c>
      <c r="T61" s="315"/>
      <c r="U61" s="315"/>
      <c r="V61" s="315"/>
      <c r="W61" s="315"/>
      <c r="X61" s="315"/>
      <c r="Y61" s="315"/>
      <c r="Z61" s="315"/>
      <c r="AA61" s="323">
        <v>0</v>
      </c>
      <c r="AB61" s="315"/>
      <c r="AC61" s="315"/>
      <c r="AD61" s="315"/>
      <c r="AE61" s="315"/>
    </row>
    <row r="62" spans="1:31" x14ac:dyDescent="0.2">
      <c r="A62" s="322" t="s">
        <v>670</v>
      </c>
      <c r="B62" s="315"/>
      <c r="C62" s="315"/>
      <c r="D62" s="315"/>
      <c r="E62" s="315"/>
      <c r="F62" s="315"/>
      <c r="G62" s="315"/>
      <c r="H62" s="315"/>
      <c r="I62" s="315"/>
      <c r="J62" s="315"/>
      <c r="K62" s="315">
        <f>-B34*1.2</f>
        <v>-5984529.3010799987</v>
      </c>
      <c r="L62" s="315"/>
      <c r="M62" s="315"/>
      <c r="N62" s="315"/>
      <c r="O62" s="315"/>
      <c r="P62" s="315"/>
      <c r="Q62" s="315"/>
      <c r="R62" s="315"/>
      <c r="S62" s="315">
        <f>K62</f>
        <v>-5984529.3010799987</v>
      </c>
      <c r="T62" s="315"/>
      <c r="U62" s="315"/>
      <c r="V62" s="315"/>
      <c r="W62" s="315"/>
      <c r="X62" s="315"/>
      <c r="Y62" s="315"/>
      <c r="Z62" s="315"/>
      <c r="AA62" s="315">
        <f>S62</f>
        <v>-5984529.3010799987</v>
      </c>
      <c r="AB62" s="315"/>
      <c r="AC62" s="315"/>
      <c r="AD62" s="315"/>
      <c r="AE62" s="315"/>
    </row>
    <row r="63" spans="1:31" x14ac:dyDescent="0.2">
      <c r="A63" s="322" t="s">
        <v>430</v>
      </c>
      <c r="B63" s="324">
        <v>0</v>
      </c>
      <c r="C63" s="324">
        <v>0</v>
      </c>
      <c r="D63" s="324">
        <v>0</v>
      </c>
      <c r="E63" s="324">
        <v>0</v>
      </c>
      <c r="F63" s="324">
        <v>0</v>
      </c>
      <c r="G63" s="324">
        <v>0</v>
      </c>
      <c r="H63" s="324">
        <v>0</v>
      </c>
      <c r="I63" s="324">
        <v>0</v>
      </c>
      <c r="J63" s="324">
        <v>0</v>
      </c>
      <c r="K63" s="324">
        <v>0</v>
      </c>
      <c r="L63" s="324">
        <v>0</v>
      </c>
      <c r="M63" s="324">
        <v>0</v>
      </c>
      <c r="N63" s="324">
        <v>0</v>
      </c>
      <c r="O63" s="324">
        <v>0</v>
      </c>
      <c r="P63" s="324">
        <v>0</v>
      </c>
      <c r="Q63" s="324">
        <v>0</v>
      </c>
      <c r="R63" s="324">
        <v>0</v>
      </c>
      <c r="S63" s="324">
        <v>0</v>
      </c>
      <c r="T63" s="324">
        <v>0</v>
      </c>
      <c r="U63" s="324">
        <v>0</v>
      </c>
      <c r="V63" s="324">
        <v>0</v>
      </c>
      <c r="W63" s="324">
        <v>0</v>
      </c>
      <c r="X63" s="324">
        <v>0</v>
      </c>
      <c r="Y63" s="324">
        <v>0</v>
      </c>
      <c r="Z63" s="324">
        <v>0</v>
      </c>
      <c r="AA63" s="324">
        <v>0</v>
      </c>
      <c r="AB63" s="324">
        <v>0</v>
      </c>
      <c r="AC63" s="324">
        <v>0</v>
      </c>
      <c r="AD63" s="324">
        <v>0</v>
      </c>
      <c r="AE63" s="324">
        <v>0</v>
      </c>
    </row>
    <row r="64" spans="1:31" x14ac:dyDescent="0.2">
      <c r="A64" s="322" t="s">
        <v>430</v>
      </c>
      <c r="B64" s="324">
        <v>0</v>
      </c>
      <c r="C64" s="324">
        <v>0</v>
      </c>
      <c r="D64" s="324">
        <v>0</v>
      </c>
      <c r="E64" s="324">
        <v>0</v>
      </c>
      <c r="F64" s="324">
        <v>0</v>
      </c>
      <c r="G64" s="324">
        <v>0</v>
      </c>
      <c r="H64" s="324">
        <v>0</v>
      </c>
      <c r="I64" s="324">
        <v>0</v>
      </c>
      <c r="J64" s="324">
        <v>0</v>
      </c>
      <c r="K64" s="324">
        <v>0</v>
      </c>
      <c r="L64" s="324">
        <v>0</v>
      </c>
      <c r="M64" s="324">
        <v>0</v>
      </c>
      <c r="N64" s="324">
        <v>0</v>
      </c>
      <c r="O64" s="324">
        <v>0</v>
      </c>
      <c r="P64" s="324">
        <v>0</v>
      </c>
      <c r="Q64" s="324">
        <v>0</v>
      </c>
      <c r="R64" s="324">
        <v>0</v>
      </c>
      <c r="S64" s="324">
        <v>0</v>
      </c>
      <c r="T64" s="324">
        <v>0</v>
      </c>
      <c r="U64" s="324">
        <v>0</v>
      </c>
      <c r="V64" s="324">
        <v>0</v>
      </c>
      <c r="W64" s="324">
        <v>0</v>
      </c>
      <c r="X64" s="324">
        <v>0</v>
      </c>
      <c r="Y64" s="324">
        <v>0</v>
      </c>
      <c r="Z64" s="324">
        <v>0</v>
      </c>
      <c r="AA64" s="324">
        <v>0</v>
      </c>
      <c r="AB64" s="324">
        <v>0</v>
      </c>
      <c r="AC64" s="324">
        <v>0</v>
      </c>
      <c r="AD64" s="324">
        <v>0</v>
      </c>
      <c r="AE64" s="324">
        <v>0</v>
      </c>
    </row>
    <row r="65" spans="1:31" x14ac:dyDescent="0.2">
      <c r="A65" s="322" t="s">
        <v>672</v>
      </c>
      <c r="B65" s="324">
        <v>0</v>
      </c>
      <c r="C65" s="324">
        <v>0</v>
      </c>
      <c r="D65" s="519">
        <f>-($B$24+D67)*0.022</f>
        <v>-3535305.2723046667</v>
      </c>
      <c r="E65" s="519">
        <f>-($B$24+E67+D67)*0.022</f>
        <v>-3413398.1939493334</v>
      </c>
      <c r="F65" s="520">
        <f>-($B$24+F67+D67+E67)*0.022</f>
        <v>-3291491.1155940001</v>
      </c>
      <c r="G65" s="520">
        <f>-($B$24+G67+E67+F67+D67)*0.022</f>
        <v>-3169584.0372386668</v>
      </c>
      <c r="H65" s="520">
        <f>-($B$24+H67+F67+G67+E67+D67)*0.022</f>
        <v>-3047676.9588833335</v>
      </c>
      <c r="I65" s="520">
        <f>-($B$24+I67+G67+H67+F67+D67+E67)*0.022</f>
        <v>-2925769.8805280002</v>
      </c>
      <c r="J65" s="520">
        <f>-($B$24+D67+J67+H67+I67+G67+E67+F67)*0.022</f>
        <v>-2803862.8021726669</v>
      </c>
      <c r="K65" s="520">
        <f>-($B$24+E67+K67+I67+J67+H67+F67+G67+D67)*0.022</f>
        <v>-2681955.7238173336</v>
      </c>
      <c r="L65" s="520">
        <f>-($B$24+F67+L67+J67+K67+I67+G67+H67+D67+E67)*0.022</f>
        <v>-2560048.6454620003</v>
      </c>
      <c r="M65" s="520">
        <f>-($B$24+G67+M67+K67+L67+J67+H67+I67+F67+E67+D67)*0.022</f>
        <v>-2438141.567106667</v>
      </c>
      <c r="N65" s="520">
        <f>(-$B$24+H67+N67+L67+M67+K67+I67+J67+G67+F67+E67+D67)*0.022</f>
        <v>-4998190.2125686659</v>
      </c>
      <c r="O65" s="520">
        <f>-($B$24+I67+O67+M67+N67+L67+J67+K67+H67+G67+F67+D67+E67)*0.022</f>
        <v>-2194327.4103960008</v>
      </c>
      <c r="P65" s="520">
        <f>-($B$24+J67+P67+N67+O67+M67+K67+L67+I67+H67+G67+E67+D67+F67)*0.022</f>
        <v>-2072420.3320406673</v>
      </c>
      <c r="Q65" s="520">
        <f>-($B$24+K67+Q67+O67+P67+N67+L67+M67+J67+I67+H67+F67+G67+D67+E67)*0.022</f>
        <v>-1950513.2536853342</v>
      </c>
      <c r="R65" s="520">
        <f>-($B$24+L67+R67+P67+Q67+O67+M67+N67+K67+J67+I67+G67+H67+E67+D67+F67)*0.022</f>
        <v>-1828606.1753300009</v>
      </c>
      <c r="S65" s="520">
        <f>-($B$24+M67+S67+Q67+R67+P67+N67+O67+L67+K67+J67+H67+I67+F67+E67+D67+G67)*0.022</f>
        <v>-1706699.0969746676</v>
      </c>
      <c r="T65" s="520">
        <f>-($B$24+N67+T67+R67+S67+Q67+O67+P67+M67+L67+K67+I67+J67+G67+F67+E67+D67+H67)*0.022</f>
        <v>-1584792.0186193343</v>
      </c>
      <c r="U65" s="520">
        <f>-($B$24+O67+U67+S67+T67+R67+P67+Q67+N67+M67+L67+J67+K67+H67+G67+F67+E67+D67+I67)*0.022</f>
        <v>-1462884.940264001</v>
      </c>
      <c r="V65" s="520">
        <f>-($B$24+P67+V67+T67+U67+S67+Q67+R67+O67+N67+M67+K67+L67+I67+H67+G67+F67+D67+E67++J67)*0.022</f>
        <v>-1340977.861908668</v>
      </c>
      <c r="W65" s="520">
        <f>-($B$24+Q67+W67+U67+V67+T67+R67+S67+P67+O67+N67+L67+M67+J67+I67+H67+G67+E67+F67+D67+K67)*0.022</f>
        <v>-1219070.7835533347</v>
      </c>
      <c r="X65" s="520">
        <f>-($B$24+R67+X67+V67+W67+U67+S67+T67+Q67+P67+O67+M67+N67+K67+J67+I67+H67+F67+G67+E67+D67+L67)*0.022</f>
        <v>-1097163.7051980013</v>
      </c>
      <c r="Y65" s="520">
        <f>-($B$24+S67+Y67+W67+X67+V67+T67+U67+R67+Q67+P67+N67+O67+L67+K67+J67+I67+G67+H67+F67+E67+D67+M67)*0.022</f>
        <v>-975256.62684266805</v>
      </c>
      <c r="Z65" s="520">
        <f>-($B$24+T67+Z67+X67+Y67+W67+U67+V67+S67+R67+Q67+O67+P67+M67+L67+K67+J67+H67+I67+G67+F67+E67+D67+N67)*0.022</f>
        <v>-853349.54848733475</v>
      </c>
      <c r="AA65" s="520">
        <f>-($B$24+U67+AA67+Y67+Z67+X67+V67+W67+T67+S67+R67+P67+Q67+N67+M67+L67+K67+I67+J67+H67+G67+F67+E67+D67+O67)*0.022</f>
        <v>-731442.47013200144</v>
      </c>
      <c r="AB65" s="520">
        <f>-($B$24+V67+AB67+Z67+AA67+Y67+W67+X67+U67+T67+S67+Q67+R67+O67+N67+M67+L67+J67+K67+I67+H67+G67+F67+E67+D67+P67)*0.022</f>
        <v>-609535.39177666814</v>
      </c>
      <c r="AC65" s="520">
        <f>-($B$24+W67+AC67+AA67+AB67+Z67+X67+Y67+V67+U67+T67+R67+S67+P67+O67+N67+M67+K67+L67+J67+I67+H67+G67+F67+E67+D67+Q67)*0.022</f>
        <v>-487628.31342133478</v>
      </c>
      <c r="AD65" s="520">
        <f>-($B$24+X67+AD67+AB67+AC67+AA67+Y67+Z67+W67+V67+U67+S67+T67+Q67+P67+O67+N67+L67+M67+K67+J67+I67+H67+G67+F67+E67+D67+R67)*0.022</f>
        <v>-365721.23506600142</v>
      </c>
      <c r="AE65" s="520">
        <f>-($B$24+Y67+AE67+AC67+AD67+AB67+Z67+AA67+X67+W67+V67+T67+U67+R67+Q67+P67+O67+M67+N67+L67+K67+J67+I67+H67+G67+F67+E67+D67+S67)*0.022</f>
        <v>-243814.15671066809</v>
      </c>
    </row>
    <row r="66" spans="1:31" x14ac:dyDescent="0.2">
      <c r="A66" s="325" t="s">
        <v>673</v>
      </c>
      <c r="B66" s="326">
        <f t="shared" ref="B66:AE66" si="3">B58+B59</f>
        <v>0</v>
      </c>
      <c r="C66" s="326">
        <f t="shared" si="3"/>
        <v>24547155.667199995</v>
      </c>
      <c r="D66" s="326">
        <f t="shared" si="3"/>
        <v>25921281.528335337</v>
      </c>
      <c r="E66" s="326">
        <f t="shared" si="3"/>
        <v>35862050.873570666</v>
      </c>
      <c r="F66" s="326">
        <f t="shared" si="3"/>
        <v>38438673.518646002</v>
      </c>
      <c r="G66" s="326">
        <f t="shared" si="3"/>
        <v>41015296.163721338</v>
      </c>
      <c r="H66" s="326">
        <f t="shared" si="3"/>
        <v>41137203.242076673</v>
      </c>
      <c r="I66" s="326">
        <f t="shared" si="3"/>
        <v>41458594.630468003</v>
      </c>
      <c r="J66" s="326">
        <f t="shared" si="3"/>
        <v>41381017.398787335</v>
      </c>
      <c r="K66" s="326">
        <f t="shared" si="3"/>
        <v>35518395.176062673</v>
      </c>
      <c r="L66" s="326">
        <f t="shared" si="3"/>
        <v>41624831.555498004</v>
      </c>
      <c r="M66" s="326">
        <f t="shared" si="3"/>
        <v>41746738.633853339</v>
      </c>
      <c r="N66" s="326">
        <f t="shared" si="3"/>
        <v>39186689.98839134</v>
      </c>
      <c r="O66" s="326">
        <f t="shared" si="3"/>
        <v>41578333.23879835</v>
      </c>
      <c r="P66" s="326">
        <f t="shared" si="3"/>
        <v>42112459.868919335</v>
      </c>
      <c r="Q66" s="326">
        <f t="shared" si="3"/>
        <v>42234366.94727467</v>
      </c>
      <c r="R66" s="326">
        <f t="shared" si="3"/>
        <v>42356274.025630005</v>
      </c>
      <c r="S66" s="326">
        <f t="shared" si="3"/>
        <v>36493651.802905336</v>
      </c>
      <c r="T66" s="326">
        <f t="shared" si="3"/>
        <v>42600088.182340667</v>
      </c>
      <c r="U66" s="326">
        <f t="shared" si="3"/>
        <v>42309775.708930343</v>
      </c>
      <c r="V66" s="326">
        <f t="shared" si="3"/>
        <v>42843902.339051336</v>
      </c>
      <c r="W66" s="326">
        <f t="shared" si="3"/>
        <v>42965809.417406671</v>
      </c>
      <c r="X66" s="326">
        <f t="shared" si="3"/>
        <v>43087716.495761998</v>
      </c>
      <c r="Y66" s="326">
        <f t="shared" si="3"/>
        <v>43209623.574117333</v>
      </c>
      <c r="Z66" s="326">
        <f t="shared" si="3"/>
        <v>43331530.652472667</v>
      </c>
      <c r="AA66" s="326">
        <f t="shared" si="3"/>
        <v>37468908.429747999</v>
      </c>
      <c r="AB66" s="326">
        <f t="shared" si="3"/>
        <v>43575344.809183337</v>
      </c>
      <c r="AC66" s="326">
        <f t="shared" si="3"/>
        <v>43697251.887538671</v>
      </c>
      <c r="AD66" s="326">
        <f t="shared" si="3"/>
        <v>43819158.965893999</v>
      </c>
      <c r="AE66" s="326">
        <f t="shared" si="3"/>
        <v>43941066.044249333</v>
      </c>
    </row>
    <row r="67" spans="1:31" x14ac:dyDescent="0.2">
      <c r="A67" s="322" t="s">
        <v>255</v>
      </c>
      <c r="B67" s="327">
        <v>0</v>
      </c>
      <c r="C67" s="327"/>
      <c r="D67" s="327">
        <f>-(B24)*$B$27/$B$26</f>
        <v>-5541230.8343333332</v>
      </c>
      <c r="E67" s="328">
        <f t="shared" ref="E67:AE67" si="4">D67</f>
        <v>-5541230.8343333332</v>
      </c>
      <c r="F67" s="328">
        <f t="shared" si="4"/>
        <v>-5541230.8343333332</v>
      </c>
      <c r="G67" s="328">
        <f t="shared" si="4"/>
        <v>-5541230.8343333332</v>
      </c>
      <c r="H67" s="328">
        <f t="shared" si="4"/>
        <v>-5541230.8343333332</v>
      </c>
      <c r="I67" s="328">
        <f t="shared" si="4"/>
        <v>-5541230.8343333332</v>
      </c>
      <c r="J67" s="328">
        <f t="shared" si="4"/>
        <v>-5541230.8343333332</v>
      </c>
      <c r="K67" s="328">
        <f t="shared" si="4"/>
        <v>-5541230.8343333332</v>
      </c>
      <c r="L67" s="328">
        <f t="shared" si="4"/>
        <v>-5541230.8343333332</v>
      </c>
      <c r="M67" s="328">
        <f t="shared" si="4"/>
        <v>-5541230.8343333332</v>
      </c>
      <c r="N67" s="328">
        <f t="shared" si="4"/>
        <v>-5541230.8343333332</v>
      </c>
      <c r="O67" s="328">
        <f t="shared" si="4"/>
        <v>-5541230.8343333332</v>
      </c>
      <c r="P67" s="328">
        <f t="shared" si="4"/>
        <v>-5541230.8343333332</v>
      </c>
      <c r="Q67" s="328">
        <f t="shared" si="4"/>
        <v>-5541230.8343333332</v>
      </c>
      <c r="R67" s="328">
        <f t="shared" si="4"/>
        <v>-5541230.8343333332</v>
      </c>
      <c r="S67" s="328">
        <f t="shared" si="4"/>
        <v>-5541230.8343333332</v>
      </c>
      <c r="T67" s="328">
        <f t="shared" si="4"/>
        <v>-5541230.8343333332</v>
      </c>
      <c r="U67" s="328">
        <f t="shared" si="4"/>
        <v>-5541230.8343333332</v>
      </c>
      <c r="V67" s="328">
        <f t="shared" si="4"/>
        <v>-5541230.8343333332</v>
      </c>
      <c r="W67" s="328">
        <f t="shared" si="4"/>
        <v>-5541230.8343333332</v>
      </c>
      <c r="X67" s="328">
        <f t="shared" si="4"/>
        <v>-5541230.8343333332</v>
      </c>
      <c r="Y67" s="328">
        <f t="shared" si="4"/>
        <v>-5541230.8343333332</v>
      </c>
      <c r="Z67" s="328">
        <f t="shared" si="4"/>
        <v>-5541230.8343333332</v>
      </c>
      <c r="AA67" s="328">
        <f t="shared" si="4"/>
        <v>-5541230.8343333332</v>
      </c>
      <c r="AB67" s="328">
        <f t="shared" si="4"/>
        <v>-5541230.8343333332</v>
      </c>
      <c r="AC67" s="328">
        <f t="shared" si="4"/>
        <v>-5541230.8343333332</v>
      </c>
      <c r="AD67" s="328">
        <f t="shared" si="4"/>
        <v>-5541230.8343333332</v>
      </c>
      <c r="AE67" s="328">
        <f t="shared" si="4"/>
        <v>-5541230.8343333332</v>
      </c>
    </row>
    <row r="68" spans="1:31" x14ac:dyDescent="0.2">
      <c r="A68" s="325" t="s">
        <v>674</v>
      </c>
      <c r="B68" s="326">
        <f t="shared" ref="B68:AE68" si="5">B66+B67</f>
        <v>0</v>
      </c>
      <c r="C68" s="326">
        <f t="shared" si="5"/>
        <v>24547155.667199995</v>
      </c>
      <c r="D68" s="326">
        <f t="shared" si="5"/>
        <v>20380050.694002002</v>
      </c>
      <c r="E68" s="326">
        <f t="shared" si="5"/>
        <v>30320820.039237332</v>
      </c>
      <c r="F68" s="326">
        <f t="shared" si="5"/>
        <v>32897442.684312668</v>
      </c>
      <c r="G68" s="326">
        <f t="shared" si="5"/>
        <v>35474065.329388008</v>
      </c>
      <c r="H68" s="326">
        <f t="shared" si="5"/>
        <v>35595972.407743342</v>
      </c>
      <c r="I68" s="326">
        <f t="shared" si="5"/>
        <v>35917363.796134673</v>
      </c>
      <c r="J68" s="326">
        <f t="shared" si="5"/>
        <v>35839786.564454004</v>
      </c>
      <c r="K68" s="326">
        <f t="shared" si="5"/>
        <v>29977164.341729339</v>
      </c>
      <c r="L68" s="326">
        <f t="shared" si="5"/>
        <v>36083600.721164674</v>
      </c>
      <c r="M68" s="326">
        <f t="shared" si="5"/>
        <v>36205507.799520008</v>
      </c>
      <c r="N68" s="326">
        <f t="shared" si="5"/>
        <v>33645459.154058009</v>
      </c>
      <c r="O68" s="326">
        <f t="shared" si="5"/>
        <v>36037102.40446502</v>
      </c>
      <c r="P68" s="326">
        <f t="shared" si="5"/>
        <v>36571229.034586005</v>
      </c>
      <c r="Q68" s="326">
        <f t="shared" si="5"/>
        <v>36693136.11294134</v>
      </c>
      <c r="R68" s="326">
        <f t="shared" si="5"/>
        <v>36815043.191296674</v>
      </c>
      <c r="S68" s="326">
        <f t="shared" si="5"/>
        <v>30952420.968572002</v>
      </c>
      <c r="T68" s="326">
        <f t="shared" si="5"/>
        <v>37058857.348007336</v>
      </c>
      <c r="U68" s="326">
        <f t="shared" si="5"/>
        <v>36768544.874597013</v>
      </c>
      <c r="V68" s="326">
        <f t="shared" si="5"/>
        <v>37302671.504718006</v>
      </c>
      <c r="W68" s="326">
        <f t="shared" si="5"/>
        <v>37424578.58307334</v>
      </c>
      <c r="X68" s="326">
        <f t="shared" si="5"/>
        <v>37546485.661428668</v>
      </c>
      <c r="Y68" s="326">
        <f t="shared" si="5"/>
        <v>37668392.739784002</v>
      </c>
      <c r="Z68" s="326">
        <f t="shared" si="5"/>
        <v>37790299.818139337</v>
      </c>
      <c r="AA68" s="326">
        <f t="shared" si="5"/>
        <v>31927677.595414665</v>
      </c>
      <c r="AB68" s="326">
        <f t="shared" si="5"/>
        <v>38034113.974850006</v>
      </c>
      <c r="AC68" s="326">
        <f t="shared" si="5"/>
        <v>38156021.053205341</v>
      </c>
      <c r="AD68" s="326">
        <f t="shared" si="5"/>
        <v>38277928.131560668</v>
      </c>
      <c r="AE68" s="326">
        <f t="shared" si="5"/>
        <v>38399835.209916003</v>
      </c>
    </row>
    <row r="69" spans="1:31" x14ac:dyDescent="0.2">
      <c r="A69" s="322" t="s">
        <v>254</v>
      </c>
      <c r="B69" s="324">
        <v>0</v>
      </c>
      <c r="C69" s="324">
        <v>0</v>
      </c>
      <c r="D69" s="324">
        <v>0</v>
      </c>
      <c r="E69" s="324">
        <v>0</v>
      </c>
      <c r="F69" s="324">
        <v>0</v>
      </c>
      <c r="G69" s="324">
        <v>0</v>
      </c>
      <c r="H69" s="324">
        <v>0</v>
      </c>
      <c r="I69" s="324">
        <v>0</v>
      </c>
      <c r="J69" s="324">
        <v>0</v>
      </c>
      <c r="K69" s="324">
        <v>0</v>
      </c>
      <c r="L69" s="324">
        <v>0</v>
      </c>
      <c r="M69" s="324">
        <v>0</v>
      </c>
      <c r="N69" s="324">
        <v>0</v>
      </c>
      <c r="O69" s="324">
        <v>0</v>
      </c>
      <c r="P69" s="324">
        <v>0</v>
      </c>
      <c r="Q69" s="324">
        <v>0</v>
      </c>
      <c r="R69" s="324">
        <v>0</v>
      </c>
      <c r="S69" s="324">
        <v>0</v>
      </c>
      <c r="T69" s="324">
        <v>0</v>
      </c>
      <c r="U69" s="324">
        <v>0</v>
      </c>
      <c r="V69" s="324">
        <v>0</v>
      </c>
      <c r="W69" s="324">
        <v>0</v>
      </c>
      <c r="X69" s="324">
        <v>0</v>
      </c>
      <c r="Y69" s="324">
        <v>0</v>
      </c>
      <c r="Z69" s="324">
        <v>0</v>
      </c>
      <c r="AA69" s="324">
        <v>0</v>
      </c>
      <c r="AB69" s="324">
        <v>0</v>
      </c>
      <c r="AC69" s="324">
        <v>0</v>
      </c>
      <c r="AD69" s="324">
        <v>0</v>
      </c>
      <c r="AE69" s="324">
        <v>0</v>
      </c>
    </row>
    <row r="70" spans="1:31" x14ac:dyDescent="0.2">
      <c r="A70" s="325" t="s">
        <v>258</v>
      </c>
      <c r="B70" s="326">
        <f t="shared" ref="B70:AE70" si="6">B68+B69</f>
        <v>0</v>
      </c>
      <c r="C70" s="326">
        <f t="shared" si="6"/>
        <v>24547155.667199995</v>
      </c>
      <c r="D70" s="326">
        <f t="shared" si="6"/>
        <v>20380050.694002002</v>
      </c>
      <c r="E70" s="326">
        <f t="shared" si="6"/>
        <v>30320820.039237332</v>
      </c>
      <c r="F70" s="326">
        <f t="shared" si="6"/>
        <v>32897442.684312668</v>
      </c>
      <c r="G70" s="326">
        <f t="shared" si="6"/>
        <v>35474065.329388008</v>
      </c>
      <c r="H70" s="326">
        <f t="shared" si="6"/>
        <v>35595972.407743342</v>
      </c>
      <c r="I70" s="326">
        <f t="shared" si="6"/>
        <v>35917363.796134673</v>
      </c>
      <c r="J70" s="326">
        <f t="shared" si="6"/>
        <v>35839786.564454004</v>
      </c>
      <c r="K70" s="326">
        <f t="shared" si="6"/>
        <v>29977164.341729339</v>
      </c>
      <c r="L70" s="326">
        <f t="shared" si="6"/>
        <v>36083600.721164674</v>
      </c>
      <c r="M70" s="326">
        <f t="shared" si="6"/>
        <v>36205507.799520008</v>
      </c>
      <c r="N70" s="326">
        <f t="shared" si="6"/>
        <v>33645459.154058009</v>
      </c>
      <c r="O70" s="326">
        <f t="shared" si="6"/>
        <v>36037102.40446502</v>
      </c>
      <c r="P70" s="326">
        <f t="shared" si="6"/>
        <v>36571229.034586005</v>
      </c>
      <c r="Q70" s="326">
        <f t="shared" si="6"/>
        <v>36693136.11294134</v>
      </c>
      <c r="R70" s="326">
        <f t="shared" si="6"/>
        <v>36815043.191296674</v>
      </c>
      <c r="S70" s="326">
        <f t="shared" si="6"/>
        <v>30952420.968572002</v>
      </c>
      <c r="T70" s="326">
        <f t="shared" si="6"/>
        <v>37058857.348007336</v>
      </c>
      <c r="U70" s="326">
        <f t="shared" si="6"/>
        <v>36768544.874597013</v>
      </c>
      <c r="V70" s="326">
        <f t="shared" si="6"/>
        <v>37302671.504718006</v>
      </c>
      <c r="W70" s="326">
        <f t="shared" si="6"/>
        <v>37424578.58307334</v>
      </c>
      <c r="X70" s="326">
        <f t="shared" si="6"/>
        <v>37546485.661428668</v>
      </c>
      <c r="Y70" s="326">
        <f t="shared" si="6"/>
        <v>37668392.739784002</v>
      </c>
      <c r="Z70" s="326">
        <f t="shared" si="6"/>
        <v>37790299.818139337</v>
      </c>
      <c r="AA70" s="326">
        <f t="shared" si="6"/>
        <v>31927677.595414665</v>
      </c>
      <c r="AB70" s="326">
        <f t="shared" si="6"/>
        <v>38034113.974850006</v>
      </c>
      <c r="AC70" s="326">
        <f t="shared" si="6"/>
        <v>38156021.053205341</v>
      </c>
      <c r="AD70" s="326">
        <f t="shared" si="6"/>
        <v>38277928.131560668</v>
      </c>
      <c r="AE70" s="326">
        <f t="shared" si="6"/>
        <v>38399835.209916003</v>
      </c>
    </row>
    <row r="71" spans="1:31" x14ac:dyDescent="0.2">
      <c r="A71" s="322" t="s">
        <v>253</v>
      </c>
      <c r="B71" s="327">
        <f t="shared" ref="B71:AE71" si="7">-B70*$B$35</f>
        <v>0</v>
      </c>
      <c r="C71" s="327">
        <f t="shared" si="7"/>
        <v>-4909431.1334399991</v>
      </c>
      <c r="D71" s="327">
        <f t="shared" si="7"/>
        <v>-4076010.1388004008</v>
      </c>
      <c r="E71" s="327">
        <f t="shared" si="7"/>
        <v>-6064164.0078474665</v>
      </c>
      <c r="F71" s="327">
        <f t="shared" si="7"/>
        <v>-6579488.5368625335</v>
      </c>
      <c r="G71" s="327">
        <f t="shared" si="7"/>
        <v>-7094813.0658776015</v>
      </c>
      <c r="H71" s="327">
        <f t="shared" si="7"/>
        <v>-7119194.4815486688</v>
      </c>
      <c r="I71" s="327">
        <f t="shared" si="7"/>
        <v>-7183472.759226935</v>
      </c>
      <c r="J71" s="327">
        <f t="shared" si="7"/>
        <v>-7167957.3128908016</v>
      </c>
      <c r="K71" s="327">
        <f t="shared" si="7"/>
        <v>-5995432.8683458678</v>
      </c>
      <c r="L71" s="327">
        <f t="shared" si="7"/>
        <v>-7216720.1442329353</v>
      </c>
      <c r="M71" s="327">
        <f t="shared" si="7"/>
        <v>-7241101.5599040017</v>
      </c>
      <c r="N71" s="327">
        <f t="shared" si="7"/>
        <v>-6729091.8308116021</v>
      </c>
      <c r="O71" s="327">
        <f t="shared" si="7"/>
        <v>-7207420.4808930047</v>
      </c>
      <c r="P71" s="327">
        <f t="shared" si="7"/>
        <v>-7314245.8069172017</v>
      </c>
      <c r="Q71" s="327">
        <f t="shared" si="7"/>
        <v>-7338627.2225882681</v>
      </c>
      <c r="R71" s="327">
        <f t="shared" si="7"/>
        <v>-7363008.6382593354</v>
      </c>
      <c r="S71" s="327">
        <f t="shared" si="7"/>
        <v>-6190484.1937144008</v>
      </c>
      <c r="T71" s="327">
        <f t="shared" si="7"/>
        <v>-7411771.4696014673</v>
      </c>
      <c r="U71" s="327">
        <f t="shared" si="7"/>
        <v>-7353708.974919403</v>
      </c>
      <c r="V71" s="327">
        <f t="shared" si="7"/>
        <v>-7460534.3009436019</v>
      </c>
      <c r="W71" s="327">
        <f t="shared" si="7"/>
        <v>-7484915.7166146683</v>
      </c>
      <c r="X71" s="327">
        <f t="shared" si="7"/>
        <v>-7509297.1322857337</v>
      </c>
      <c r="Y71" s="327">
        <f t="shared" si="7"/>
        <v>-7533678.547956801</v>
      </c>
      <c r="Z71" s="327">
        <f t="shared" si="7"/>
        <v>-7558059.9636278674</v>
      </c>
      <c r="AA71" s="327">
        <f t="shared" si="7"/>
        <v>-6385535.5190829337</v>
      </c>
      <c r="AB71" s="327">
        <f t="shared" si="7"/>
        <v>-7606822.794970002</v>
      </c>
      <c r="AC71" s="327">
        <f t="shared" si="7"/>
        <v>-7631204.2106410684</v>
      </c>
      <c r="AD71" s="327">
        <f t="shared" si="7"/>
        <v>-7655585.6263121339</v>
      </c>
      <c r="AE71" s="327">
        <f t="shared" si="7"/>
        <v>-7679967.0419832012</v>
      </c>
    </row>
    <row r="72" spans="1:31" ht="13.5" thickBot="1" x14ac:dyDescent="0.25">
      <c r="A72" s="329" t="s">
        <v>257</v>
      </c>
      <c r="B72" s="330">
        <f t="shared" ref="B72:AE72" si="8">B70+B71</f>
        <v>0</v>
      </c>
      <c r="C72" s="330">
        <f t="shared" si="8"/>
        <v>19637724.533759996</v>
      </c>
      <c r="D72" s="330">
        <f t="shared" si="8"/>
        <v>16304040.555201601</v>
      </c>
      <c r="E72" s="330">
        <f t="shared" si="8"/>
        <v>24256656.031389866</v>
      </c>
      <c r="F72" s="330">
        <f t="shared" si="8"/>
        <v>26317954.147450134</v>
      </c>
      <c r="G72" s="330">
        <f t="shared" si="8"/>
        <v>28379252.263510406</v>
      </c>
      <c r="H72" s="330">
        <f t="shared" si="8"/>
        <v>28476777.926194675</v>
      </c>
      <c r="I72" s="330">
        <f t="shared" si="8"/>
        <v>28733891.03690774</v>
      </c>
      <c r="J72" s="330">
        <f t="shared" si="8"/>
        <v>28671829.251563203</v>
      </c>
      <c r="K72" s="330">
        <f t="shared" si="8"/>
        <v>23981731.473383471</v>
      </c>
      <c r="L72" s="330">
        <f t="shared" si="8"/>
        <v>28866880.576931737</v>
      </c>
      <c r="M72" s="330">
        <f t="shared" si="8"/>
        <v>28964406.239616007</v>
      </c>
      <c r="N72" s="330">
        <f t="shared" si="8"/>
        <v>26916367.323246408</v>
      </c>
      <c r="O72" s="330">
        <f t="shared" si="8"/>
        <v>28829681.923572015</v>
      </c>
      <c r="P72" s="330">
        <f t="shared" si="8"/>
        <v>29256983.227668803</v>
      </c>
      <c r="Q72" s="330">
        <f t="shared" si="8"/>
        <v>29354508.890353072</v>
      </c>
      <c r="R72" s="330">
        <f t="shared" si="8"/>
        <v>29452034.553037338</v>
      </c>
      <c r="S72" s="330">
        <f t="shared" si="8"/>
        <v>24761936.774857603</v>
      </c>
      <c r="T72" s="330">
        <f t="shared" si="8"/>
        <v>29647085.878405869</v>
      </c>
      <c r="U72" s="330">
        <f t="shared" si="8"/>
        <v>29414835.899677612</v>
      </c>
      <c r="V72" s="330">
        <f t="shared" si="8"/>
        <v>29842137.203774404</v>
      </c>
      <c r="W72" s="330">
        <f t="shared" si="8"/>
        <v>29939662.866458673</v>
      </c>
      <c r="X72" s="330">
        <f t="shared" si="8"/>
        <v>30037188.529142935</v>
      </c>
      <c r="Y72" s="330">
        <f t="shared" si="8"/>
        <v>30134714.1918272</v>
      </c>
      <c r="Z72" s="330">
        <f t="shared" si="8"/>
        <v>30232239.85451147</v>
      </c>
      <c r="AA72" s="330">
        <f t="shared" si="8"/>
        <v>25542142.076331731</v>
      </c>
      <c r="AB72" s="330">
        <f t="shared" si="8"/>
        <v>30427291.179880004</v>
      </c>
      <c r="AC72" s="330">
        <f t="shared" si="8"/>
        <v>30524816.842564274</v>
      </c>
      <c r="AD72" s="330">
        <f t="shared" si="8"/>
        <v>30622342.505248535</v>
      </c>
      <c r="AE72" s="330">
        <f t="shared" si="8"/>
        <v>30719868.167932801</v>
      </c>
    </row>
    <row r="73" spans="1:31" ht="13.5" thickBot="1" x14ac:dyDescent="0.25">
      <c r="A73" s="312"/>
      <c r="B73" s="331">
        <v>0.5</v>
      </c>
      <c r="C73" s="331">
        <v>1.5</v>
      </c>
      <c r="D73" s="331">
        <v>2.5</v>
      </c>
      <c r="E73" s="331">
        <v>3.5</v>
      </c>
      <c r="F73" s="331">
        <v>4.5</v>
      </c>
      <c r="G73" s="331">
        <v>5.5</v>
      </c>
      <c r="H73" s="331">
        <v>6.5</v>
      </c>
      <c r="I73" s="331">
        <v>7.5</v>
      </c>
      <c r="J73" s="331">
        <v>8.5</v>
      </c>
      <c r="K73" s="331">
        <v>9.5</v>
      </c>
      <c r="L73" s="331">
        <v>10.5</v>
      </c>
      <c r="M73" s="331">
        <v>11.5</v>
      </c>
      <c r="N73" s="331">
        <v>12.5</v>
      </c>
      <c r="O73" s="331">
        <v>13.5</v>
      </c>
      <c r="P73" s="331">
        <v>14.5</v>
      </c>
      <c r="Q73" s="331">
        <v>15.5</v>
      </c>
      <c r="R73" s="331">
        <v>16.5</v>
      </c>
      <c r="S73" s="331">
        <v>17.5</v>
      </c>
      <c r="T73" s="331">
        <v>18.5</v>
      </c>
      <c r="U73" s="331">
        <v>19.5</v>
      </c>
      <c r="V73" s="331">
        <v>20.5</v>
      </c>
      <c r="W73" s="331">
        <v>21.5</v>
      </c>
      <c r="X73" s="331">
        <v>22.5</v>
      </c>
      <c r="Y73" s="331">
        <v>23.5</v>
      </c>
      <c r="Z73" s="331">
        <v>24.5</v>
      </c>
      <c r="AA73" s="331">
        <v>25.5</v>
      </c>
      <c r="AB73" s="331">
        <v>26.5</v>
      </c>
      <c r="AC73" s="331">
        <v>27.5</v>
      </c>
      <c r="AD73" s="331">
        <v>28.5</v>
      </c>
      <c r="AE73" s="331">
        <v>29.5</v>
      </c>
    </row>
    <row r="74" spans="1:31" x14ac:dyDescent="0.2">
      <c r="A74" s="314" t="s">
        <v>256</v>
      </c>
      <c r="B74" s="305">
        <v>1</v>
      </c>
      <c r="C74" s="305">
        <v>2</v>
      </c>
      <c r="D74" s="305">
        <v>3</v>
      </c>
      <c r="E74" s="305">
        <v>4</v>
      </c>
      <c r="F74" s="305">
        <v>5</v>
      </c>
      <c r="G74" s="305">
        <v>6</v>
      </c>
      <c r="H74" s="305">
        <v>7</v>
      </c>
      <c r="I74" s="305">
        <v>8</v>
      </c>
      <c r="J74" s="305">
        <v>9</v>
      </c>
      <c r="K74" s="305">
        <v>10</v>
      </c>
      <c r="L74" s="305">
        <v>11</v>
      </c>
      <c r="M74" s="305">
        <v>12</v>
      </c>
      <c r="N74" s="305">
        <v>13</v>
      </c>
      <c r="O74" s="305">
        <v>14</v>
      </c>
      <c r="P74" s="305">
        <v>15</v>
      </c>
      <c r="Q74" s="305">
        <v>16</v>
      </c>
      <c r="R74" s="305">
        <v>17</v>
      </c>
      <c r="S74" s="305">
        <v>18</v>
      </c>
      <c r="T74" s="305">
        <v>19</v>
      </c>
      <c r="U74" s="305">
        <v>20</v>
      </c>
      <c r="V74" s="305">
        <v>21</v>
      </c>
      <c r="W74" s="305">
        <v>22</v>
      </c>
      <c r="X74" s="305">
        <v>23</v>
      </c>
      <c r="Y74" s="305">
        <v>24</v>
      </c>
      <c r="Z74" s="305">
        <v>25</v>
      </c>
      <c r="AA74" s="305">
        <v>26</v>
      </c>
      <c r="AB74" s="305">
        <v>27</v>
      </c>
      <c r="AC74" s="305">
        <v>28</v>
      </c>
      <c r="AD74" s="305">
        <v>29</v>
      </c>
      <c r="AE74" s="305">
        <v>30</v>
      </c>
    </row>
    <row r="75" spans="1:31" x14ac:dyDescent="0.2">
      <c r="A75" s="332" t="s">
        <v>674</v>
      </c>
      <c r="B75" s="326">
        <f t="shared" ref="B75:AE75" si="9">B68</f>
        <v>0</v>
      </c>
      <c r="C75" s="326">
        <f t="shared" si="9"/>
        <v>24547155.667199995</v>
      </c>
      <c r="D75" s="326">
        <f t="shared" si="9"/>
        <v>20380050.694002002</v>
      </c>
      <c r="E75" s="326">
        <f t="shared" si="9"/>
        <v>30320820.039237332</v>
      </c>
      <c r="F75" s="326">
        <f t="shared" si="9"/>
        <v>32897442.684312668</v>
      </c>
      <c r="G75" s="326">
        <f t="shared" si="9"/>
        <v>35474065.329388008</v>
      </c>
      <c r="H75" s="326">
        <f t="shared" si="9"/>
        <v>35595972.407743342</v>
      </c>
      <c r="I75" s="326">
        <f t="shared" si="9"/>
        <v>35917363.796134673</v>
      </c>
      <c r="J75" s="326">
        <f t="shared" si="9"/>
        <v>35839786.564454004</v>
      </c>
      <c r="K75" s="326">
        <f t="shared" si="9"/>
        <v>29977164.341729339</v>
      </c>
      <c r="L75" s="326">
        <f t="shared" si="9"/>
        <v>36083600.721164674</v>
      </c>
      <c r="M75" s="326">
        <f t="shared" si="9"/>
        <v>36205507.799520008</v>
      </c>
      <c r="N75" s="326">
        <f t="shared" si="9"/>
        <v>33645459.154058009</v>
      </c>
      <c r="O75" s="326">
        <f t="shared" si="9"/>
        <v>36037102.40446502</v>
      </c>
      <c r="P75" s="326">
        <f t="shared" si="9"/>
        <v>36571229.034586005</v>
      </c>
      <c r="Q75" s="326">
        <f t="shared" si="9"/>
        <v>36693136.11294134</v>
      </c>
      <c r="R75" s="326">
        <f t="shared" si="9"/>
        <v>36815043.191296674</v>
      </c>
      <c r="S75" s="326">
        <f t="shared" si="9"/>
        <v>30952420.968572002</v>
      </c>
      <c r="T75" s="326">
        <f t="shared" si="9"/>
        <v>37058857.348007336</v>
      </c>
      <c r="U75" s="326">
        <f t="shared" si="9"/>
        <v>36768544.874597013</v>
      </c>
      <c r="V75" s="326">
        <f t="shared" si="9"/>
        <v>37302671.504718006</v>
      </c>
      <c r="W75" s="326">
        <f t="shared" si="9"/>
        <v>37424578.58307334</v>
      </c>
      <c r="X75" s="326">
        <f t="shared" si="9"/>
        <v>37546485.661428668</v>
      </c>
      <c r="Y75" s="326">
        <f t="shared" si="9"/>
        <v>37668392.739784002</v>
      </c>
      <c r="Z75" s="326">
        <f t="shared" si="9"/>
        <v>37790299.818139337</v>
      </c>
      <c r="AA75" s="326">
        <f t="shared" si="9"/>
        <v>31927677.595414665</v>
      </c>
      <c r="AB75" s="326">
        <f t="shared" si="9"/>
        <v>38034113.974850006</v>
      </c>
      <c r="AC75" s="326">
        <f t="shared" si="9"/>
        <v>38156021.053205341</v>
      </c>
      <c r="AD75" s="326">
        <f t="shared" si="9"/>
        <v>38277928.131560668</v>
      </c>
      <c r="AE75" s="326">
        <f t="shared" si="9"/>
        <v>38399835.209916003</v>
      </c>
    </row>
    <row r="76" spans="1:31" x14ac:dyDescent="0.2">
      <c r="A76" s="322" t="s">
        <v>255</v>
      </c>
      <c r="B76" s="327">
        <f t="shared" ref="B76:AE76" si="10">-B67</f>
        <v>0</v>
      </c>
      <c r="C76" s="327">
        <f t="shared" si="10"/>
        <v>0</v>
      </c>
      <c r="D76" s="327">
        <f t="shared" si="10"/>
        <v>5541230.8343333332</v>
      </c>
      <c r="E76" s="327">
        <f t="shared" si="10"/>
        <v>5541230.8343333332</v>
      </c>
      <c r="F76" s="327">
        <f t="shared" si="10"/>
        <v>5541230.8343333332</v>
      </c>
      <c r="G76" s="327">
        <f t="shared" si="10"/>
        <v>5541230.8343333332</v>
      </c>
      <c r="H76" s="327">
        <f t="shared" si="10"/>
        <v>5541230.8343333332</v>
      </c>
      <c r="I76" s="327">
        <f t="shared" si="10"/>
        <v>5541230.8343333332</v>
      </c>
      <c r="J76" s="327">
        <f t="shared" si="10"/>
        <v>5541230.8343333332</v>
      </c>
      <c r="K76" s="327">
        <f t="shared" si="10"/>
        <v>5541230.8343333332</v>
      </c>
      <c r="L76" s="327">
        <f t="shared" si="10"/>
        <v>5541230.8343333332</v>
      </c>
      <c r="M76" s="327">
        <f t="shared" si="10"/>
        <v>5541230.8343333332</v>
      </c>
      <c r="N76" s="327">
        <f t="shared" si="10"/>
        <v>5541230.8343333332</v>
      </c>
      <c r="O76" s="327">
        <f t="shared" si="10"/>
        <v>5541230.8343333332</v>
      </c>
      <c r="P76" s="327">
        <f t="shared" si="10"/>
        <v>5541230.8343333332</v>
      </c>
      <c r="Q76" s="327">
        <f t="shared" si="10"/>
        <v>5541230.8343333332</v>
      </c>
      <c r="R76" s="327">
        <f t="shared" si="10"/>
        <v>5541230.8343333332</v>
      </c>
      <c r="S76" s="327">
        <f t="shared" si="10"/>
        <v>5541230.8343333332</v>
      </c>
      <c r="T76" s="327">
        <f t="shared" si="10"/>
        <v>5541230.8343333332</v>
      </c>
      <c r="U76" s="327">
        <f t="shared" si="10"/>
        <v>5541230.8343333332</v>
      </c>
      <c r="V76" s="327">
        <f t="shared" si="10"/>
        <v>5541230.8343333332</v>
      </c>
      <c r="W76" s="327">
        <f t="shared" si="10"/>
        <v>5541230.8343333332</v>
      </c>
      <c r="X76" s="327">
        <f t="shared" si="10"/>
        <v>5541230.8343333332</v>
      </c>
      <c r="Y76" s="327">
        <f t="shared" si="10"/>
        <v>5541230.8343333332</v>
      </c>
      <c r="Z76" s="327">
        <f t="shared" si="10"/>
        <v>5541230.8343333332</v>
      </c>
      <c r="AA76" s="327">
        <f t="shared" si="10"/>
        <v>5541230.8343333332</v>
      </c>
      <c r="AB76" s="327">
        <f t="shared" si="10"/>
        <v>5541230.8343333332</v>
      </c>
      <c r="AC76" s="327">
        <f t="shared" si="10"/>
        <v>5541230.8343333332</v>
      </c>
      <c r="AD76" s="327">
        <f t="shared" si="10"/>
        <v>5541230.8343333332</v>
      </c>
      <c r="AE76" s="327">
        <f t="shared" si="10"/>
        <v>5541230.8343333332</v>
      </c>
    </row>
    <row r="77" spans="1:31" x14ac:dyDescent="0.2">
      <c r="A77" s="322" t="s">
        <v>254</v>
      </c>
      <c r="B77" s="327">
        <f t="shared" ref="B77:AE77" si="11">B69</f>
        <v>0</v>
      </c>
      <c r="C77" s="327">
        <f t="shared" si="11"/>
        <v>0</v>
      </c>
      <c r="D77" s="327">
        <f t="shared" si="11"/>
        <v>0</v>
      </c>
      <c r="E77" s="327">
        <f t="shared" si="11"/>
        <v>0</v>
      </c>
      <c r="F77" s="327">
        <f t="shared" si="11"/>
        <v>0</v>
      </c>
      <c r="G77" s="327">
        <f t="shared" si="11"/>
        <v>0</v>
      </c>
      <c r="H77" s="327">
        <f t="shared" si="11"/>
        <v>0</v>
      </c>
      <c r="I77" s="327">
        <f t="shared" si="11"/>
        <v>0</v>
      </c>
      <c r="J77" s="327">
        <f t="shared" si="11"/>
        <v>0</v>
      </c>
      <c r="K77" s="327">
        <f t="shared" si="11"/>
        <v>0</v>
      </c>
      <c r="L77" s="327">
        <f t="shared" si="11"/>
        <v>0</v>
      </c>
      <c r="M77" s="327">
        <f t="shared" si="11"/>
        <v>0</v>
      </c>
      <c r="N77" s="327">
        <f t="shared" si="11"/>
        <v>0</v>
      </c>
      <c r="O77" s="327">
        <f t="shared" si="11"/>
        <v>0</v>
      </c>
      <c r="P77" s="327">
        <f t="shared" si="11"/>
        <v>0</v>
      </c>
      <c r="Q77" s="327">
        <f t="shared" si="11"/>
        <v>0</v>
      </c>
      <c r="R77" s="327">
        <f t="shared" si="11"/>
        <v>0</v>
      </c>
      <c r="S77" s="327">
        <f t="shared" si="11"/>
        <v>0</v>
      </c>
      <c r="T77" s="327">
        <f t="shared" si="11"/>
        <v>0</v>
      </c>
      <c r="U77" s="327">
        <f t="shared" si="11"/>
        <v>0</v>
      </c>
      <c r="V77" s="327">
        <f t="shared" si="11"/>
        <v>0</v>
      </c>
      <c r="W77" s="327">
        <f t="shared" si="11"/>
        <v>0</v>
      </c>
      <c r="X77" s="327">
        <f t="shared" si="11"/>
        <v>0</v>
      </c>
      <c r="Y77" s="327">
        <f t="shared" si="11"/>
        <v>0</v>
      </c>
      <c r="Z77" s="327">
        <f t="shared" si="11"/>
        <v>0</v>
      </c>
      <c r="AA77" s="327">
        <f t="shared" si="11"/>
        <v>0</v>
      </c>
      <c r="AB77" s="327">
        <f t="shared" si="11"/>
        <v>0</v>
      </c>
      <c r="AC77" s="327">
        <f t="shared" si="11"/>
        <v>0</v>
      </c>
      <c r="AD77" s="327">
        <f t="shared" si="11"/>
        <v>0</v>
      </c>
      <c r="AE77" s="327">
        <f t="shared" si="11"/>
        <v>0</v>
      </c>
    </row>
    <row r="78" spans="1:31" x14ac:dyDescent="0.2">
      <c r="A78" s="322" t="s">
        <v>253</v>
      </c>
      <c r="B78" s="327">
        <f>IF(SUM($B$71:B71)+SUM($A$78:A78)&gt;0,0,SUM($B$71:B71)-SUM($A$78:A78))</f>
        <v>0</v>
      </c>
      <c r="C78" s="327">
        <f>IF(SUM($B$71:C71)+SUM($A$78:B78)&gt;0,0,SUM($B$71:C71)-SUM($A$78:B78))</f>
        <v>-4909431.1334399991</v>
      </c>
      <c r="D78" s="327">
        <f>IF(SUM($B$71:D71)+SUM($A$78:C78)&gt;0,0,SUM($B$71:D71)-SUM($A$78:C78))</f>
        <v>-4076010.1388004012</v>
      </c>
      <c r="E78" s="327">
        <f>IF(SUM($B$71:E71)+SUM($A$78:D78)&gt;0,0,SUM($B$71:E71)-SUM($A$78:D78))</f>
        <v>-6064164.0078474656</v>
      </c>
      <c r="F78" s="327">
        <f>IF(SUM($B$71:F71)+SUM($A$78:E78)&gt;0,0,SUM($B$71:F71)-SUM($A$78:E78))</f>
        <v>-6579488.5368625335</v>
      </c>
      <c r="G78" s="327">
        <f>IF(SUM($B$71:G71)+SUM($A$78:F78)&gt;0,0,SUM($B$71:G71)-SUM($A$78:F78))</f>
        <v>-7094813.0658776015</v>
      </c>
      <c r="H78" s="327">
        <f>IF(SUM($B$71:H71)+SUM($A$78:G78)&gt;0,0,SUM($B$71:H71)-SUM($A$78:G78))</f>
        <v>-7119194.4815486707</v>
      </c>
      <c r="I78" s="327">
        <f>IF(SUM($B$71:I71)+SUM($A$78:H78)&gt;0,0,SUM($B$71:I71)-SUM($A$78:H78))</f>
        <v>-7183472.7592269331</v>
      </c>
      <c r="J78" s="327">
        <f>IF(SUM($B$71:J71)+SUM($A$78:I78)&gt;0,0,SUM($B$71:J71)-SUM($A$78:I78))</f>
        <v>-7167957.3128908053</v>
      </c>
      <c r="K78" s="327">
        <f>IF(SUM($B$71:K71)+SUM($A$78:J78)&gt;0,0,SUM($B$71:K71)-SUM($A$78:J78))</f>
        <v>-5995432.8683458716</v>
      </c>
      <c r="L78" s="327">
        <f>IF(SUM($B$71:L71)+SUM($A$78:K78)&gt;0,0,SUM($B$71:L71)-SUM($A$78:K78))</f>
        <v>-7216720.1442329362</v>
      </c>
      <c r="M78" s="327">
        <f>IF(SUM($B$71:M71)+SUM($A$78:L78)&gt;0,0,SUM($B$71:M71)-SUM($A$78:L78))</f>
        <v>-7241101.5599040017</v>
      </c>
      <c r="N78" s="327">
        <f>IF(SUM($B$71:N71)+SUM($A$78:M78)&gt;0,0,SUM($B$71:N71)-SUM($A$78:M78))</f>
        <v>-6729091.8308116049</v>
      </c>
      <c r="O78" s="327">
        <f>IF(SUM($B$71:O71)+SUM($A$78:N78)&gt;0,0,SUM($B$71:O71)-SUM($A$78:N78))</f>
        <v>-7207420.480893001</v>
      </c>
      <c r="P78" s="327">
        <f>IF(SUM($B$71:P71)+SUM($A$78:O78)&gt;0,0,SUM($B$71:P71)-SUM($A$78:O78))</f>
        <v>-7314245.8069172055</v>
      </c>
      <c r="Q78" s="327">
        <f>IF(SUM($B$71:Q71)+SUM($A$78:P78)&gt;0,0,SUM($B$71:Q71)-SUM($A$78:P78))</f>
        <v>-7338627.2225882709</v>
      </c>
      <c r="R78" s="327">
        <f>IF(SUM($B$71:R71)+SUM($A$78:Q78)&gt;0,0,SUM($B$71:R71)-SUM($A$78:Q78))</f>
        <v>-7363008.6382593364</v>
      </c>
      <c r="S78" s="327">
        <f>IF(SUM($B$71:S71)+SUM($A$78:R78)&gt;0,0,SUM($B$71:S71)-SUM($A$78:R78))</f>
        <v>-6190484.1937143952</v>
      </c>
      <c r="T78" s="327">
        <f>IF(SUM($B$71:T71)+SUM($A$78:S78)&gt;0,0,SUM($B$71:T71)-SUM($A$78:S78))</f>
        <v>-7411771.4696014673</v>
      </c>
      <c r="U78" s="327">
        <f>IF(SUM($B$71:U71)+SUM($A$78:T78)&gt;0,0,SUM($B$71:U71)-SUM($A$78:T78))</f>
        <v>-7353708.9749194086</v>
      </c>
      <c r="V78" s="327">
        <f>IF(SUM($B$71:V71)+SUM($A$78:U78)&gt;0,0,SUM($B$71:V71)-SUM($A$78:U78))</f>
        <v>-7460534.3009435982</v>
      </c>
      <c r="W78" s="327">
        <f>IF(SUM($B$71:W71)+SUM($A$78:V78)&gt;0,0,SUM($B$71:W71)-SUM($A$78:V78))</f>
        <v>-7484915.7166146636</v>
      </c>
      <c r="X78" s="327">
        <f>IF(SUM($B$71:X71)+SUM($A$78:W78)&gt;0,0,SUM($B$71:X71)-SUM($A$78:W78))</f>
        <v>-7509297.132285744</v>
      </c>
      <c r="Y78" s="327">
        <f>IF(SUM($B$71:Y71)+SUM($A$78:X78)&gt;0,0,SUM($B$71:Y71)-SUM($A$78:X78))</f>
        <v>-7533678.5479567945</v>
      </c>
      <c r="Z78" s="327">
        <f>IF(SUM($B$71:Z71)+SUM($A$78:Y78)&gt;0,0,SUM($B$71:Z71)-SUM($A$78:Y78))</f>
        <v>-7558059.9636278749</v>
      </c>
      <c r="AA78" s="327">
        <f>IF(SUM($B$71:AA71)+SUM($A$78:Z78)&gt;0,0,SUM($B$71:AA71)-SUM($A$78:Z78))</f>
        <v>-6385535.5190829337</v>
      </c>
      <c r="AB78" s="327">
        <f>IF(SUM($B$71:AB71)+SUM($A$78:AA78)&gt;0,0,SUM($B$71:AB71)-SUM($A$78:AA78))</f>
        <v>-7606822.7949700058</v>
      </c>
      <c r="AC78" s="327">
        <f>IF(SUM($B$71:AC71)+SUM($A$78:AB78)&gt;0,0,SUM($B$71:AC71)-SUM($A$78:AB78))</f>
        <v>-7631204.2106410563</v>
      </c>
      <c r="AD78" s="327">
        <f>IF(SUM($B$71:AD71)+SUM($A$78:AC78)&gt;0,0,SUM($B$71:AD71)-SUM($A$78:AC78))</f>
        <v>-7655585.6263121367</v>
      </c>
      <c r="AE78" s="327">
        <f>IF(SUM($B$71:AE71)+SUM($A$78:AD78)&gt;0,0,SUM($B$71:AE71)-SUM($A$78:AD78))</f>
        <v>-7679967.0419831872</v>
      </c>
    </row>
    <row r="79" spans="1:31" x14ac:dyDescent="0.2">
      <c r="A79" s="322" t="s">
        <v>252</v>
      </c>
      <c r="B79" s="327">
        <f>IF(((SUM($B$58:B58)+SUM($B$60:B64))+SUM($B$81:B81))&lt;0,((SUM($B$58:B58)+SUM($B$60:B64))+SUM($B$81:B81))*0.2-SUM($A$79:A79),IF(SUM(A$79:$A79)&lt;0,0-SUM(A$79:$A79),0))</f>
        <v>-5768.3571819999997</v>
      </c>
      <c r="C79" s="327">
        <f>IF(((SUM($B$58:C58)+SUM($B$60:C64))+SUM($B$81:C81))&lt;0,((SUM($B$58:C58)+SUM($B$60:C64))+SUM($B$81:C81))*0.2-SUM($A$79:B79),IF(SUM($A$79:B79)&lt;0,0-SUM($A$79:B79),0))</f>
        <v>-29219073.691760007</v>
      </c>
      <c r="D79" s="327">
        <f>IF(((SUM($B$58:D58)+SUM($B$60:D64))+SUM($B$81:D81))&lt;0,((SUM($B$58:D58)+SUM($B$60:D64))+SUM($B$81:D81))*0.2-SUM($A$79:C79),IF(SUM($A$79:C79)&lt;0,0-SUM($A$79:C79),0))</f>
        <v>5891317.3601280004</v>
      </c>
      <c r="E79" s="327">
        <f>IF(((SUM($B$58:E58)+SUM($B$60:E64))+SUM($B$81:E81))&lt;0,((SUM($B$58:E58)+SUM($B$60:E64))+SUM($B$81:E81))*0.2-SUM($A$79:D79),IF(SUM($A$79:D79)&lt;0,0-SUM($A$79:D79),0))</f>
        <v>7855089.813504003</v>
      </c>
      <c r="F79" s="327">
        <f>IF(((SUM($B$58:F58)+SUM($B$60:F64))+SUM($B$81:F81))&lt;0,((SUM($B$58:F58)+SUM($B$60:F64))+SUM($B$81:F81))*0.2-SUM($A$79:E79),IF(SUM($A$79:E79)&lt;0,0-SUM($A$79:E79),0))</f>
        <v>8346032.9268479999</v>
      </c>
      <c r="G79" s="327">
        <f>IF(((SUM($B$58:G58)+SUM($B$60:G64))+SUM($B$81:G81))&lt;0,((SUM($B$58:G58)+SUM($B$60:G64))+SUM($B$81:G81))*0.2-SUM($A$79:F79),IF(SUM($A$79:F79)&lt;0,0-SUM($A$79:F79),0))</f>
        <v>7132401.9484620038</v>
      </c>
      <c r="H79" s="327">
        <f>IF(((SUM($B$58:H58)+SUM($B$60:H64))+SUM($B$81:H81))&lt;0,((SUM($B$58:H58)+SUM($B$60:H64))+SUM($B$81:H81))*0.2-SUM($A$79:G79),IF(SUM($A$79:G79)&lt;0,0-SUM($A$79:G79),0))</f>
        <v>0</v>
      </c>
      <c r="I79" s="327">
        <f>IF(((SUM($B$58:I58)+SUM($B$60:I64))+SUM($B$81:I81))&lt;0,((SUM($B$58:I58)+SUM($B$60:I64))+SUM($B$81:I81))*0.2-SUM($A$79:H79),IF(SUM($A$79:H79)&lt;0,0-SUM($A$79:H79),0))</f>
        <v>0</v>
      </c>
      <c r="J79" s="327">
        <f>IF(((SUM($B$58:J58)+SUM($B$60:J64))+SUM($B$81:J81))&lt;0,((SUM($B$58:J58)+SUM($B$60:J64))+SUM($B$81:J81))*0.2-SUM($A$79:I79),IF(SUM($A$79:I79)&lt;0,0-SUM($A$79:I79),0))</f>
        <v>0</v>
      </c>
      <c r="K79" s="327">
        <f>IF(((SUM($B$58:K58)+SUM($B$60:K64))+SUM($B$81:K81))&lt;0,((SUM($B$58:K58)+SUM($B$60:K64))+SUM($B$81:K81))*0.2-SUM($A$79:J79),IF(SUM($A$79:J79)&lt;0,0-SUM($A$79:J79),0))</f>
        <v>0</v>
      </c>
      <c r="L79" s="327">
        <f>IF(((SUM($B$58:L58)+SUM($B$60:L64))+SUM($B$81:L81))&lt;0,((SUM($B$58:L58)+SUM($B$60:L64))+SUM($B$81:L81))*0.2-SUM($A$79:K79),IF(SUM($A$79:K79)&lt;0,0-SUM($A$79:K79),0))</f>
        <v>0</v>
      </c>
      <c r="M79" s="327">
        <f>IF(((SUM($B$58:M58)+SUM($B$60:M64))+SUM($B$81:M81))&lt;0,((SUM($B$58:M58)+SUM($B$60:M64))+SUM($B$81:M81))*0.2-SUM($A$79:L79),IF(SUM($A$79:L79)&lt;0,0-SUM($A$79:L79),0))</f>
        <v>0</v>
      </c>
      <c r="N79" s="327">
        <f>IF(((SUM($B$58:N58)+SUM($B$60:N64))+SUM($B$81:N81))&lt;0,((SUM($B$58:N58)+SUM($B$60:N64))+SUM($B$81:N81))*0.2-SUM($A$79:M79),IF(SUM($A$79:M79)&lt;0,0-SUM($A$79:M79),0))</f>
        <v>0</v>
      </c>
      <c r="O79" s="327">
        <f>IF(((SUM($B$58:O58)+SUM($B$60:O64))+SUM($B$81:O81))&lt;0,((SUM($B$58:O58)+SUM($B$60:O64))+SUM($B$81:O81))*0.2-SUM($A$79:N79),IF(SUM($A$79:N79)&lt;0,0-SUM($A$79:N79),0))</f>
        <v>0</v>
      </c>
      <c r="P79" s="327">
        <f>IF(((SUM($B$58:P58)+SUM($B$60:P64))+SUM($B$81:P81))&lt;0,((SUM($B$58:P58)+SUM($B$60:P64))+SUM($B$81:P81))*0.2-SUM($A$79:O79),IF(SUM($A$79:O79)&lt;0,0-SUM($A$79:O79),0))</f>
        <v>0</v>
      </c>
      <c r="Q79" s="327">
        <f>IF(((SUM($B$58:Q58)+SUM($B$60:Q64))+SUM($B$81:Q81))&lt;0,((SUM($B$58:Q58)+SUM($B$60:Q64))+SUM($B$81:Q81))*0.2-SUM($A$79:P79),IF(SUM($A$79:P79)&lt;0,0-SUM($A$79:P79),0))</f>
        <v>0</v>
      </c>
      <c r="R79" s="327">
        <f>IF(((SUM($B$58:R58)+SUM($B$60:R64))+SUM($B$81:R81))&lt;0,((SUM($B$58:R58)+SUM($B$60:R64))+SUM($B$81:R81))*0.2-SUM($A$79:Q79),IF(SUM($A$79:Q79)&lt;0,0-SUM($A$79:Q79),0))</f>
        <v>0</v>
      </c>
      <c r="S79" s="327">
        <f>IF(((SUM($B$58:S58)+SUM($B$60:S64))+SUM($B$81:S81))&lt;0,((SUM($B$58:S58)+SUM($B$60:S64))+SUM($B$81:S81))*0.2-SUM($A$79:R79),IF(SUM($A$79:R79)&lt;0,0-SUM($A$79:R79),0))</f>
        <v>0</v>
      </c>
      <c r="T79" s="327">
        <f>IF(((SUM($B$58:T58)+SUM($B$60:T64))+SUM($B$81:T81))&lt;0,((SUM($B$58:T58)+SUM($B$60:T64))+SUM($B$81:T81))*0.2-SUM($A$79:S79),IF(SUM($A$79:S79)&lt;0,0-SUM($A$79:S79),0))</f>
        <v>0</v>
      </c>
      <c r="U79" s="327">
        <f>IF(((SUM($B$58:U58)+SUM($B$60:U64))+SUM($B$81:U81))&lt;0,((SUM($B$58:U58)+SUM($B$60:U64))+SUM($B$81:U81))*0.2-SUM($A$79:T79),IF(SUM($A$79:T79)&lt;0,0-SUM($A$79:T79),0))</f>
        <v>0</v>
      </c>
      <c r="V79" s="327">
        <f>IF(((SUM($B$58:V58)+SUM($B$60:V64))+SUM($B$81:V81))&lt;0,((SUM($B$58:V58)+SUM($B$60:V64))+SUM($B$81:V81))*0.2-SUM($A$79:U79),IF(SUM($A$79:U79)&lt;0,0-SUM($A$79:U79),0))</f>
        <v>0</v>
      </c>
      <c r="W79" s="327">
        <f>IF(((SUM($B$58:W58)+SUM($B$60:W64))+SUM($B$81:W81))&lt;0,((SUM($B$58:W58)+SUM($B$60:W64))+SUM($B$81:W81))*0.2-SUM($A$79:V79),IF(SUM($A$79:V79)&lt;0,0-SUM($A$79:V79),0))</f>
        <v>0</v>
      </c>
      <c r="X79" s="327">
        <f>IF(((SUM($B$58:X58)+SUM($B$60:X64))+SUM($B$81:X81))&lt;0,((SUM($B$58:X58)+SUM($B$60:X64))+SUM($B$81:X81))*0.2-SUM($A$79:W79),IF(SUM($A$79:W79)&lt;0,0-SUM($A$79:W79),0))</f>
        <v>0</v>
      </c>
      <c r="Y79" s="327">
        <f>IF(((SUM($B$58:Y58)+SUM($B$60:Y64))+SUM($B$81:Y81))&lt;0,((SUM($B$58:Y58)+SUM($B$60:Y64))+SUM($B$81:Y81))*0.2-SUM($A$79:X79),IF(SUM($A$79:X79)&lt;0,0-SUM($A$79:X79),0))</f>
        <v>0</v>
      </c>
      <c r="Z79" s="327">
        <f>IF(((SUM($B$58:Z58)+SUM($B$60:Z64))+SUM($B$81:Z81))&lt;0,((SUM($B$58:Z58)+SUM($B$60:Z64))+SUM($B$81:Z81))*0.2-SUM($A$79:Y79),IF(SUM($A$79:Y79)&lt;0,0-SUM($A$79:Y79),0))</f>
        <v>0</v>
      </c>
      <c r="AA79" s="327">
        <f>IF(((SUM($B$58:AA58)+SUM($B$60:AA64))+SUM($B$81:AA81))&lt;0,((SUM($B$58:AA58)+SUM($B$60:AA64))+SUM($B$81:AA81))*0.2-SUM($A$79:Z79),IF(SUM($A$79:Z79)&lt;0,0-SUM($A$79:Z79),0))</f>
        <v>0</v>
      </c>
      <c r="AB79" s="327">
        <f>IF(((SUM($B$58:AB58)+SUM($B$60:AB64))+SUM($B$81:AB81))&lt;0,((SUM($B$58:AB58)+SUM($B$60:AB64))+SUM($B$81:AB81))*0.2-SUM($A$79:AA79),IF(SUM($A$79:AA79)&lt;0,0-SUM($A$79:AA79),0))</f>
        <v>0</v>
      </c>
      <c r="AC79" s="327">
        <f>IF(((SUM($B$58:AC58)+SUM($B$60:AC64))+SUM($B$81:AC81))&lt;0,((SUM($B$58:AC58)+SUM($B$60:AC64))+SUM($B$81:AC81))*0.2-SUM($A$79:AB79),IF(SUM($A$79:AB79)&lt;0,0-SUM($A$79:AB79),0))</f>
        <v>0</v>
      </c>
      <c r="AD79" s="327">
        <f>IF(((SUM($B$58:AD58)+SUM($B$60:AD64))+SUM($B$81:AD81))&lt;0,((SUM($B$58:AD58)+SUM($B$60:AD64))+SUM($B$81:AD81))*0.2-SUM($A$79:AC79),IF(SUM($A$79:AC79)&lt;0,0-SUM($A$79:AC79),0))</f>
        <v>0</v>
      </c>
      <c r="AE79" s="327">
        <f>IF(((SUM($B$58:AE58)+SUM($B$60:AE64))+SUM($B$81:AE81))&lt;0,((SUM($B$58:AE58)+SUM($B$60:AE64))+SUM($B$81:AE81))*0.2-SUM($A$79:AD79),IF(SUM($A$79:AD79)&lt;0,0-SUM($A$79:AD79),0))</f>
        <v>0</v>
      </c>
    </row>
    <row r="80" spans="1:31" x14ac:dyDescent="0.2">
      <c r="A80" s="322" t="s">
        <v>251</v>
      </c>
      <c r="B80" s="327">
        <f>-B58*($B$38)</f>
        <v>0</v>
      </c>
      <c r="C80" s="327">
        <f t="shared" ref="C80:AE80" si="12">-C58*($B$38)</f>
        <v>0</v>
      </c>
      <c r="D80" s="327">
        <f t="shared" si="12"/>
        <v>0</v>
      </c>
      <c r="E80" s="327">
        <f t="shared" si="12"/>
        <v>0</v>
      </c>
      <c r="F80" s="327">
        <f t="shared" si="12"/>
        <v>0</v>
      </c>
      <c r="G80" s="327">
        <f t="shared" si="12"/>
        <v>0</v>
      </c>
      <c r="H80" s="327">
        <f t="shared" si="12"/>
        <v>0</v>
      </c>
      <c r="I80" s="327">
        <f t="shared" si="12"/>
        <v>0</v>
      </c>
      <c r="J80" s="327">
        <f t="shared" si="12"/>
        <v>0</v>
      </c>
      <c r="K80" s="327">
        <f t="shared" si="12"/>
        <v>0</v>
      </c>
      <c r="L80" s="327">
        <f t="shared" si="12"/>
        <v>0</v>
      </c>
      <c r="M80" s="327">
        <f t="shared" si="12"/>
        <v>0</v>
      </c>
      <c r="N80" s="327">
        <f t="shared" si="12"/>
        <v>0</v>
      </c>
      <c r="O80" s="327">
        <f t="shared" si="12"/>
        <v>0</v>
      </c>
      <c r="P80" s="327">
        <f t="shared" si="12"/>
        <v>0</v>
      </c>
      <c r="Q80" s="327">
        <f t="shared" si="12"/>
        <v>0</v>
      </c>
      <c r="R80" s="327">
        <f t="shared" si="12"/>
        <v>0</v>
      </c>
      <c r="S80" s="327">
        <f t="shared" si="12"/>
        <v>0</v>
      </c>
      <c r="T80" s="327">
        <f t="shared" si="12"/>
        <v>0</v>
      </c>
      <c r="U80" s="327">
        <f t="shared" si="12"/>
        <v>0</v>
      </c>
      <c r="V80" s="327">
        <f t="shared" si="12"/>
        <v>0</v>
      </c>
      <c r="W80" s="327">
        <f t="shared" si="12"/>
        <v>0</v>
      </c>
      <c r="X80" s="327">
        <f t="shared" si="12"/>
        <v>0</v>
      </c>
      <c r="Y80" s="327">
        <f t="shared" si="12"/>
        <v>0</v>
      </c>
      <c r="Z80" s="327">
        <f t="shared" si="12"/>
        <v>0</v>
      </c>
      <c r="AA80" s="327">
        <f t="shared" si="12"/>
        <v>0</v>
      </c>
      <c r="AB80" s="327">
        <f t="shared" si="12"/>
        <v>0</v>
      </c>
      <c r="AC80" s="327">
        <f t="shared" si="12"/>
        <v>0</v>
      </c>
      <c r="AD80" s="327">
        <f t="shared" si="12"/>
        <v>0</v>
      </c>
      <c r="AE80" s="327">
        <f t="shared" si="12"/>
        <v>0</v>
      </c>
    </row>
    <row r="81" spans="1:31" x14ac:dyDescent="0.2">
      <c r="A81" s="322" t="s">
        <v>434</v>
      </c>
      <c r="B81" s="333">
        <f>-28.84178591*1000</f>
        <v>-28841.785909999999</v>
      </c>
      <c r="C81" s="333">
        <v>-170642524.12600002</v>
      </c>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row>
    <row r="82" spans="1:31" x14ac:dyDescent="0.2">
      <c r="A82" s="322" t="s">
        <v>250</v>
      </c>
      <c r="B82" s="324">
        <v>0</v>
      </c>
      <c r="C82" s="324">
        <v>0</v>
      </c>
      <c r="D82" s="324">
        <v>0</v>
      </c>
      <c r="E82" s="324">
        <v>0</v>
      </c>
      <c r="F82" s="324">
        <v>0</v>
      </c>
      <c r="G82" s="324">
        <v>0</v>
      </c>
      <c r="H82" s="324">
        <v>0</v>
      </c>
      <c r="I82" s="324">
        <v>0</v>
      </c>
      <c r="J82" s="324">
        <v>0</v>
      </c>
      <c r="K82" s="324">
        <v>0</v>
      </c>
      <c r="L82" s="324">
        <v>0</v>
      </c>
      <c r="M82" s="324">
        <v>0</v>
      </c>
      <c r="N82" s="324">
        <v>0</v>
      </c>
      <c r="O82" s="324">
        <v>0</v>
      </c>
      <c r="P82" s="324">
        <v>0</v>
      </c>
      <c r="Q82" s="324">
        <v>0</v>
      </c>
      <c r="R82" s="324">
        <v>0</v>
      </c>
      <c r="S82" s="324">
        <v>0</v>
      </c>
      <c r="T82" s="324">
        <v>0</v>
      </c>
      <c r="U82" s="324">
        <v>0</v>
      </c>
      <c r="V82" s="324">
        <v>0</v>
      </c>
      <c r="W82" s="324">
        <v>0</v>
      </c>
      <c r="X82" s="324">
        <v>0</v>
      </c>
      <c r="Y82" s="324">
        <v>0</v>
      </c>
      <c r="Z82" s="324">
        <v>0</v>
      </c>
      <c r="AA82" s="324">
        <v>0</v>
      </c>
      <c r="AB82" s="324">
        <v>0</v>
      </c>
      <c r="AC82" s="324">
        <v>0</v>
      </c>
      <c r="AD82" s="324">
        <v>0</v>
      </c>
      <c r="AE82" s="324">
        <v>0</v>
      </c>
    </row>
    <row r="83" spans="1:31" x14ac:dyDescent="0.2">
      <c r="A83" s="325" t="s">
        <v>249</v>
      </c>
      <c r="B83" s="326">
        <f t="shared" ref="B83:AE83" si="13">SUM(B75:B82)</f>
        <v>-34610.143091999998</v>
      </c>
      <c r="C83" s="326">
        <f t="shared" si="13"/>
        <v>-180223873.28400004</v>
      </c>
      <c r="D83" s="326">
        <f t="shared" si="13"/>
        <v>27736588.749662936</v>
      </c>
      <c r="E83" s="326">
        <f t="shared" si="13"/>
        <v>37652976.679227203</v>
      </c>
      <c r="F83" s="326">
        <f t="shared" si="13"/>
        <v>40205217.908631466</v>
      </c>
      <c r="G83" s="326">
        <f t="shared" si="13"/>
        <v>41052885.046305738</v>
      </c>
      <c r="H83" s="326">
        <f t="shared" si="13"/>
        <v>34018008.760527998</v>
      </c>
      <c r="I83" s="326">
        <f t="shared" si="13"/>
        <v>34275121.87124107</v>
      </c>
      <c r="J83" s="326">
        <f t="shared" si="13"/>
        <v>34213060.085896529</v>
      </c>
      <c r="K83" s="326">
        <f t="shared" si="13"/>
        <v>29522962.307716802</v>
      </c>
      <c r="L83" s="326">
        <f t="shared" si="13"/>
        <v>34408111.411265068</v>
      </c>
      <c r="M83" s="326">
        <f t="shared" si="13"/>
        <v>34505637.073949337</v>
      </c>
      <c r="N83" s="326">
        <f t="shared" si="13"/>
        <v>32457598.157579735</v>
      </c>
      <c r="O83" s="326">
        <f t="shared" si="13"/>
        <v>34370912.757905349</v>
      </c>
      <c r="P83" s="326">
        <f t="shared" si="13"/>
        <v>34798214.06200213</v>
      </c>
      <c r="Q83" s="326">
        <f t="shared" si="13"/>
        <v>34895739.724686399</v>
      </c>
      <c r="R83" s="326">
        <f t="shared" si="13"/>
        <v>34993265.387370668</v>
      </c>
      <c r="S83" s="326">
        <f t="shared" si="13"/>
        <v>30303167.609190941</v>
      </c>
      <c r="T83" s="326">
        <f t="shared" si="13"/>
        <v>35188316.712739199</v>
      </c>
      <c r="U83" s="326">
        <f t="shared" si="13"/>
        <v>34956066.734010935</v>
      </c>
      <c r="V83" s="326">
        <f t="shared" si="13"/>
        <v>35383368.038107738</v>
      </c>
      <c r="W83" s="326">
        <f t="shared" si="13"/>
        <v>35480893.700792007</v>
      </c>
      <c r="X83" s="326">
        <f t="shared" si="13"/>
        <v>35578419.363476254</v>
      </c>
      <c r="Y83" s="326">
        <f t="shared" si="13"/>
        <v>35675945.026160538</v>
      </c>
      <c r="Z83" s="326">
        <f t="shared" si="13"/>
        <v>35773470.688844793</v>
      </c>
      <c r="AA83" s="326">
        <f t="shared" si="13"/>
        <v>31083372.910665065</v>
      </c>
      <c r="AB83" s="326">
        <f t="shared" si="13"/>
        <v>35968522.014213331</v>
      </c>
      <c r="AC83" s="326">
        <f t="shared" si="13"/>
        <v>36066047.676897615</v>
      </c>
      <c r="AD83" s="326">
        <f t="shared" si="13"/>
        <v>36163573.339581862</v>
      </c>
      <c r="AE83" s="326">
        <f t="shared" si="13"/>
        <v>36261099.002266146</v>
      </c>
    </row>
    <row r="84" spans="1:31" x14ac:dyDescent="0.2">
      <c r="A84" s="325" t="s">
        <v>675</v>
      </c>
      <c r="B84" s="326">
        <f>SUM($B$83:B83)</f>
        <v>-34610.143091999998</v>
      </c>
      <c r="C84" s="326">
        <f>SUM($B$83:C83)</f>
        <v>-180258483.42709205</v>
      </c>
      <c r="D84" s="326">
        <f>SUM($B$83:D83)</f>
        <v>-152521894.67742911</v>
      </c>
      <c r="E84" s="326">
        <f>SUM($B$83:E83)</f>
        <v>-114868917.99820191</v>
      </c>
      <c r="F84" s="326">
        <f>SUM($B$83:F83)</f>
        <v>-74663700.089570433</v>
      </c>
      <c r="G84" s="326">
        <f>SUM($B$83:G83)</f>
        <v>-33610815.043264695</v>
      </c>
      <c r="H84" s="326">
        <f>SUM($B$83:H83)</f>
        <v>407193.7172633037</v>
      </c>
      <c r="I84" s="326">
        <f>SUM($B$83:I83)</f>
        <v>34682315.588504374</v>
      </c>
      <c r="J84" s="326">
        <f>SUM($B$83:J83)</f>
        <v>68895375.674400896</v>
      </c>
      <c r="K84" s="326">
        <f>SUM($B$83:K83)</f>
        <v>98418337.982117698</v>
      </c>
      <c r="L84" s="326">
        <f>SUM($B$83:L83)</f>
        <v>132826449.39338276</v>
      </c>
      <c r="M84" s="326">
        <f>SUM($B$83:M83)</f>
        <v>167332086.46733209</v>
      </c>
      <c r="N84" s="326">
        <f>SUM($B$83:N83)</f>
        <v>199789684.62491184</v>
      </c>
      <c r="O84" s="326">
        <f>SUM($B$83:O83)</f>
        <v>234160597.38281721</v>
      </c>
      <c r="P84" s="326">
        <f>SUM($B$83:P83)</f>
        <v>268958811.44481933</v>
      </c>
      <c r="Q84" s="326">
        <f>SUM($B$83:Q83)</f>
        <v>303854551.16950572</v>
      </c>
      <c r="R84" s="326">
        <f>SUM($B$83:R83)</f>
        <v>338847816.55687636</v>
      </c>
      <c r="S84" s="326">
        <f>SUM($B$83:S83)</f>
        <v>369150984.1660673</v>
      </c>
      <c r="T84" s="326">
        <f>SUM($B$83:T83)</f>
        <v>404339300.87880647</v>
      </c>
      <c r="U84" s="326">
        <f>SUM($B$83:U83)</f>
        <v>439295367.61281741</v>
      </c>
      <c r="V84" s="326">
        <f>SUM($B$83:V83)</f>
        <v>474678735.65092516</v>
      </c>
      <c r="W84" s="326">
        <f>SUM($B$83:W83)</f>
        <v>510159629.35171717</v>
      </c>
      <c r="X84" s="326">
        <f>SUM($B$83:X83)</f>
        <v>545738048.71519339</v>
      </c>
      <c r="Y84" s="326">
        <f>SUM($B$83:Y83)</f>
        <v>581413993.74135399</v>
      </c>
      <c r="Z84" s="326">
        <f>SUM($B$83:Z83)</f>
        <v>617187464.43019879</v>
      </c>
      <c r="AA84" s="326">
        <f>SUM($B$83:AA83)</f>
        <v>648270837.34086382</v>
      </c>
      <c r="AB84" s="326">
        <f>SUM($B$83:AB83)</f>
        <v>684239359.35507715</v>
      </c>
      <c r="AC84" s="326">
        <f>SUM($B$83:AC83)</f>
        <v>720305407.03197479</v>
      </c>
      <c r="AD84" s="326">
        <f>SUM($B$83:AD83)</f>
        <v>756468980.37155664</v>
      </c>
      <c r="AE84" s="326">
        <f>SUM($B$83:AE83)</f>
        <v>792730079.37382281</v>
      </c>
    </row>
    <row r="85" spans="1:31" x14ac:dyDescent="0.2">
      <c r="A85" s="334" t="s">
        <v>435</v>
      </c>
      <c r="B85" s="335">
        <f t="shared" ref="B85:AE85" si="14">1/POWER((1+$B$43),B73)</f>
        <v>0.95402649883562884</v>
      </c>
      <c r="C85" s="335">
        <f t="shared" si="14"/>
        <v>0.86832301705254278</v>
      </c>
      <c r="D85" s="335">
        <f t="shared" si="14"/>
        <v>0.79031857381682236</v>
      </c>
      <c r="E85" s="335">
        <f t="shared" si="14"/>
        <v>0.71932153801476506</v>
      </c>
      <c r="F85" s="335">
        <f t="shared" si="14"/>
        <v>0.65470241013449082</v>
      </c>
      <c r="G85" s="335">
        <f t="shared" si="14"/>
        <v>0.59588824077044755</v>
      </c>
      <c r="H85" s="335">
        <f t="shared" si="14"/>
        <v>0.54235755053285484</v>
      </c>
      <c r="I85" s="335">
        <f t="shared" si="14"/>
        <v>0.49363570631915432</v>
      </c>
      <c r="J85" s="335">
        <f t="shared" si="14"/>
        <v>0.44929071295090039</v>
      </c>
      <c r="K85" s="335">
        <f t="shared" si="14"/>
        <v>0.40892938286238317</v>
      </c>
      <c r="L85" s="335">
        <f t="shared" si="14"/>
        <v>0.37219384987929666</v>
      </c>
      <c r="M85" s="335">
        <f t="shared" si="14"/>
        <v>0.3387583961766602</v>
      </c>
      <c r="N85" s="335">
        <f t="shared" si="14"/>
        <v>0.30832656428202437</v>
      </c>
      <c r="O85" s="335">
        <f t="shared" si="14"/>
        <v>0.28062852851736092</v>
      </c>
      <c r="P85" s="335">
        <f t="shared" si="14"/>
        <v>0.25541870257336935</v>
      </c>
      <c r="Q85" s="335">
        <f t="shared" si="14"/>
        <v>0.23247356200361272</v>
      </c>
      <c r="R85" s="335">
        <f t="shared" si="14"/>
        <v>0.21158966233149432</v>
      </c>
      <c r="S85" s="335">
        <f t="shared" si="14"/>
        <v>0.19258183519750091</v>
      </c>
      <c r="T85" s="335">
        <f t="shared" si="14"/>
        <v>0.17528154655274497</v>
      </c>
      <c r="U85" s="335">
        <f t="shared" si="14"/>
        <v>0.15953540234162647</v>
      </c>
      <c r="V85" s="335">
        <f t="shared" si="14"/>
        <v>0.14520378842416171</v>
      </c>
      <c r="W85" s="335">
        <f t="shared" si="14"/>
        <v>0.13215963267876735</v>
      </c>
      <c r="X85" s="335">
        <f t="shared" si="14"/>
        <v>0.12028727830960895</v>
      </c>
      <c r="Y85" s="335">
        <f t="shared" si="14"/>
        <v>0.10948145836862559</v>
      </c>
      <c r="Z85" s="335">
        <f t="shared" si="14"/>
        <v>9.9646362399768443E-2</v>
      </c>
      <c r="AA85" s="335">
        <f t="shared" si="14"/>
        <v>9.0694786929797461E-2</v>
      </c>
      <c r="AB85" s="335">
        <f t="shared" si="14"/>
        <v>8.2547362273411681E-2</v>
      </c>
      <c r="AC85" s="335">
        <f t="shared" si="14"/>
        <v>7.5131848797134526E-2</v>
      </c>
      <c r="AD85" s="335">
        <f t="shared" si="14"/>
        <v>6.8382496402234039E-2</v>
      </c>
      <c r="AE85" s="335">
        <f t="shared" si="14"/>
        <v>6.2239461547496142E-2</v>
      </c>
    </row>
    <row r="86" spans="1:31" x14ac:dyDescent="0.2">
      <c r="A86" s="332" t="s">
        <v>676</v>
      </c>
      <c r="B86" s="326">
        <f t="shared" ref="B86:AE86" si="15">B83*B85</f>
        <v>-33018.993638260887</v>
      </c>
      <c r="C86" s="326">
        <f t="shared" si="15"/>
        <v>-156492537.39485806</v>
      </c>
      <c r="D86" s="326">
        <f t="shared" si="15"/>
        <v>21920741.263177332</v>
      </c>
      <c r="E86" s="326">
        <f t="shared" si="15"/>
        <v>27084597.095735792</v>
      </c>
      <c r="F86" s="326">
        <f t="shared" si="15"/>
        <v>26322453.064763412</v>
      </c>
      <c r="G86" s="326">
        <f t="shared" si="15"/>
        <v>24462931.44879454</v>
      </c>
      <c r="H86" s="326">
        <f t="shared" si="15"/>
        <v>18449923.905365162</v>
      </c>
      <c r="I86" s="326">
        <f t="shared" si="15"/>
        <v>16919423.994085182</v>
      </c>
      <c r="J86" s="326">
        <f t="shared" si="15"/>
        <v>15371610.158224445</v>
      </c>
      <c r="K86" s="326">
        <f t="shared" si="15"/>
        <v>12072806.756764032</v>
      </c>
      <c r="L86" s="326">
        <f t="shared" si="15"/>
        <v>12806487.453234505</v>
      </c>
      <c r="M86" s="326">
        <f t="shared" si="15"/>
        <v>11689074.274224984</v>
      </c>
      <c r="N86" s="326">
        <f t="shared" si="15"/>
        <v>10007539.724773124</v>
      </c>
      <c r="O86" s="326">
        <f t="shared" si="15"/>
        <v>9645458.6710495651</v>
      </c>
      <c r="P86" s="326">
        <f t="shared" si="15"/>
        <v>8888114.6875869613</v>
      </c>
      <c r="Q86" s="326">
        <f t="shared" si="15"/>
        <v>8112336.9125488149</v>
      </c>
      <c r="R86" s="326">
        <f t="shared" si="15"/>
        <v>7404213.2071901271</v>
      </c>
      <c r="S86" s="326">
        <f t="shared" si="15"/>
        <v>5835839.6304754578</v>
      </c>
      <c r="T86" s="326">
        <f t="shared" si="15"/>
        <v>6167862.5739967301</v>
      </c>
      <c r="U86" s="326">
        <f t="shared" si="15"/>
        <v>5576730.1706911791</v>
      </c>
      <c r="V86" s="326">
        <f t="shared" si="15"/>
        <v>5137799.0863396414</v>
      </c>
      <c r="W86" s="326">
        <f t="shared" si="15"/>
        <v>4689141.8786110617</v>
      </c>
      <c r="X86" s="326">
        <f t="shared" si="15"/>
        <v>4279631.2317904485</v>
      </c>
      <c r="Y86" s="326">
        <f t="shared" si="15"/>
        <v>3905854.4901429703</v>
      </c>
      <c r="Z86" s="326">
        <f t="shared" si="15"/>
        <v>3564696.2245581225</v>
      </c>
      <c r="AA86" s="326">
        <f t="shared" si="15"/>
        <v>2819099.8831922063</v>
      </c>
      <c r="AB86" s="326">
        <f t="shared" si="15"/>
        <v>2969106.617146451</v>
      </c>
      <c r="AC86" s="326">
        <f t="shared" si="15"/>
        <v>2709708.8407709165</v>
      </c>
      <c r="AD86" s="326">
        <f t="shared" si="15"/>
        <v>2472955.4237858835</v>
      </c>
      <c r="AE86" s="326">
        <f t="shared" si="15"/>
        <v>2256871.2770214947</v>
      </c>
    </row>
    <row r="87" spans="1:31" x14ac:dyDescent="0.2">
      <c r="A87" s="332" t="s">
        <v>677</v>
      </c>
      <c r="B87" s="326">
        <f>SUM($B$86:B86)</f>
        <v>-33018.993638260887</v>
      </c>
      <c r="C87" s="326">
        <f>SUM($B$86:C86)</f>
        <v>-156525556.38849631</v>
      </c>
      <c r="D87" s="326">
        <f>SUM($B$86:D86)</f>
        <v>-134604815.12531897</v>
      </c>
      <c r="E87" s="326">
        <f>SUM($B$86:E86)</f>
        <v>-107520218.02958319</v>
      </c>
      <c r="F87" s="326">
        <f>SUM($B$86:F86)</f>
        <v>-81197764.964819774</v>
      </c>
      <c r="G87" s="326">
        <f>SUM($B$86:G86)</f>
        <v>-56734833.51602523</v>
      </c>
      <c r="H87" s="326">
        <f>SUM($B$86:H86)</f>
        <v>-38284909.610660069</v>
      </c>
      <c r="I87" s="326">
        <f>SUM($B$86:I86)</f>
        <v>-21365485.616574887</v>
      </c>
      <c r="J87" s="326">
        <f>SUM($B$86:J86)</f>
        <v>-5993875.4583504423</v>
      </c>
      <c r="K87" s="326">
        <f>SUM($B$86:K86)</f>
        <v>6078931.2984135896</v>
      </c>
      <c r="L87" s="326">
        <f>SUM($B$86:L86)</f>
        <v>18885418.751648095</v>
      </c>
      <c r="M87" s="326">
        <f>SUM($B$86:M86)</f>
        <v>30574493.02587308</v>
      </c>
      <c r="N87" s="326">
        <f>SUM($B$86:N86)</f>
        <v>40582032.750646204</v>
      </c>
      <c r="O87" s="326">
        <f>SUM($B$86:O86)</f>
        <v>50227491.421695769</v>
      </c>
      <c r="P87" s="326">
        <f>SUM($B$86:P86)</f>
        <v>59115606.109282732</v>
      </c>
      <c r="Q87" s="326">
        <f>SUM($B$86:Q86)</f>
        <v>67227943.021831542</v>
      </c>
      <c r="R87" s="326">
        <f>SUM($B$86:R86)</f>
        <v>74632156.229021668</v>
      </c>
      <c r="S87" s="326">
        <f>SUM($B$86:S86)</f>
        <v>80467995.85949713</v>
      </c>
      <c r="T87" s="326">
        <f>SUM($B$86:T86)</f>
        <v>86635858.433493853</v>
      </c>
      <c r="U87" s="326">
        <f>SUM($B$86:U86)</f>
        <v>92212588.60418503</v>
      </c>
      <c r="V87" s="326">
        <f>SUM($B$86:V86)</f>
        <v>97350387.690524668</v>
      </c>
      <c r="W87" s="326">
        <f>SUM($B$86:W86)</f>
        <v>102039529.56913573</v>
      </c>
      <c r="X87" s="326">
        <f>SUM($B$86:X86)</f>
        <v>106319160.80092618</v>
      </c>
      <c r="Y87" s="326">
        <f>SUM($B$86:Y86)</f>
        <v>110225015.29106915</v>
      </c>
      <c r="Z87" s="326">
        <f>SUM($B$86:Z86)</f>
        <v>113789711.51562726</v>
      </c>
      <c r="AA87" s="326">
        <f>SUM($B$86:AA86)</f>
        <v>116608811.39881948</v>
      </c>
      <c r="AB87" s="326">
        <f>SUM($B$86:AB86)</f>
        <v>119577918.01596592</v>
      </c>
      <c r="AC87" s="326">
        <f>SUM($B$86:AC86)</f>
        <v>122287626.85673684</v>
      </c>
      <c r="AD87" s="326">
        <f>SUM($B$86:AD86)</f>
        <v>124760582.28052272</v>
      </c>
      <c r="AE87" s="326">
        <f>SUM($B$86:AE86)</f>
        <v>127017453.55754422</v>
      </c>
    </row>
    <row r="88" spans="1:31" x14ac:dyDescent="0.2">
      <c r="A88" s="332" t="s">
        <v>678</v>
      </c>
      <c r="B88" s="336">
        <f>IF((ISERR(IRR($B$83:B83))),0,IF(IRR($B$83:B83)&lt;0,0,IRR($B$83:B83)))</f>
        <v>0</v>
      </c>
      <c r="C88" s="336">
        <f>IF((ISERR(IRR($B$83:C83))),0,IF(IRR($B$83:C83)&lt;0,0,IRR($B$83:C83)))</f>
        <v>0</v>
      </c>
      <c r="D88" s="336">
        <f>IF((ISERR(IRR($B$83:D83))),0,IF(IRR($B$83:D83)&lt;0,0,IRR($B$83:D83)))</f>
        <v>0</v>
      </c>
      <c r="E88" s="336">
        <f>IF((ISERR(IRR($B$83:E83))),0,IF(IRR($B$83:E83)&lt;0,0,IRR($B$83:E83)))</f>
        <v>0</v>
      </c>
      <c r="F88" s="336">
        <f>IF((ISERR(IRR($B$83:F83))),0,IF(IRR($B$83:F83)&lt;0,0,IRR($B$83:F83)))</f>
        <v>0</v>
      </c>
      <c r="G88" s="336">
        <f>IF((ISERR(IRR($B$83:G83))),0,IF(IRR($B$83:G83)&lt;0,0,IRR($B$83:G83)))</f>
        <v>0</v>
      </c>
      <c r="H88" s="336">
        <f>IF((ISERR(IRR($B$83:H83))),0,IF(IRR($B$83:H83)&lt;0,0,IRR($B$83:H83)))</f>
        <v>7.3099088799821743E-4</v>
      </c>
      <c r="I88" s="336">
        <f>IF((ISERR(IRR($B$83:I83))),0,IF(IRR($B$83:I83)&lt;0,0,IRR($B$83:I83)))</f>
        <v>5.17730194678514E-2</v>
      </c>
      <c r="J88" s="336">
        <f>IF((ISERR(IRR($B$83:J83))),0,IF(IRR($B$83:J83)&lt;0,0,IRR($B$83:J83)))</f>
        <v>8.717061192456188E-2</v>
      </c>
      <c r="K88" s="336">
        <f>IF((ISERR(IRR($B$83:K83))),0,IF(IRR($B$83:K83)&lt;0,0,IRR($B$83:K83)))</f>
        <v>0.10926619726252573</v>
      </c>
      <c r="L88" s="336">
        <f>IF((ISERR(IRR($B$83:L83))),0,IF(IRR($B$83:L83)&lt;0,0,IRR($B$83:L83)))</f>
        <v>0.12826984420702758</v>
      </c>
      <c r="M88" s="336">
        <f>IF((ISERR(IRR($B$83:M83))),0,IF(IRR($B$83:M83)&lt;0,0,IRR($B$83:M83)))</f>
        <v>0.14237921500817241</v>
      </c>
      <c r="N88" s="336">
        <f>IF((ISERR(IRR($B$83:N83))),0,IF(IRR($B$83:N83)&lt;0,0,IRR($B$83:N83)))</f>
        <v>0.15242029366507759</v>
      </c>
      <c r="O88" s="336">
        <f>IF((ISERR(IRR($B$83:O83))),0,IF(IRR($B$83:O83)&lt;0,0,IRR($B$83:O83)))</f>
        <v>0.16058563674861337</v>
      </c>
      <c r="P88" s="336">
        <f>IF((ISERR(IRR($B$83:P83))),0,IF(IRR($B$83:P83)&lt;0,0,IRR($B$83:P83)))</f>
        <v>0.16698547298511546</v>
      </c>
      <c r="Q88" s="336">
        <f>IF((ISERR(IRR($B$83:Q83))),0,IF(IRR($B$83:Q83)&lt;0,0,IRR($B$83:Q83)))</f>
        <v>0.17200429932597805</v>
      </c>
      <c r="R88" s="336">
        <f>IF((ISERR(IRR($B$83:R83))),0,IF(IRR($B$83:R83)&lt;0,0,IRR($B$83:R83)))</f>
        <v>0.17597605330524724</v>
      </c>
      <c r="S88" s="336">
        <f>IF((ISERR(IRR($B$83:S83))),0,IF(IRR($B$83:S83)&lt;0,0,IRR($B$83:S83)))</f>
        <v>0.1787229123381926</v>
      </c>
      <c r="T88" s="336">
        <f>IF((ISERR(IRR($B$83:T83))),0,IF(IRR($B$83:T83)&lt;0,0,IRR($B$83:T83)))</f>
        <v>0.18128737419312402</v>
      </c>
      <c r="U88" s="336">
        <f>IF((ISERR(IRR($B$83:U83))),0,IF(IRR($B$83:U83)&lt;0,0,IRR($B$83:U83)))</f>
        <v>0.18333916079476986</v>
      </c>
      <c r="V88" s="336">
        <f>IF((ISERR(IRR($B$83:V83))),0,IF(IRR($B$83:V83)&lt;0,0,IRR($B$83:V83)))</f>
        <v>0.18502042631602311</v>
      </c>
      <c r="W88" s="336">
        <f>IF((ISERR(IRR($B$83:W83))),0,IF(IRR($B$83:W83)&lt;0,0,IRR($B$83:W83)))</f>
        <v>0.18639095875449874</v>
      </c>
      <c r="X88" s="336">
        <f>IF((ISERR(IRR($B$83:X83))),0,IF(IRR($B$83:X83)&lt;0,0,IRR($B$83:X83)))</f>
        <v>0.1875125024679698</v>
      </c>
      <c r="Y88" s="336">
        <f>IF((ISERR(IRR($B$83:Y83))),0,IF(IRR($B$83:Y83)&lt;0,0,IRR($B$83:Y83)))</f>
        <v>0.18843338291583045</v>
      </c>
      <c r="Z88" s="336">
        <f>IF((ISERR(IRR($B$83:Z83))),0,IF(IRR($B$83:Z83)&lt;0,0,IRR($B$83:Z83)))</f>
        <v>0.18919172633168824</v>
      </c>
      <c r="AA88" s="336">
        <f>IF((ISERR(IRR($B$83:AA83))),0,IF(IRR($B$83:AA83)&lt;0,0,IRR($B$83:AA83)))</f>
        <v>0.1897349682159899</v>
      </c>
      <c r="AB88" s="336">
        <f>IF((ISERR(IRR($B$83:AB83))),0,IF(IRR($B$83:AB83)&lt;0,0,IRR($B$83:AB83)))</f>
        <v>0.19025441458929104</v>
      </c>
      <c r="AC88" s="336">
        <f>IF((ISERR(IRR($B$83:AC83))),0,IF(IRR($B$83:AC83)&lt;0,0,IRR($B$83:AC83)))</f>
        <v>0.19068509782765997</v>
      </c>
      <c r="AD88" s="336">
        <f>IF((ISERR(IRR($B$83:AD83))),0,IF(IRR($B$83:AD83)&lt;0,0,IRR($B$83:AD83)))</f>
        <v>0.19104280425487818</v>
      </c>
      <c r="AE88" s="336">
        <f>IF((ISERR(IRR($B$83:AE83))),0,IF(IRR($B$83:AE83)&lt;0,0,IRR($B$83:AE83)))</f>
        <v>0.19134034997204297</v>
      </c>
    </row>
    <row r="89" spans="1:31" x14ac:dyDescent="0.2">
      <c r="A89" s="332" t="s">
        <v>679</v>
      </c>
      <c r="B89" s="337">
        <f t="shared" ref="B89:AE89" si="16">IF(AND(B84&gt;0,A84&lt;0),(B74-(B84/(B84-A84))),0)</f>
        <v>0</v>
      </c>
      <c r="C89" s="337">
        <f t="shared" si="16"/>
        <v>0</v>
      </c>
      <c r="D89" s="337">
        <f t="shared" si="16"/>
        <v>0</v>
      </c>
      <c r="E89" s="337">
        <f t="shared" si="16"/>
        <v>0</v>
      </c>
      <c r="F89" s="337">
        <f t="shared" si="16"/>
        <v>0</v>
      </c>
      <c r="G89" s="337">
        <f t="shared" si="16"/>
        <v>0</v>
      </c>
      <c r="H89" s="337">
        <f t="shared" si="16"/>
        <v>6.9880300543124152</v>
      </c>
      <c r="I89" s="337">
        <f t="shared" si="16"/>
        <v>0</v>
      </c>
      <c r="J89" s="337">
        <f t="shared" si="16"/>
        <v>0</v>
      </c>
      <c r="K89" s="337">
        <f t="shared" si="16"/>
        <v>0</v>
      </c>
      <c r="L89" s="337">
        <f t="shared" si="16"/>
        <v>0</v>
      </c>
      <c r="M89" s="337">
        <f t="shared" si="16"/>
        <v>0</v>
      </c>
      <c r="N89" s="337">
        <f t="shared" si="16"/>
        <v>0</v>
      </c>
      <c r="O89" s="337">
        <f t="shared" si="16"/>
        <v>0</v>
      </c>
      <c r="P89" s="337">
        <f t="shared" si="16"/>
        <v>0</v>
      </c>
      <c r="Q89" s="337">
        <f t="shared" si="16"/>
        <v>0</v>
      </c>
      <c r="R89" s="337">
        <f t="shared" si="16"/>
        <v>0</v>
      </c>
      <c r="S89" s="337">
        <f t="shared" si="16"/>
        <v>0</v>
      </c>
      <c r="T89" s="337">
        <f t="shared" si="16"/>
        <v>0</v>
      </c>
      <c r="U89" s="337">
        <f t="shared" si="16"/>
        <v>0</v>
      </c>
      <c r="V89" s="337">
        <f t="shared" si="16"/>
        <v>0</v>
      </c>
      <c r="W89" s="337">
        <f t="shared" si="16"/>
        <v>0</v>
      </c>
      <c r="X89" s="337">
        <f t="shared" si="16"/>
        <v>0</v>
      </c>
      <c r="Y89" s="337">
        <f t="shared" si="16"/>
        <v>0</v>
      </c>
      <c r="Z89" s="337">
        <f t="shared" si="16"/>
        <v>0</v>
      </c>
      <c r="AA89" s="337">
        <f t="shared" si="16"/>
        <v>0</v>
      </c>
      <c r="AB89" s="337">
        <f t="shared" si="16"/>
        <v>0</v>
      </c>
      <c r="AC89" s="337">
        <f t="shared" si="16"/>
        <v>0</v>
      </c>
      <c r="AD89" s="337">
        <f t="shared" si="16"/>
        <v>0</v>
      </c>
      <c r="AE89" s="337">
        <f t="shared" si="16"/>
        <v>0</v>
      </c>
    </row>
    <row r="90" spans="1:31" ht="13.5" thickBot="1" x14ac:dyDescent="0.25">
      <c r="A90" s="338" t="s">
        <v>680</v>
      </c>
      <c r="B90" s="339">
        <f t="shared" ref="B90:AE90" si="17">IF(AND(B87&gt;0,A87&lt;0),(B74-(B87/(B87-A87))),0)</f>
        <v>0</v>
      </c>
      <c r="C90" s="339">
        <f t="shared" si="17"/>
        <v>0</v>
      </c>
      <c r="D90" s="339">
        <f t="shared" si="17"/>
        <v>0</v>
      </c>
      <c r="E90" s="339">
        <f t="shared" si="17"/>
        <v>0</v>
      </c>
      <c r="F90" s="339">
        <f t="shared" si="17"/>
        <v>0</v>
      </c>
      <c r="G90" s="339">
        <f t="shared" si="17"/>
        <v>0</v>
      </c>
      <c r="H90" s="339">
        <f t="shared" si="17"/>
        <v>0</v>
      </c>
      <c r="I90" s="339">
        <f t="shared" si="17"/>
        <v>0</v>
      </c>
      <c r="J90" s="339">
        <f t="shared" si="17"/>
        <v>0</v>
      </c>
      <c r="K90" s="339">
        <f t="shared" si="17"/>
        <v>9.4964773792135997</v>
      </c>
      <c r="L90" s="339">
        <f t="shared" si="17"/>
        <v>0</v>
      </c>
      <c r="M90" s="339">
        <f t="shared" si="17"/>
        <v>0</v>
      </c>
      <c r="N90" s="339">
        <f t="shared" si="17"/>
        <v>0</v>
      </c>
      <c r="O90" s="339">
        <f t="shared" si="17"/>
        <v>0</v>
      </c>
      <c r="P90" s="339">
        <f t="shared" si="17"/>
        <v>0</v>
      </c>
      <c r="Q90" s="339">
        <f t="shared" si="17"/>
        <v>0</v>
      </c>
      <c r="R90" s="339">
        <f t="shared" si="17"/>
        <v>0</v>
      </c>
      <c r="S90" s="339">
        <f t="shared" si="17"/>
        <v>0</v>
      </c>
      <c r="T90" s="339">
        <f t="shared" si="17"/>
        <v>0</v>
      </c>
      <c r="U90" s="339">
        <f t="shared" si="17"/>
        <v>0</v>
      </c>
      <c r="V90" s="339">
        <f t="shared" si="17"/>
        <v>0</v>
      </c>
      <c r="W90" s="339">
        <f t="shared" si="17"/>
        <v>0</v>
      </c>
      <c r="X90" s="339">
        <f t="shared" si="17"/>
        <v>0</v>
      </c>
      <c r="Y90" s="339">
        <f t="shared" si="17"/>
        <v>0</v>
      </c>
      <c r="Z90" s="339">
        <f t="shared" si="17"/>
        <v>0</v>
      </c>
      <c r="AA90" s="339">
        <f t="shared" si="17"/>
        <v>0</v>
      </c>
      <c r="AB90" s="339">
        <f t="shared" si="17"/>
        <v>0</v>
      </c>
      <c r="AC90" s="339">
        <f t="shared" si="17"/>
        <v>0</v>
      </c>
      <c r="AD90" s="339">
        <f t="shared" si="17"/>
        <v>0</v>
      </c>
      <c r="AE90" s="339">
        <f t="shared" si="17"/>
        <v>0</v>
      </c>
    </row>
    <row r="91" spans="1:31" x14ac:dyDescent="0.2">
      <c r="A91" s="340"/>
      <c r="B91" s="340">
        <v>2019</v>
      </c>
      <c r="C91" s="340">
        <f t="shared" ref="C91:AE92" si="18">B91+1</f>
        <v>2020</v>
      </c>
      <c r="D91" s="340">
        <f t="shared" si="18"/>
        <v>2021</v>
      </c>
      <c r="E91" s="340">
        <f t="shared" si="18"/>
        <v>2022</v>
      </c>
      <c r="F91" s="340">
        <f t="shared" si="18"/>
        <v>2023</v>
      </c>
      <c r="G91" s="340">
        <f t="shared" si="18"/>
        <v>2024</v>
      </c>
      <c r="H91" s="340">
        <f t="shared" si="18"/>
        <v>2025</v>
      </c>
      <c r="I91" s="340">
        <f t="shared" si="18"/>
        <v>2026</v>
      </c>
      <c r="J91" s="340">
        <f t="shared" si="18"/>
        <v>2027</v>
      </c>
      <c r="K91" s="340">
        <f t="shared" si="18"/>
        <v>2028</v>
      </c>
      <c r="L91" s="340">
        <f t="shared" si="18"/>
        <v>2029</v>
      </c>
      <c r="M91" s="340">
        <f t="shared" si="18"/>
        <v>2030</v>
      </c>
      <c r="N91" s="340">
        <f t="shared" si="18"/>
        <v>2031</v>
      </c>
      <c r="O91" s="340">
        <f t="shared" si="18"/>
        <v>2032</v>
      </c>
      <c r="P91" s="340">
        <f t="shared" si="18"/>
        <v>2033</v>
      </c>
      <c r="Q91" s="340">
        <f t="shared" si="18"/>
        <v>2034</v>
      </c>
      <c r="R91" s="340">
        <f t="shared" si="18"/>
        <v>2035</v>
      </c>
      <c r="S91" s="340">
        <f t="shared" si="18"/>
        <v>2036</v>
      </c>
      <c r="T91" s="340">
        <f t="shared" si="18"/>
        <v>2037</v>
      </c>
      <c r="U91" s="340">
        <f t="shared" si="18"/>
        <v>2038</v>
      </c>
      <c r="V91" s="340">
        <f t="shared" si="18"/>
        <v>2039</v>
      </c>
      <c r="W91" s="340">
        <f t="shared" si="18"/>
        <v>2040</v>
      </c>
      <c r="X91" s="340">
        <f t="shared" si="18"/>
        <v>2041</v>
      </c>
      <c r="Y91" s="340">
        <f t="shared" si="18"/>
        <v>2042</v>
      </c>
      <c r="Z91" s="340">
        <f t="shared" si="18"/>
        <v>2043</v>
      </c>
      <c r="AA91" s="340">
        <f t="shared" si="18"/>
        <v>2044</v>
      </c>
      <c r="AB91" s="340">
        <f t="shared" si="18"/>
        <v>2045</v>
      </c>
      <c r="AC91" s="340">
        <f t="shared" si="18"/>
        <v>2046</v>
      </c>
      <c r="AD91" s="340">
        <f t="shared" si="18"/>
        <v>2047</v>
      </c>
      <c r="AE91" s="340">
        <f t="shared" si="18"/>
        <v>2048</v>
      </c>
    </row>
    <row r="92" spans="1:31" x14ac:dyDescent="0.2">
      <c r="B92" s="269">
        <v>1</v>
      </c>
      <c r="C92" s="269">
        <f>B92+1</f>
        <v>2</v>
      </c>
      <c r="D92" s="269">
        <f t="shared" si="18"/>
        <v>3</v>
      </c>
      <c r="E92" s="269">
        <f t="shared" si="18"/>
        <v>4</v>
      </c>
      <c r="F92" s="269">
        <f t="shared" si="18"/>
        <v>5</v>
      </c>
      <c r="G92" s="269">
        <f t="shared" si="18"/>
        <v>6</v>
      </c>
      <c r="H92" s="269">
        <f t="shared" si="18"/>
        <v>7</v>
      </c>
      <c r="I92" s="269">
        <f t="shared" si="18"/>
        <v>8</v>
      </c>
      <c r="J92" s="269">
        <f t="shared" si="18"/>
        <v>9</v>
      </c>
      <c r="K92" s="269">
        <f t="shared" si="18"/>
        <v>10</v>
      </c>
      <c r="L92" s="269">
        <f t="shared" si="18"/>
        <v>11</v>
      </c>
      <c r="M92" s="269">
        <f t="shared" si="18"/>
        <v>12</v>
      </c>
      <c r="N92" s="269">
        <f t="shared" si="18"/>
        <v>13</v>
      </c>
      <c r="O92" s="269">
        <f t="shared" si="18"/>
        <v>14</v>
      </c>
      <c r="P92" s="269">
        <f t="shared" si="18"/>
        <v>15</v>
      </c>
      <c r="Q92" s="269">
        <f t="shared" si="18"/>
        <v>16</v>
      </c>
      <c r="R92" s="269">
        <f t="shared" si="18"/>
        <v>17</v>
      </c>
      <c r="S92" s="269">
        <f t="shared" si="18"/>
        <v>18</v>
      </c>
      <c r="T92" s="269">
        <f t="shared" si="18"/>
        <v>19</v>
      </c>
      <c r="U92" s="269">
        <f t="shared" si="18"/>
        <v>20</v>
      </c>
      <c r="V92" s="269">
        <f t="shared" si="18"/>
        <v>21</v>
      </c>
      <c r="W92" s="269">
        <f t="shared" si="18"/>
        <v>22</v>
      </c>
      <c r="X92" s="269">
        <f t="shared" si="18"/>
        <v>23</v>
      </c>
      <c r="Y92" s="269">
        <f t="shared" si="18"/>
        <v>24</v>
      </c>
      <c r="Z92" s="269">
        <f t="shared" si="18"/>
        <v>25</v>
      </c>
      <c r="AA92" s="269">
        <f t="shared" si="18"/>
        <v>26</v>
      </c>
      <c r="AB92" s="269">
        <f t="shared" si="18"/>
        <v>27</v>
      </c>
      <c r="AC92" s="269">
        <f t="shared" si="18"/>
        <v>28</v>
      </c>
      <c r="AD92" s="269">
        <f t="shared" si="18"/>
        <v>29</v>
      </c>
      <c r="AE92" s="269">
        <f t="shared" si="18"/>
        <v>30</v>
      </c>
    </row>
    <row r="93" spans="1:31" x14ac:dyDescent="0.2">
      <c r="A93" s="438" t="s">
        <v>681</v>
      </c>
      <c r="B93" s="438"/>
      <c r="C93" s="438"/>
      <c r="D93" s="438"/>
      <c r="E93" s="438"/>
      <c r="F93" s="438"/>
      <c r="G93" s="438"/>
      <c r="H93" s="438"/>
      <c r="I93" s="438"/>
      <c r="J93" s="438"/>
      <c r="K93" s="438"/>
      <c r="L93" s="438"/>
      <c r="M93" s="438"/>
      <c r="N93" s="438"/>
      <c r="O93" s="438"/>
      <c r="P93" s="438"/>
      <c r="Q93" s="438"/>
      <c r="R93" s="438"/>
      <c r="S93" s="438"/>
      <c r="T93" s="438"/>
      <c r="U93" s="438"/>
      <c r="V93" s="438"/>
      <c r="W93" s="438"/>
      <c r="X93" s="438"/>
      <c r="Y93" s="438"/>
      <c r="Z93" s="438"/>
      <c r="AA93" s="438"/>
      <c r="AB93" s="438"/>
      <c r="AC93" s="438"/>
    </row>
    <row r="94" spans="1:31" x14ac:dyDescent="0.2">
      <c r="A94" s="438" t="s">
        <v>682</v>
      </c>
      <c r="B94" s="438"/>
      <c r="C94" s="438"/>
      <c r="D94" s="438"/>
      <c r="E94" s="438"/>
      <c r="F94" s="438"/>
      <c r="G94" s="438"/>
      <c r="H94" s="438"/>
      <c r="I94" s="438"/>
      <c r="N94" s="269"/>
    </row>
    <row r="95" spans="1:31" x14ac:dyDescent="0.2">
      <c r="C95" s="341"/>
      <c r="N95" s="269"/>
    </row>
    <row r="96" spans="1:31" x14ac:dyDescent="0.2">
      <c r="N96" s="269"/>
    </row>
    <row r="97" spans="14:14" s="259" customFormat="1" x14ac:dyDescent="0.2">
      <c r="N97" s="269"/>
    </row>
    <row r="98" spans="14:14" s="259" customFormat="1" x14ac:dyDescent="0.2">
      <c r="N98" s="269"/>
    </row>
    <row r="99" spans="14:14" s="259" customFormat="1" x14ac:dyDescent="0.2">
      <c r="N99" s="269"/>
    </row>
    <row r="100" spans="14:14" s="259" customFormat="1" x14ac:dyDescent="0.2">
      <c r="N100" s="269"/>
    </row>
    <row r="101" spans="14:14" s="259" customFormat="1" x14ac:dyDescent="0.2">
      <c r="N101" s="269"/>
    </row>
    <row r="102" spans="14:14" s="259" customFormat="1" x14ac:dyDescent="0.2">
      <c r="N102" s="269"/>
    </row>
    <row r="103" spans="14:14" s="259" customFormat="1" x14ac:dyDescent="0.2">
      <c r="N103" s="269"/>
    </row>
    <row r="104" spans="14:14" s="259" customFormat="1" x14ac:dyDescent="0.2">
      <c r="N104" s="269"/>
    </row>
    <row r="105" spans="14:14" s="259" customFormat="1" x14ac:dyDescent="0.2">
      <c r="N105" s="269"/>
    </row>
    <row r="106" spans="14:14" s="259" customFormat="1" x14ac:dyDescent="0.2">
      <c r="N106" s="269"/>
    </row>
    <row r="107" spans="14:14" s="259" customFormat="1" x14ac:dyDescent="0.2">
      <c r="N107" s="269"/>
    </row>
    <row r="108" spans="14:14" s="259" customFormat="1" x14ac:dyDescent="0.2">
      <c r="N108" s="269"/>
    </row>
    <row r="109" spans="14:14" s="259" customFormat="1" x14ac:dyDescent="0.2">
      <c r="N109" s="269"/>
    </row>
    <row r="110" spans="14:14" s="259" customFormat="1" x14ac:dyDescent="0.2">
      <c r="N110" s="269"/>
    </row>
    <row r="111" spans="14:14" s="259" customFormat="1" x14ac:dyDescent="0.2">
      <c r="N111" s="269"/>
    </row>
    <row r="112" spans="14:14" s="259" customFormat="1" x14ac:dyDescent="0.2">
      <c r="N112" s="269"/>
    </row>
    <row r="113" spans="14:14" s="259" customFormat="1" x14ac:dyDescent="0.2">
      <c r="N113" s="269"/>
    </row>
    <row r="114" spans="14:14" s="259" customFormat="1" x14ac:dyDescent="0.2">
      <c r="N114" s="269"/>
    </row>
    <row r="115" spans="14:14" s="259" customFormat="1" x14ac:dyDescent="0.2">
      <c r="N115" s="269"/>
    </row>
    <row r="116" spans="14:14" s="259" customFormat="1" x14ac:dyDescent="0.2">
      <c r="N116" s="269"/>
    </row>
    <row r="117" spans="14:14" s="259" customFormat="1" x14ac:dyDescent="0.2">
      <c r="N117" s="269"/>
    </row>
    <row r="118" spans="14:14" s="259" customFormat="1" x14ac:dyDescent="0.2">
      <c r="N118" s="269"/>
    </row>
    <row r="119" spans="14:14" s="259" customFormat="1" x14ac:dyDescent="0.2">
      <c r="N119" s="269"/>
    </row>
    <row r="120" spans="14:14" s="259" customFormat="1" x14ac:dyDescent="0.2">
      <c r="N120" s="269"/>
    </row>
    <row r="121" spans="14:14" s="259" customFormat="1" x14ac:dyDescent="0.2">
      <c r="N121" s="269"/>
    </row>
    <row r="122" spans="14:14" s="259" customFormat="1" x14ac:dyDescent="0.2">
      <c r="N122" s="269"/>
    </row>
    <row r="123" spans="14:14" s="259" customFormat="1" x14ac:dyDescent="0.2">
      <c r="N123" s="269"/>
    </row>
    <row r="124" spans="14:14" s="259" customFormat="1" x14ac:dyDescent="0.2">
      <c r="N124" s="269"/>
    </row>
    <row r="125" spans="14:14" s="259" customFormat="1" x14ac:dyDescent="0.2">
      <c r="N125" s="269"/>
    </row>
    <row r="126" spans="14:14" s="259" customFormat="1" x14ac:dyDescent="0.2">
      <c r="N126" s="269"/>
    </row>
    <row r="127" spans="14:14" s="259" customFormat="1" x14ac:dyDescent="0.2">
      <c r="N127" s="269"/>
    </row>
    <row r="128" spans="14:14" s="259" customFormat="1" x14ac:dyDescent="0.2">
      <c r="N128" s="269"/>
    </row>
    <row r="129" spans="14:14" s="259" customFormat="1" x14ac:dyDescent="0.2">
      <c r="N129" s="269"/>
    </row>
    <row r="130" spans="14:14" s="259" customFormat="1" x14ac:dyDescent="0.2">
      <c r="N130" s="269"/>
    </row>
    <row r="131" spans="14:14" s="259" customFormat="1" x14ac:dyDescent="0.2">
      <c r="N131" s="269"/>
    </row>
    <row r="132" spans="14:14" s="259" customFormat="1" x14ac:dyDescent="0.2">
      <c r="N132" s="269"/>
    </row>
    <row r="133" spans="14:14" s="259" customFormat="1" x14ac:dyDescent="0.2">
      <c r="N133" s="269"/>
    </row>
    <row r="134" spans="14:14" s="259" customFormat="1" x14ac:dyDescent="0.2">
      <c r="N134" s="269"/>
    </row>
    <row r="135" spans="14:14" s="259" customFormat="1" x14ac:dyDescent="0.2">
      <c r="N135" s="269"/>
    </row>
    <row r="136" spans="14:14" s="259" customFormat="1" x14ac:dyDescent="0.2">
      <c r="N136" s="269"/>
    </row>
    <row r="137" spans="14:14" s="259" customFormat="1" x14ac:dyDescent="0.2">
      <c r="N137" s="269"/>
    </row>
    <row r="138" spans="14:14" s="259" customFormat="1" x14ac:dyDescent="0.2">
      <c r="N138" s="269"/>
    </row>
    <row r="139" spans="14:14" s="259" customFormat="1" x14ac:dyDescent="0.2">
      <c r="N139" s="269"/>
    </row>
    <row r="140" spans="14:14" s="259" customFormat="1" x14ac:dyDescent="0.2">
      <c r="N140" s="269"/>
    </row>
    <row r="141" spans="14:14" s="259" customFormat="1" x14ac:dyDescent="0.2">
      <c r="N141" s="269"/>
    </row>
    <row r="142" spans="14:14" s="259" customFormat="1" x14ac:dyDescent="0.2">
      <c r="N142" s="269"/>
    </row>
    <row r="143" spans="14:14" s="259" customFormat="1" x14ac:dyDescent="0.2">
      <c r="N143" s="269"/>
    </row>
    <row r="144" spans="14:14" s="259" customFormat="1" x14ac:dyDescent="0.2">
      <c r="N144" s="269"/>
    </row>
    <row r="145" spans="14:14" s="259" customFormat="1" x14ac:dyDescent="0.2">
      <c r="N145" s="269"/>
    </row>
    <row r="146" spans="14:14" s="259" customFormat="1" x14ac:dyDescent="0.2">
      <c r="N146" s="269"/>
    </row>
    <row r="147" spans="14:14" s="259" customFormat="1" x14ac:dyDescent="0.2">
      <c r="N147" s="269"/>
    </row>
    <row r="148" spans="14:14" s="259" customFormat="1" x14ac:dyDescent="0.2">
      <c r="N148" s="269"/>
    </row>
    <row r="149" spans="14:14" s="259" customFormat="1" x14ac:dyDescent="0.2">
      <c r="N149" s="269"/>
    </row>
    <row r="150" spans="14:14" s="259" customFormat="1" x14ac:dyDescent="0.2">
      <c r="N150" s="269"/>
    </row>
    <row r="151" spans="14:14" s="259" customFormat="1" x14ac:dyDescent="0.2">
      <c r="N151" s="269"/>
    </row>
    <row r="152" spans="14:14" s="259" customFormat="1" x14ac:dyDescent="0.2">
      <c r="N152" s="269"/>
    </row>
    <row r="153" spans="14:14" s="259" customFormat="1" x14ac:dyDescent="0.2">
      <c r="N153" s="269"/>
    </row>
    <row r="154" spans="14:14" s="259" customFormat="1" x14ac:dyDescent="0.2">
      <c r="N154" s="269"/>
    </row>
    <row r="155" spans="14:14" s="259" customFormat="1" x14ac:dyDescent="0.2">
      <c r="N155" s="269"/>
    </row>
    <row r="156" spans="14:14" s="259" customFormat="1" x14ac:dyDescent="0.2">
      <c r="N156" s="269"/>
    </row>
    <row r="157" spans="14:14" s="259" customFormat="1" x14ac:dyDescent="0.2">
      <c r="N157" s="269"/>
    </row>
    <row r="158" spans="14:14" s="259" customFormat="1" x14ac:dyDescent="0.2">
      <c r="N158" s="269"/>
    </row>
    <row r="159" spans="14:14" s="259" customFormat="1" x14ac:dyDescent="0.2">
      <c r="N159" s="269"/>
    </row>
    <row r="160" spans="14:14" s="259" customFormat="1" x14ac:dyDescent="0.2">
      <c r="N160" s="269"/>
    </row>
    <row r="161" spans="14:14" s="259" customFormat="1" x14ac:dyDescent="0.2">
      <c r="N161" s="269"/>
    </row>
    <row r="162" spans="14:14" s="259" customFormat="1" x14ac:dyDescent="0.2">
      <c r="N162" s="26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D53" sqref="D53"/>
    </sheetView>
  </sheetViews>
  <sheetFormatPr defaultRowHeight="15.75" x14ac:dyDescent="0.25"/>
  <cols>
    <col min="1" max="1" width="9.140625" style="43"/>
    <col min="2" max="2" width="37.7109375" style="43" customWidth="1"/>
    <col min="3" max="4" width="16" style="43" customWidth="1"/>
    <col min="5" max="6" width="16" style="43" hidden="1" customWidth="1"/>
    <col min="7" max="8" width="16" style="43" customWidth="1"/>
    <col min="9" max="10" width="18.28515625" style="43" customWidth="1"/>
    <col min="11" max="11" width="64.85546875" style="43" customWidth="1"/>
    <col min="12" max="251" width="9.140625" style="43"/>
    <col min="252" max="252" width="37.7109375" style="43" customWidth="1"/>
    <col min="253" max="253" width="9.140625" style="43"/>
    <col min="254" max="254" width="12.85546875" style="43" customWidth="1"/>
    <col min="255" max="256" width="0" style="43" hidden="1" customWidth="1"/>
    <col min="257" max="257" width="18.28515625" style="43" customWidth="1"/>
    <col min="258" max="258" width="64.85546875" style="43" customWidth="1"/>
    <col min="259" max="262" width="9.140625" style="43"/>
    <col min="263" max="263" width="14.85546875" style="43" customWidth="1"/>
    <col min="264" max="507" width="9.140625" style="43"/>
    <col min="508" max="508" width="37.7109375" style="43" customWidth="1"/>
    <col min="509" max="509" width="9.140625" style="43"/>
    <col min="510" max="510" width="12.85546875" style="43" customWidth="1"/>
    <col min="511" max="512" width="0" style="43" hidden="1" customWidth="1"/>
    <col min="513" max="513" width="18.28515625" style="43" customWidth="1"/>
    <col min="514" max="514" width="64.85546875" style="43" customWidth="1"/>
    <col min="515" max="518" width="9.140625" style="43"/>
    <col min="519" max="519" width="14.85546875" style="43" customWidth="1"/>
    <col min="520" max="763" width="9.140625" style="43"/>
    <col min="764" max="764" width="37.7109375" style="43" customWidth="1"/>
    <col min="765" max="765" width="9.140625" style="43"/>
    <col min="766" max="766" width="12.85546875" style="43" customWidth="1"/>
    <col min="767" max="768" width="0" style="43" hidden="1" customWidth="1"/>
    <col min="769" max="769" width="18.28515625" style="43" customWidth="1"/>
    <col min="770" max="770" width="64.85546875" style="43" customWidth="1"/>
    <col min="771" max="774" width="9.140625" style="43"/>
    <col min="775" max="775" width="14.85546875" style="43" customWidth="1"/>
    <col min="776" max="1019" width="9.140625" style="43"/>
    <col min="1020" max="1020" width="37.7109375" style="43" customWidth="1"/>
    <col min="1021" max="1021" width="9.140625" style="43"/>
    <col min="1022" max="1022" width="12.85546875" style="43" customWidth="1"/>
    <col min="1023" max="1024" width="0" style="43" hidden="1" customWidth="1"/>
    <col min="1025" max="1025" width="18.28515625" style="43" customWidth="1"/>
    <col min="1026" max="1026" width="64.85546875" style="43" customWidth="1"/>
    <col min="1027" max="1030" width="9.140625" style="43"/>
    <col min="1031" max="1031" width="14.85546875" style="43" customWidth="1"/>
    <col min="1032" max="1275" width="9.140625" style="43"/>
    <col min="1276" max="1276" width="37.7109375" style="43" customWidth="1"/>
    <col min="1277" max="1277" width="9.140625" style="43"/>
    <col min="1278" max="1278" width="12.85546875" style="43" customWidth="1"/>
    <col min="1279" max="1280" width="0" style="43" hidden="1" customWidth="1"/>
    <col min="1281" max="1281" width="18.28515625" style="43" customWidth="1"/>
    <col min="1282" max="1282" width="64.85546875" style="43" customWidth="1"/>
    <col min="1283" max="1286" width="9.140625" style="43"/>
    <col min="1287" max="1287" width="14.85546875" style="43" customWidth="1"/>
    <col min="1288" max="1531" width="9.140625" style="43"/>
    <col min="1532" max="1532" width="37.7109375" style="43" customWidth="1"/>
    <col min="1533" max="1533" width="9.140625" style="43"/>
    <col min="1534" max="1534" width="12.85546875" style="43" customWidth="1"/>
    <col min="1535" max="1536" width="0" style="43" hidden="1" customWidth="1"/>
    <col min="1537" max="1537" width="18.28515625" style="43" customWidth="1"/>
    <col min="1538" max="1538" width="64.85546875" style="43" customWidth="1"/>
    <col min="1539" max="1542" width="9.140625" style="43"/>
    <col min="1543" max="1543" width="14.85546875" style="43" customWidth="1"/>
    <col min="1544" max="1787" width="9.140625" style="43"/>
    <col min="1788" max="1788" width="37.7109375" style="43" customWidth="1"/>
    <col min="1789" max="1789" width="9.140625" style="43"/>
    <col min="1790" max="1790" width="12.85546875" style="43" customWidth="1"/>
    <col min="1791" max="1792" width="0" style="43" hidden="1" customWidth="1"/>
    <col min="1793" max="1793" width="18.28515625" style="43" customWidth="1"/>
    <col min="1794" max="1794" width="64.85546875" style="43" customWidth="1"/>
    <col min="1795" max="1798" width="9.140625" style="43"/>
    <col min="1799" max="1799" width="14.85546875" style="43" customWidth="1"/>
    <col min="1800" max="2043" width="9.140625" style="43"/>
    <col min="2044" max="2044" width="37.7109375" style="43" customWidth="1"/>
    <col min="2045" max="2045" width="9.140625" style="43"/>
    <col min="2046" max="2046" width="12.85546875" style="43" customWidth="1"/>
    <col min="2047" max="2048" width="0" style="43" hidden="1" customWidth="1"/>
    <col min="2049" max="2049" width="18.28515625" style="43" customWidth="1"/>
    <col min="2050" max="2050" width="64.85546875" style="43" customWidth="1"/>
    <col min="2051" max="2054" width="9.140625" style="43"/>
    <col min="2055" max="2055" width="14.85546875" style="43" customWidth="1"/>
    <col min="2056" max="2299" width="9.140625" style="43"/>
    <col min="2300" max="2300" width="37.7109375" style="43" customWidth="1"/>
    <col min="2301" max="2301" width="9.140625" style="43"/>
    <col min="2302" max="2302" width="12.85546875" style="43" customWidth="1"/>
    <col min="2303" max="2304" width="0" style="43" hidden="1" customWidth="1"/>
    <col min="2305" max="2305" width="18.28515625" style="43" customWidth="1"/>
    <col min="2306" max="2306" width="64.85546875" style="43" customWidth="1"/>
    <col min="2307" max="2310" width="9.140625" style="43"/>
    <col min="2311" max="2311" width="14.85546875" style="43" customWidth="1"/>
    <col min="2312" max="2555" width="9.140625" style="43"/>
    <col min="2556" max="2556" width="37.7109375" style="43" customWidth="1"/>
    <col min="2557" max="2557" width="9.140625" style="43"/>
    <col min="2558" max="2558" width="12.85546875" style="43" customWidth="1"/>
    <col min="2559" max="2560" width="0" style="43" hidden="1" customWidth="1"/>
    <col min="2561" max="2561" width="18.28515625" style="43" customWidth="1"/>
    <col min="2562" max="2562" width="64.85546875" style="43" customWidth="1"/>
    <col min="2563" max="2566" width="9.140625" style="43"/>
    <col min="2567" max="2567" width="14.85546875" style="43" customWidth="1"/>
    <col min="2568" max="2811" width="9.140625" style="43"/>
    <col min="2812" max="2812" width="37.7109375" style="43" customWidth="1"/>
    <col min="2813" max="2813" width="9.140625" style="43"/>
    <col min="2814" max="2814" width="12.85546875" style="43" customWidth="1"/>
    <col min="2815" max="2816" width="0" style="43" hidden="1" customWidth="1"/>
    <col min="2817" max="2817" width="18.28515625" style="43" customWidth="1"/>
    <col min="2818" max="2818" width="64.85546875" style="43" customWidth="1"/>
    <col min="2819" max="2822" width="9.140625" style="43"/>
    <col min="2823" max="2823" width="14.85546875" style="43" customWidth="1"/>
    <col min="2824" max="3067" width="9.140625" style="43"/>
    <col min="3068" max="3068" width="37.7109375" style="43" customWidth="1"/>
    <col min="3069" max="3069" width="9.140625" style="43"/>
    <col min="3070" max="3070" width="12.85546875" style="43" customWidth="1"/>
    <col min="3071" max="3072" width="0" style="43" hidden="1" customWidth="1"/>
    <col min="3073" max="3073" width="18.28515625" style="43" customWidth="1"/>
    <col min="3074" max="3074" width="64.85546875" style="43" customWidth="1"/>
    <col min="3075" max="3078" width="9.140625" style="43"/>
    <col min="3079" max="3079" width="14.85546875" style="43" customWidth="1"/>
    <col min="3080" max="3323" width="9.140625" style="43"/>
    <col min="3324" max="3324" width="37.7109375" style="43" customWidth="1"/>
    <col min="3325" max="3325" width="9.140625" style="43"/>
    <col min="3326" max="3326" width="12.85546875" style="43" customWidth="1"/>
    <col min="3327" max="3328" width="0" style="43" hidden="1" customWidth="1"/>
    <col min="3329" max="3329" width="18.28515625" style="43" customWidth="1"/>
    <col min="3330" max="3330" width="64.85546875" style="43" customWidth="1"/>
    <col min="3331" max="3334" width="9.140625" style="43"/>
    <col min="3335" max="3335" width="14.85546875" style="43" customWidth="1"/>
    <col min="3336" max="3579" width="9.140625" style="43"/>
    <col min="3580" max="3580" width="37.7109375" style="43" customWidth="1"/>
    <col min="3581" max="3581" width="9.140625" style="43"/>
    <col min="3582" max="3582" width="12.85546875" style="43" customWidth="1"/>
    <col min="3583" max="3584" width="0" style="43" hidden="1" customWidth="1"/>
    <col min="3585" max="3585" width="18.28515625" style="43" customWidth="1"/>
    <col min="3586" max="3586" width="64.85546875" style="43" customWidth="1"/>
    <col min="3587" max="3590" width="9.140625" style="43"/>
    <col min="3591" max="3591" width="14.85546875" style="43" customWidth="1"/>
    <col min="3592" max="3835" width="9.140625" style="43"/>
    <col min="3836" max="3836" width="37.7109375" style="43" customWidth="1"/>
    <col min="3837" max="3837" width="9.140625" style="43"/>
    <col min="3838" max="3838" width="12.85546875" style="43" customWidth="1"/>
    <col min="3839" max="3840" width="0" style="43" hidden="1" customWidth="1"/>
    <col min="3841" max="3841" width="18.28515625" style="43" customWidth="1"/>
    <col min="3842" max="3842" width="64.85546875" style="43" customWidth="1"/>
    <col min="3843" max="3846" width="9.140625" style="43"/>
    <col min="3847" max="3847" width="14.85546875" style="43" customWidth="1"/>
    <col min="3848" max="4091" width="9.140625" style="43"/>
    <col min="4092" max="4092" width="37.7109375" style="43" customWidth="1"/>
    <col min="4093" max="4093" width="9.140625" style="43"/>
    <col min="4094" max="4094" width="12.85546875" style="43" customWidth="1"/>
    <col min="4095" max="4096" width="0" style="43" hidden="1" customWidth="1"/>
    <col min="4097" max="4097" width="18.28515625" style="43" customWidth="1"/>
    <col min="4098" max="4098" width="64.85546875" style="43" customWidth="1"/>
    <col min="4099" max="4102" width="9.140625" style="43"/>
    <col min="4103" max="4103" width="14.85546875" style="43" customWidth="1"/>
    <col min="4104" max="4347" width="9.140625" style="43"/>
    <col min="4348" max="4348" width="37.7109375" style="43" customWidth="1"/>
    <col min="4349" max="4349" width="9.140625" style="43"/>
    <col min="4350" max="4350" width="12.85546875" style="43" customWidth="1"/>
    <col min="4351" max="4352" width="0" style="43" hidden="1" customWidth="1"/>
    <col min="4353" max="4353" width="18.28515625" style="43" customWidth="1"/>
    <col min="4354" max="4354" width="64.85546875" style="43" customWidth="1"/>
    <col min="4355" max="4358" width="9.140625" style="43"/>
    <col min="4359" max="4359" width="14.85546875" style="43" customWidth="1"/>
    <col min="4360" max="4603" width="9.140625" style="43"/>
    <col min="4604" max="4604" width="37.7109375" style="43" customWidth="1"/>
    <col min="4605" max="4605" width="9.140625" style="43"/>
    <col min="4606" max="4606" width="12.85546875" style="43" customWidth="1"/>
    <col min="4607" max="4608" width="0" style="43" hidden="1" customWidth="1"/>
    <col min="4609" max="4609" width="18.28515625" style="43" customWidth="1"/>
    <col min="4610" max="4610" width="64.85546875" style="43" customWidth="1"/>
    <col min="4611" max="4614" width="9.140625" style="43"/>
    <col min="4615" max="4615" width="14.85546875" style="43" customWidth="1"/>
    <col min="4616" max="4859" width="9.140625" style="43"/>
    <col min="4860" max="4860" width="37.7109375" style="43" customWidth="1"/>
    <col min="4861" max="4861" width="9.140625" style="43"/>
    <col min="4862" max="4862" width="12.85546875" style="43" customWidth="1"/>
    <col min="4863" max="4864" width="0" style="43" hidden="1" customWidth="1"/>
    <col min="4865" max="4865" width="18.28515625" style="43" customWidth="1"/>
    <col min="4866" max="4866" width="64.85546875" style="43" customWidth="1"/>
    <col min="4867" max="4870" width="9.140625" style="43"/>
    <col min="4871" max="4871" width="14.85546875" style="43" customWidth="1"/>
    <col min="4872" max="5115" width="9.140625" style="43"/>
    <col min="5116" max="5116" width="37.7109375" style="43" customWidth="1"/>
    <col min="5117" max="5117" width="9.140625" style="43"/>
    <col min="5118" max="5118" width="12.85546875" style="43" customWidth="1"/>
    <col min="5119" max="5120" width="0" style="43" hidden="1" customWidth="1"/>
    <col min="5121" max="5121" width="18.28515625" style="43" customWidth="1"/>
    <col min="5122" max="5122" width="64.85546875" style="43" customWidth="1"/>
    <col min="5123" max="5126" width="9.140625" style="43"/>
    <col min="5127" max="5127" width="14.85546875" style="43" customWidth="1"/>
    <col min="5128" max="5371" width="9.140625" style="43"/>
    <col min="5372" max="5372" width="37.7109375" style="43" customWidth="1"/>
    <col min="5373" max="5373" width="9.140625" style="43"/>
    <col min="5374" max="5374" width="12.85546875" style="43" customWidth="1"/>
    <col min="5375" max="5376" width="0" style="43" hidden="1" customWidth="1"/>
    <col min="5377" max="5377" width="18.28515625" style="43" customWidth="1"/>
    <col min="5378" max="5378" width="64.85546875" style="43" customWidth="1"/>
    <col min="5379" max="5382" width="9.140625" style="43"/>
    <col min="5383" max="5383" width="14.85546875" style="43" customWidth="1"/>
    <col min="5384" max="5627" width="9.140625" style="43"/>
    <col min="5628" max="5628" width="37.7109375" style="43" customWidth="1"/>
    <col min="5629" max="5629" width="9.140625" style="43"/>
    <col min="5630" max="5630" width="12.85546875" style="43" customWidth="1"/>
    <col min="5631" max="5632" width="0" style="43" hidden="1" customWidth="1"/>
    <col min="5633" max="5633" width="18.28515625" style="43" customWidth="1"/>
    <col min="5634" max="5634" width="64.85546875" style="43" customWidth="1"/>
    <col min="5635" max="5638" width="9.140625" style="43"/>
    <col min="5639" max="5639" width="14.85546875" style="43" customWidth="1"/>
    <col min="5640" max="5883" width="9.140625" style="43"/>
    <col min="5884" max="5884" width="37.7109375" style="43" customWidth="1"/>
    <col min="5885" max="5885" width="9.140625" style="43"/>
    <col min="5886" max="5886" width="12.85546875" style="43" customWidth="1"/>
    <col min="5887" max="5888" width="0" style="43" hidden="1" customWidth="1"/>
    <col min="5889" max="5889" width="18.28515625" style="43" customWidth="1"/>
    <col min="5890" max="5890" width="64.85546875" style="43" customWidth="1"/>
    <col min="5891" max="5894" width="9.140625" style="43"/>
    <col min="5895" max="5895" width="14.85546875" style="43" customWidth="1"/>
    <col min="5896" max="6139" width="9.140625" style="43"/>
    <col min="6140" max="6140" width="37.7109375" style="43" customWidth="1"/>
    <col min="6141" max="6141" width="9.140625" style="43"/>
    <col min="6142" max="6142" width="12.85546875" style="43" customWidth="1"/>
    <col min="6143" max="6144" width="0" style="43" hidden="1" customWidth="1"/>
    <col min="6145" max="6145" width="18.28515625" style="43" customWidth="1"/>
    <col min="6146" max="6146" width="64.85546875" style="43" customWidth="1"/>
    <col min="6147" max="6150" width="9.140625" style="43"/>
    <col min="6151" max="6151" width="14.85546875" style="43" customWidth="1"/>
    <col min="6152" max="6395" width="9.140625" style="43"/>
    <col min="6396" max="6396" width="37.7109375" style="43" customWidth="1"/>
    <col min="6397" max="6397" width="9.140625" style="43"/>
    <col min="6398" max="6398" width="12.85546875" style="43" customWidth="1"/>
    <col min="6399" max="6400" width="0" style="43" hidden="1" customWidth="1"/>
    <col min="6401" max="6401" width="18.28515625" style="43" customWidth="1"/>
    <col min="6402" max="6402" width="64.85546875" style="43" customWidth="1"/>
    <col min="6403" max="6406" width="9.140625" style="43"/>
    <col min="6407" max="6407" width="14.85546875" style="43" customWidth="1"/>
    <col min="6408" max="6651" width="9.140625" style="43"/>
    <col min="6652" max="6652" width="37.7109375" style="43" customWidth="1"/>
    <col min="6653" max="6653" width="9.140625" style="43"/>
    <col min="6654" max="6654" width="12.85546875" style="43" customWidth="1"/>
    <col min="6655" max="6656" width="0" style="43" hidden="1" customWidth="1"/>
    <col min="6657" max="6657" width="18.28515625" style="43" customWidth="1"/>
    <col min="6658" max="6658" width="64.85546875" style="43" customWidth="1"/>
    <col min="6659" max="6662" width="9.140625" style="43"/>
    <col min="6663" max="6663" width="14.85546875" style="43" customWidth="1"/>
    <col min="6664" max="6907" width="9.140625" style="43"/>
    <col min="6908" max="6908" width="37.7109375" style="43" customWidth="1"/>
    <col min="6909" max="6909" width="9.140625" style="43"/>
    <col min="6910" max="6910" width="12.85546875" style="43" customWidth="1"/>
    <col min="6911" max="6912" width="0" style="43" hidden="1" customWidth="1"/>
    <col min="6913" max="6913" width="18.28515625" style="43" customWidth="1"/>
    <col min="6914" max="6914" width="64.85546875" style="43" customWidth="1"/>
    <col min="6915" max="6918" width="9.140625" style="43"/>
    <col min="6919" max="6919" width="14.85546875" style="43" customWidth="1"/>
    <col min="6920" max="7163" width="9.140625" style="43"/>
    <col min="7164" max="7164" width="37.7109375" style="43" customWidth="1"/>
    <col min="7165" max="7165" width="9.140625" style="43"/>
    <col min="7166" max="7166" width="12.85546875" style="43" customWidth="1"/>
    <col min="7167" max="7168" width="0" style="43" hidden="1" customWidth="1"/>
    <col min="7169" max="7169" width="18.28515625" style="43" customWidth="1"/>
    <col min="7170" max="7170" width="64.85546875" style="43" customWidth="1"/>
    <col min="7171" max="7174" width="9.140625" style="43"/>
    <col min="7175" max="7175" width="14.85546875" style="43" customWidth="1"/>
    <col min="7176" max="7419" width="9.140625" style="43"/>
    <col min="7420" max="7420" width="37.7109375" style="43" customWidth="1"/>
    <col min="7421" max="7421" width="9.140625" style="43"/>
    <col min="7422" max="7422" width="12.85546875" style="43" customWidth="1"/>
    <col min="7423" max="7424" width="0" style="43" hidden="1" customWidth="1"/>
    <col min="7425" max="7425" width="18.28515625" style="43" customWidth="1"/>
    <col min="7426" max="7426" width="64.85546875" style="43" customWidth="1"/>
    <col min="7427" max="7430" width="9.140625" style="43"/>
    <col min="7431" max="7431" width="14.85546875" style="43" customWidth="1"/>
    <col min="7432" max="7675" width="9.140625" style="43"/>
    <col min="7676" max="7676" width="37.7109375" style="43" customWidth="1"/>
    <col min="7677" max="7677" width="9.140625" style="43"/>
    <col min="7678" max="7678" width="12.85546875" style="43" customWidth="1"/>
    <col min="7679" max="7680" width="0" style="43" hidden="1" customWidth="1"/>
    <col min="7681" max="7681" width="18.28515625" style="43" customWidth="1"/>
    <col min="7682" max="7682" width="64.85546875" style="43" customWidth="1"/>
    <col min="7683" max="7686" width="9.140625" style="43"/>
    <col min="7687" max="7687" width="14.85546875" style="43" customWidth="1"/>
    <col min="7688" max="7931" width="9.140625" style="43"/>
    <col min="7932" max="7932" width="37.7109375" style="43" customWidth="1"/>
    <col min="7933" max="7933" width="9.140625" style="43"/>
    <col min="7934" max="7934" width="12.85546875" style="43" customWidth="1"/>
    <col min="7935" max="7936" width="0" style="43" hidden="1" customWidth="1"/>
    <col min="7937" max="7937" width="18.28515625" style="43" customWidth="1"/>
    <col min="7938" max="7938" width="64.85546875" style="43" customWidth="1"/>
    <col min="7939" max="7942" width="9.140625" style="43"/>
    <col min="7943" max="7943" width="14.85546875" style="43" customWidth="1"/>
    <col min="7944" max="8187" width="9.140625" style="43"/>
    <col min="8188" max="8188" width="37.7109375" style="43" customWidth="1"/>
    <col min="8189" max="8189" width="9.140625" style="43"/>
    <col min="8190" max="8190" width="12.85546875" style="43" customWidth="1"/>
    <col min="8191" max="8192" width="0" style="43" hidden="1" customWidth="1"/>
    <col min="8193" max="8193" width="18.28515625" style="43" customWidth="1"/>
    <col min="8194" max="8194" width="64.85546875" style="43" customWidth="1"/>
    <col min="8195" max="8198" width="9.140625" style="43"/>
    <col min="8199" max="8199" width="14.85546875" style="43" customWidth="1"/>
    <col min="8200" max="8443" width="9.140625" style="43"/>
    <col min="8444" max="8444" width="37.7109375" style="43" customWidth="1"/>
    <col min="8445" max="8445" width="9.140625" style="43"/>
    <col min="8446" max="8446" width="12.85546875" style="43" customWidth="1"/>
    <col min="8447" max="8448" width="0" style="43" hidden="1" customWidth="1"/>
    <col min="8449" max="8449" width="18.28515625" style="43" customWidth="1"/>
    <col min="8450" max="8450" width="64.85546875" style="43" customWidth="1"/>
    <col min="8451" max="8454" width="9.140625" style="43"/>
    <col min="8455" max="8455" width="14.85546875" style="43" customWidth="1"/>
    <col min="8456" max="8699" width="9.140625" style="43"/>
    <col min="8700" max="8700" width="37.7109375" style="43" customWidth="1"/>
    <col min="8701" max="8701" width="9.140625" style="43"/>
    <col min="8702" max="8702" width="12.85546875" style="43" customWidth="1"/>
    <col min="8703" max="8704" width="0" style="43" hidden="1" customWidth="1"/>
    <col min="8705" max="8705" width="18.28515625" style="43" customWidth="1"/>
    <col min="8706" max="8706" width="64.85546875" style="43" customWidth="1"/>
    <col min="8707" max="8710" width="9.140625" style="43"/>
    <col min="8711" max="8711" width="14.85546875" style="43" customWidth="1"/>
    <col min="8712" max="8955" width="9.140625" style="43"/>
    <col min="8956" max="8956" width="37.7109375" style="43" customWidth="1"/>
    <col min="8957" max="8957" width="9.140625" style="43"/>
    <col min="8958" max="8958" width="12.85546875" style="43" customWidth="1"/>
    <col min="8959" max="8960" width="0" style="43" hidden="1" customWidth="1"/>
    <col min="8961" max="8961" width="18.28515625" style="43" customWidth="1"/>
    <col min="8962" max="8962" width="64.85546875" style="43" customWidth="1"/>
    <col min="8963" max="8966" width="9.140625" style="43"/>
    <col min="8967" max="8967" width="14.85546875" style="43" customWidth="1"/>
    <col min="8968" max="9211" width="9.140625" style="43"/>
    <col min="9212" max="9212" width="37.7109375" style="43" customWidth="1"/>
    <col min="9213" max="9213" width="9.140625" style="43"/>
    <col min="9214" max="9214" width="12.85546875" style="43" customWidth="1"/>
    <col min="9215" max="9216" width="0" style="43" hidden="1" customWidth="1"/>
    <col min="9217" max="9217" width="18.28515625" style="43" customWidth="1"/>
    <col min="9218" max="9218" width="64.85546875" style="43" customWidth="1"/>
    <col min="9219" max="9222" width="9.140625" style="43"/>
    <col min="9223" max="9223" width="14.85546875" style="43" customWidth="1"/>
    <col min="9224" max="9467" width="9.140625" style="43"/>
    <col min="9468" max="9468" width="37.7109375" style="43" customWidth="1"/>
    <col min="9469" max="9469" width="9.140625" style="43"/>
    <col min="9470" max="9470" width="12.85546875" style="43" customWidth="1"/>
    <col min="9471" max="9472" width="0" style="43" hidden="1" customWidth="1"/>
    <col min="9473" max="9473" width="18.28515625" style="43" customWidth="1"/>
    <col min="9474" max="9474" width="64.85546875" style="43" customWidth="1"/>
    <col min="9475" max="9478" width="9.140625" style="43"/>
    <col min="9479" max="9479" width="14.85546875" style="43" customWidth="1"/>
    <col min="9480" max="9723" width="9.140625" style="43"/>
    <col min="9724" max="9724" width="37.7109375" style="43" customWidth="1"/>
    <col min="9725" max="9725" width="9.140625" style="43"/>
    <col min="9726" max="9726" width="12.85546875" style="43" customWidth="1"/>
    <col min="9727" max="9728" width="0" style="43" hidden="1" customWidth="1"/>
    <col min="9729" max="9729" width="18.28515625" style="43" customWidth="1"/>
    <col min="9730" max="9730" width="64.85546875" style="43" customWidth="1"/>
    <col min="9731" max="9734" width="9.140625" style="43"/>
    <col min="9735" max="9735" width="14.85546875" style="43" customWidth="1"/>
    <col min="9736" max="9979" width="9.140625" style="43"/>
    <col min="9980" max="9980" width="37.7109375" style="43" customWidth="1"/>
    <col min="9981" max="9981" width="9.140625" style="43"/>
    <col min="9982" max="9982" width="12.85546875" style="43" customWidth="1"/>
    <col min="9983" max="9984" width="0" style="43" hidden="1" customWidth="1"/>
    <col min="9985" max="9985" width="18.28515625" style="43" customWidth="1"/>
    <col min="9986" max="9986" width="64.85546875" style="43" customWidth="1"/>
    <col min="9987" max="9990" width="9.140625" style="43"/>
    <col min="9991" max="9991" width="14.85546875" style="43" customWidth="1"/>
    <col min="9992" max="10235" width="9.140625" style="43"/>
    <col min="10236" max="10236" width="37.7109375" style="43" customWidth="1"/>
    <col min="10237" max="10237" width="9.140625" style="43"/>
    <col min="10238" max="10238" width="12.85546875" style="43" customWidth="1"/>
    <col min="10239" max="10240" width="0" style="43" hidden="1" customWidth="1"/>
    <col min="10241" max="10241" width="18.28515625" style="43" customWidth="1"/>
    <col min="10242" max="10242" width="64.85546875" style="43" customWidth="1"/>
    <col min="10243" max="10246" width="9.140625" style="43"/>
    <col min="10247" max="10247" width="14.85546875" style="43" customWidth="1"/>
    <col min="10248" max="10491" width="9.140625" style="43"/>
    <col min="10492" max="10492" width="37.7109375" style="43" customWidth="1"/>
    <col min="10493" max="10493" width="9.140625" style="43"/>
    <col min="10494" max="10494" width="12.85546875" style="43" customWidth="1"/>
    <col min="10495" max="10496" width="0" style="43" hidden="1" customWidth="1"/>
    <col min="10497" max="10497" width="18.28515625" style="43" customWidth="1"/>
    <col min="10498" max="10498" width="64.85546875" style="43" customWidth="1"/>
    <col min="10499" max="10502" width="9.140625" style="43"/>
    <col min="10503" max="10503" width="14.85546875" style="43" customWidth="1"/>
    <col min="10504" max="10747" width="9.140625" style="43"/>
    <col min="10748" max="10748" width="37.7109375" style="43" customWidth="1"/>
    <col min="10749" max="10749" width="9.140625" style="43"/>
    <col min="10750" max="10750" width="12.85546875" style="43" customWidth="1"/>
    <col min="10751" max="10752" width="0" style="43" hidden="1" customWidth="1"/>
    <col min="10753" max="10753" width="18.28515625" style="43" customWidth="1"/>
    <col min="10754" max="10754" width="64.85546875" style="43" customWidth="1"/>
    <col min="10755" max="10758" width="9.140625" style="43"/>
    <col min="10759" max="10759" width="14.85546875" style="43" customWidth="1"/>
    <col min="10760" max="11003" width="9.140625" style="43"/>
    <col min="11004" max="11004" width="37.7109375" style="43" customWidth="1"/>
    <col min="11005" max="11005" width="9.140625" style="43"/>
    <col min="11006" max="11006" width="12.85546875" style="43" customWidth="1"/>
    <col min="11007" max="11008" width="0" style="43" hidden="1" customWidth="1"/>
    <col min="11009" max="11009" width="18.28515625" style="43" customWidth="1"/>
    <col min="11010" max="11010" width="64.85546875" style="43" customWidth="1"/>
    <col min="11011" max="11014" width="9.140625" style="43"/>
    <col min="11015" max="11015" width="14.85546875" style="43" customWidth="1"/>
    <col min="11016" max="11259" width="9.140625" style="43"/>
    <col min="11260" max="11260" width="37.7109375" style="43" customWidth="1"/>
    <col min="11261" max="11261" width="9.140625" style="43"/>
    <col min="11262" max="11262" width="12.85546875" style="43" customWidth="1"/>
    <col min="11263" max="11264" width="0" style="43" hidden="1" customWidth="1"/>
    <col min="11265" max="11265" width="18.28515625" style="43" customWidth="1"/>
    <col min="11266" max="11266" width="64.85546875" style="43" customWidth="1"/>
    <col min="11267" max="11270" width="9.140625" style="43"/>
    <col min="11271" max="11271" width="14.85546875" style="43" customWidth="1"/>
    <col min="11272" max="11515" width="9.140625" style="43"/>
    <col min="11516" max="11516" width="37.7109375" style="43" customWidth="1"/>
    <col min="11517" max="11517" width="9.140625" style="43"/>
    <col min="11518" max="11518" width="12.85546875" style="43" customWidth="1"/>
    <col min="11519" max="11520" width="0" style="43" hidden="1" customWidth="1"/>
    <col min="11521" max="11521" width="18.28515625" style="43" customWidth="1"/>
    <col min="11522" max="11522" width="64.85546875" style="43" customWidth="1"/>
    <col min="11523" max="11526" width="9.140625" style="43"/>
    <col min="11527" max="11527" width="14.85546875" style="43" customWidth="1"/>
    <col min="11528" max="11771" width="9.140625" style="43"/>
    <col min="11772" max="11772" width="37.7109375" style="43" customWidth="1"/>
    <col min="11773" max="11773" width="9.140625" style="43"/>
    <col min="11774" max="11774" width="12.85546875" style="43" customWidth="1"/>
    <col min="11775" max="11776" width="0" style="43" hidden="1" customWidth="1"/>
    <col min="11777" max="11777" width="18.28515625" style="43" customWidth="1"/>
    <col min="11778" max="11778" width="64.85546875" style="43" customWidth="1"/>
    <col min="11779" max="11782" width="9.140625" style="43"/>
    <col min="11783" max="11783" width="14.85546875" style="43" customWidth="1"/>
    <col min="11784" max="12027" width="9.140625" style="43"/>
    <col min="12028" max="12028" width="37.7109375" style="43" customWidth="1"/>
    <col min="12029" max="12029" width="9.140625" style="43"/>
    <col min="12030" max="12030" width="12.85546875" style="43" customWidth="1"/>
    <col min="12031" max="12032" width="0" style="43" hidden="1" customWidth="1"/>
    <col min="12033" max="12033" width="18.28515625" style="43" customWidth="1"/>
    <col min="12034" max="12034" width="64.85546875" style="43" customWidth="1"/>
    <col min="12035" max="12038" width="9.140625" style="43"/>
    <col min="12039" max="12039" width="14.85546875" style="43" customWidth="1"/>
    <col min="12040" max="12283" width="9.140625" style="43"/>
    <col min="12284" max="12284" width="37.7109375" style="43" customWidth="1"/>
    <col min="12285" max="12285" width="9.140625" style="43"/>
    <col min="12286" max="12286" width="12.85546875" style="43" customWidth="1"/>
    <col min="12287" max="12288" width="0" style="43" hidden="1" customWidth="1"/>
    <col min="12289" max="12289" width="18.28515625" style="43" customWidth="1"/>
    <col min="12290" max="12290" width="64.85546875" style="43" customWidth="1"/>
    <col min="12291" max="12294" width="9.140625" style="43"/>
    <col min="12295" max="12295" width="14.85546875" style="43" customWidth="1"/>
    <col min="12296" max="12539" width="9.140625" style="43"/>
    <col min="12540" max="12540" width="37.7109375" style="43" customWidth="1"/>
    <col min="12541" max="12541" width="9.140625" style="43"/>
    <col min="12542" max="12542" width="12.85546875" style="43" customWidth="1"/>
    <col min="12543" max="12544" width="0" style="43" hidden="1" customWidth="1"/>
    <col min="12545" max="12545" width="18.28515625" style="43" customWidth="1"/>
    <col min="12546" max="12546" width="64.85546875" style="43" customWidth="1"/>
    <col min="12547" max="12550" width="9.140625" style="43"/>
    <col min="12551" max="12551" width="14.85546875" style="43" customWidth="1"/>
    <col min="12552" max="12795" width="9.140625" style="43"/>
    <col min="12796" max="12796" width="37.7109375" style="43" customWidth="1"/>
    <col min="12797" max="12797" width="9.140625" style="43"/>
    <col min="12798" max="12798" width="12.85546875" style="43" customWidth="1"/>
    <col min="12799" max="12800" width="0" style="43" hidden="1" customWidth="1"/>
    <col min="12801" max="12801" width="18.28515625" style="43" customWidth="1"/>
    <col min="12802" max="12802" width="64.85546875" style="43" customWidth="1"/>
    <col min="12803" max="12806" width="9.140625" style="43"/>
    <col min="12807" max="12807" width="14.85546875" style="43" customWidth="1"/>
    <col min="12808" max="13051" width="9.140625" style="43"/>
    <col min="13052" max="13052" width="37.7109375" style="43" customWidth="1"/>
    <col min="13053" max="13053" width="9.140625" style="43"/>
    <col min="13054" max="13054" width="12.85546875" style="43" customWidth="1"/>
    <col min="13055" max="13056" width="0" style="43" hidden="1" customWidth="1"/>
    <col min="13057" max="13057" width="18.28515625" style="43" customWidth="1"/>
    <col min="13058" max="13058" width="64.85546875" style="43" customWidth="1"/>
    <col min="13059" max="13062" width="9.140625" style="43"/>
    <col min="13063" max="13063" width="14.85546875" style="43" customWidth="1"/>
    <col min="13064" max="13307" width="9.140625" style="43"/>
    <col min="13308" max="13308" width="37.7109375" style="43" customWidth="1"/>
    <col min="13309" max="13309" width="9.140625" style="43"/>
    <col min="13310" max="13310" width="12.85546875" style="43" customWidth="1"/>
    <col min="13311" max="13312" width="0" style="43" hidden="1" customWidth="1"/>
    <col min="13313" max="13313" width="18.28515625" style="43" customWidth="1"/>
    <col min="13314" max="13314" width="64.85546875" style="43" customWidth="1"/>
    <col min="13315" max="13318" width="9.140625" style="43"/>
    <col min="13319" max="13319" width="14.85546875" style="43" customWidth="1"/>
    <col min="13320" max="13563" width="9.140625" style="43"/>
    <col min="13564" max="13564" width="37.7109375" style="43" customWidth="1"/>
    <col min="13565" max="13565" width="9.140625" style="43"/>
    <col min="13566" max="13566" width="12.85546875" style="43" customWidth="1"/>
    <col min="13567" max="13568" width="0" style="43" hidden="1" customWidth="1"/>
    <col min="13569" max="13569" width="18.28515625" style="43" customWidth="1"/>
    <col min="13570" max="13570" width="64.85546875" style="43" customWidth="1"/>
    <col min="13571" max="13574" width="9.140625" style="43"/>
    <col min="13575" max="13575" width="14.85546875" style="43" customWidth="1"/>
    <col min="13576" max="13819" width="9.140625" style="43"/>
    <col min="13820" max="13820" width="37.7109375" style="43" customWidth="1"/>
    <col min="13821" max="13821" width="9.140625" style="43"/>
    <col min="13822" max="13822" width="12.85546875" style="43" customWidth="1"/>
    <col min="13823" max="13824" width="0" style="43" hidden="1" customWidth="1"/>
    <col min="13825" max="13825" width="18.28515625" style="43" customWidth="1"/>
    <col min="13826" max="13826" width="64.85546875" style="43" customWidth="1"/>
    <col min="13827" max="13830" width="9.140625" style="43"/>
    <col min="13831" max="13831" width="14.85546875" style="43" customWidth="1"/>
    <col min="13832" max="14075" width="9.140625" style="43"/>
    <col min="14076" max="14076" width="37.7109375" style="43" customWidth="1"/>
    <col min="14077" max="14077" width="9.140625" style="43"/>
    <col min="14078" max="14078" width="12.85546875" style="43" customWidth="1"/>
    <col min="14079" max="14080" width="0" style="43" hidden="1" customWidth="1"/>
    <col min="14081" max="14081" width="18.28515625" style="43" customWidth="1"/>
    <col min="14082" max="14082" width="64.85546875" style="43" customWidth="1"/>
    <col min="14083" max="14086" width="9.140625" style="43"/>
    <col min="14087" max="14087" width="14.85546875" style="43" customWidth="1"/>
    <col min="14088" max="14331" width="9.140625" style="43"/>
    <col min="14332" max="14332" width="37.7109375" style="43" customWidth="1"/>
    <col min="14333" max="14333" width="9.140625" style="43"/>
    <col min="14334" max="14334" width="12.85546875" style="43" customWidth="1"/>
    <col min="14335" max="14336" width="0" style="43" hidden="1" customWidth="1"/>
    <col min="14337" max="14337" width="18.28515625" style="43" customWidth="1"/>
    <col min="14338" max="14338" width="64.85546875" style="43" customWidth="1"/>
    <col min="14339" max="14342" width="9.140625" style="43"/>
    <col min="14343" max="14343" width="14.85546875" style="43" customWidth="1"/>
    <col min="14344" max="14587" width="9.140625" style="43"/>
    <col min="14588" max="14588" width="37.7109375" style="43" customWidth="1"/>
    <col min="14589" max="14589" width="9.140625" style="43"/>
    <col min="14590" max="14590" width="12.85546875" style="43" customWidth="1"/>
    <col min="14591" max="14592" width="0" style="43" hidden="1" customWidth="1"/>
    <col min="14593" max="14593" width="18.28515625" style="43" customWidth="1"/>
    <col min="14594" max="14594" width="64.85546875" style="43" customWidth="1"/>
    <col min="14595" max="14598" width="9.140625" style="43"/>
    <col min="14599" max="14599" width="14.85546875" style="43" customWidth="1"/>
    <col min="14600" max="14843" width="9.140625" style="43"/>
    <col min="14844" max="14844" width="37.7109375" style="43" customWidth="1"/>
    <col min="14845" max="14845" width="9.140625" style="43"/>
    <col min="14846" max="14846" width="12.85546875" style="43" customWidth="1"/>
    <col min="14847" max="14848" width="0" style="43" hidden="1" customWidth="1"/>
    <col min="14849" max="14849" width="18.28515625" style="43" customWidth="1"/>
    <col min="14850" max="14850" width="64.85546875" style="43" customWidth="1"/>
    <col min="14851" max="14854" width="9.140625" style="43"/>
    <col min="14855" max="14855" width="14.85546875" style="43" customWidth="1"/>
    <col min="14856" max="15099" width="9.140625" style="43"/>
    <col min="15100" max="15100" width="37.7109375" style="43" customWidth="1"/>
    <col min="15101" max="15101" width="9.140625" style="43"/>
    <col min="15102" max="15102" width="12.85546875" style="43" customWidth="1"/>
    <col min="15103" max="15104" width="0" style="43" hidden="1" customWidth="1"/>
    <col min="15105" max="15105" width="18.28515625" style="43" customWidth="1"/>
    <col min="15106" max="15106" width="64.85546875" style="43" customWidth="1"/>
    <col min="15107" max="15110" width="9.140625" style="43"/>
    <col min="15111" max="15111" width="14.85546875" style="43" customWidth="1"/>
    <col min="15112" max="15355" width="9.140625" style="43"/>
    <col min="15356" max="15356" width="37.7109375" style="43" customWidth="1"/>
    <col min="15357" max="15357" width="9.140625" style="43"/>
    <col min="15358" max="15358" width="12.85546875" style="43" customWidth="1"/>
    <col min="15359" max="15360" width="0" style="43" hidden="1" customWidth="1"/>
    <col min="15361" max="15361" width="18.28515625" style="43" customWidth="1"/>
    <col min="15362" max="15362" width="64.85546875" style="43" customWidth="1"/>
    <col min="15363" max="15366" width="9.140625" style="43"/>
    <col min="15367" max="15367" width="14.85546875" style="43" customWidth="1"/>
    <col min="15368" max="15611" width="9.140625" style="43"/>
    <col min="15612" max="15612" width="37.7109375" style="43" customWidth="1"/>
    <col min="15613" max="15613" width="9.140625" style="43"/>
    <col min="15614" max="15614" width="12.85546875" style="43" customWidth="1"/>
    <col min="15615" max="15616" width="0" style="43" hidden="1" customWidth="1"/>
    <col min="15617" max="15617" width="18.28515625" style="43" customWidth="1"/>
    <col min="15618" max="15618" width="64.85546875" style="43" customWidth="1"/>
    <col min="15619" max="15622" width="9.140625" style="43"/>
    <col min="15623" max="15623" width="14.85546875" style="43" customWidth="1"/>
    <col min="15624" max="15867" width="9.140625" style="43"/>
    <col min="15868" max="15868" width="37.7109375" style="43" customWidth="1"/>
    <col min="15869" max="15869" width="9.140625" style="43"/>
    <col min="15870" max="15870" width="12.85546875" style="43" customWidth="1"/>
    <col min="15871" max="15872" width="0" style="43" hidden="1" customWidth="1"/>
    <col min="15873" max="15873" width="18.28515625" style="43" customWidth="1"/>
    <col min="15874" max="15874" width="64.85546875" style="43" customWidth="1"/>
    <col min="15875" max="15878" width="9.140625" style="43"/>
    <col min="15879" max="15879" width="14.85546875" style="43" customWidth="1"/>
    <col min="15880" max="16123" width="9.140625" style="43"/>
    <col min="16124" max="16124" width="37.7109375" style="43" customWidth="1"/>
    <col min="16125" max="16125" width="9.140625" style="43"/>
    <col min="16126" max="16126" width="12.85546875" style="43" customWidth="1"/>
    <col min="16127" max="16128" width="0" style="43" hidden="1" customWidth="1"/>
    <col min="16129" max="16129" width="18.28515625" style="43" customWidth="1"/>
    <col min="16130" max="16130" width="64.85546875" style="43" customWidth="1"/>
    <col min="16131" max="16134" width="9.140625" style="43"/>
    <col min="16135" max="16135" width="14.85546875" style="43" customWidth="1"/>
    <col min="16136" max="16384" width="9.140625" style="43"/>
  </cols>
  <sheetData>
    <row r="1" spans="1:43" ht="18.75" x14ac:dyDescent="0.25">
      <c r="K1" s="28" t="s">
        <v>66</v>
      </c>
    </row>
    <row r="2" spans="1:43" ht="18.75" x14ac:dyDescent="0.3">
      <c r="K2" s="13" t="s">
        <v>8</v>
      </c>
    </row>
    <row r="3" spans="1:43" ht="18.75" x14ac:dyDescent="0.3">
      <c r="K3" s="13" t="s">
        <v>65</v>
      </c>
    </row>
    <row r="4" spans="1:43" ht="18.75" x14ac:dyDescent="0.3">
      <c r="K4" s="13"/>
    </row>
    <row r="5" spans="1:43" x14ac:dyDescent="0.25">
      <c r="A5" s="375" t="str">
        <f>'1. паспорт местоположение'!A5:C5</f>
        <v>Год раскрытия информации: 2021 год</v>
      </c>
      <c r="B5" s="375"/>
      <c r="C5" s="375"/>
      <c r="D5" s="375"/>
      <c r="E5" s="375"/>
      <c r="F5" s="375"/>
      <c r="G5" s="375"/>
      <c r="H5" s="375"/>
      <c r="I5" s="375"/>
      <c r="J5" s="375"/>
      <c r="K5" s="37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3"/>
    </row>
    <row r="7" spans="1:43" ht="18.75" x14ac:dyDescent="0.25">
      <c r="A7" s="387" t="s">
        <v>7</v>
      </c>
      <c r="B7" s="387"/>
      <c r="C7" s="387"/>
      <c r="D7" s="387"/>
      <c r="E7" s="387"/>
      <c r="F7" s="387"/>
      <c r="G7" s="387"/>
      <c r="H7" s="387"/>
      <c r="I7" s="387"/>
      <c r="J7" s="387"/>
      <c r="K7" s="387"/>
    </row>
    <row r="8" spans="1:43" ht="18.75" x14ac:dyDescent="0.25">
      <c r="A8" s="387"/>
      <c r="B8" s="387"/>
      <c r="C8" s="387"/>
      <c r="D8" s="387"/>
      <c r="E8" s="387"/>
      <c r="F8" s="387"/>
      <c r="G8" s="387"/>
      <c r="H8" s="387"/>
      <c r="I8" s="387"/>
      <c r="J8" s="387"/>
      <c r="K8" s="387"/>
    </row>
    <row r="9" spans="1:43" x14ac:dyDescent="0.25">
      <c r="A9" s="382" t="str">
        <f>'1. паспорт местоположение'!A9:C9</f>
        <v xml:space="preserve">Акционерное общество "Западная энергетическая компания" </v>
      </c>
      <c r="B9" s="382"/>
      <c r="C9" s="382"/>
      <c r="D9" s="382"/>
      <c r="E9" s="382"/>
      <c r="F9" s="382"/>
      <c r="G9" s="382"/>
      <c r="H9" s="382"/>
      <c r="I9" s="382"/>
      <c r="J9" s="382"/>
      <c r="K9" s="382"/>
    </row>
    <row r="10" spans="1:43" x14ac:dyDescent="0.25">
      <c r="A10" s="383" t="s">
        <v>6</v>
      </c>
      <c r="B10" s="383"/>
      <c r="C10" s="383"/>
      <c r="D10" s="383"/>
      <c r="E10" s="383"/>
      <c r="F10" s="383"/>
      <c r="G10" s="383"/>
      <c r="H10" s="383"/>
      <c r="I10" s="383"/>
      <c r="J10" s="383"/>
      <c r="K10" s="383"/>
    </row>
    <row r="11" spans="1:43" ht="18.75" x14ac:dyDescent="0.25">
      <c r="A11" s="387"/>
      <c r="B11" s="387"/>
      <c r="C11" s="387"/>
      <c r="D11" s="387"/>
      <c r="E11" s="387"/>
      <c r="F11" s="387"/>
      <c r="G11" s="387"/>
      <c r="H11" s="387"/>
      <c r="I11" s="387"/>
      <c r="J11" s="387"/>
      <c r="K11" s="387"/>
    </row>
    <row r="12" spans="1:43" x14ac:dyDescent="0.25">
      <c r="A12" s="382" t="str">
        <f>'1. паспорт местоположение'!A12:C12</f>
        <v>K-20-02</v>
      </c>
      <c r="B12" s="382"/>
      <c r="C12" s="382"/>
      <c r="D12" s="382"/>
      <c r="E12" s="382"/>
      <c r="F12" s="382"/>
      <c r="G12" s="382"/>
      <c r="H12" s="382"/>
      <c r="I12" s="382"/>
      <c r="J12" s="382"/>
      <c r="K12" s="382"/>
    </row>
    <row r="13" spans="1:43" x14ac:dyDescent="0.25">
      <c r="A13" s="383" t="s">
        <v>5</v>
      </c>
      <c r="B13" s="383"/>
      <c r="C13" s="383"/>
      <c r="D13" s="383"/>
      <c r="E13" s="383"/>
      <c r="F13" s="383"/>
      <c r="G13" s="383"/>
      <c r="H13" s="383"/>
      <c r="I13" s="383"/>
      <c r="J13" s="383"/>
      <c r="K13" s="383"/>
    </row>
    <row r="14" spans="1:43" ht="18.75" x14ac:dyDescent="0.25">
      <c r="A14" s="388"/>
      <c r="B14" s="388"/>
      <c r="C14" s="388"/>
      <c r="D14" s="388"/>
      <c r="E14" s="388"/>
      <c r="F14" s="388"/>
      <c r="G14" s="388"/>
      <c r="H14" s="388"/>
      <c r="I14" s="388"/>
      <c r="J14" s="388"/>
      <c r="K14" s="388"/>
    </row>
    <row r="15" spans="1:43" x14ac:dyDescent="0.25">
      <c r="A15" s="382" t="str">
        <f>'1. паспорт местоположение'!A15:C15</f>
        <v>Приобретение электросетевого комплекса ООО "Татэнерго"</v>
      </c>
      <c r="B15" s="382"/>
      <c r="C15" s="382"/>
      <c r="D15" s="382"/>
      <c r="E15" s="382"/>
      <c r="F15" s="382"/>
      <c r="G15" s="382"/>
      <c r="H15" s="382"/>
      <c r="I15" s="382"/>
      <c r="J15" s="382"/>
      <c r="K15" s="382"/>
    </row>
    <row r="16" spans="1:43" x14ac:dyDescent="0.25">
      <c r="A16" s="376" t="s">
        <v>4</v>
      </c>
      <c r="B16" s="376"/>
      <c r="C16" s="376"/>
      <c r="D16" s="376"/>
      <c r="E16" s="376"/>
      <c r="F16" s="376"/>
      <c r="G16" s="376"/>
      <c r="H16" s="376"/>
      <c r="I16" s="376"/>
      <c r="J16" s="376"/>
      <c r="K16" s="376"/>
    </row>
    <row r="17" spans="1:11" ht="15.75" customHeight="1" x14ac:dyDescent="0.25"/>
    <row r="18" spans="1:11" x14ac:dyDescent="0.25">
      <c r="K18" s="69"/>
    </row>
    <row r="19" spans="1:11" ht="15.75" customHeight="1" x14ac:dyDescent="0.25">
      <c r="A19" s="442" t="s">
        <v>392</v>
      </c>
      <c r="B19" s="442"/>
      <c r="C19" s="442"/>
      <c r="D19" s="442"/>
      <c r="E19" s="442"/>
      <c r="F19" s="442"/>
      <c r="G19" s="442"/>
      <c r="H19" s="442"/>
      <c r="I19" s="442"/>
      <c r="J19" s="442"/>
      <c r="K19" s="442"/>
    </row>
    <row r="20" spans="1:11" x14ac:dyDescent="0.25">
      <c r="A20" s="47"/>
      <c r="B20" s="47"/>
      <c r="C20" s="68"/>
      <c r="D20" s="68"/>
      <c r="E20" s="68"/>
      <c r="F20" s="68"/>
      <c r="G20" s="68"/>
      <c r="H20" s="68"/>
      <c r="I20" s="68"/>
      <c r="J20" s="68"/>
      <c r="K20" s="68"/>
    </row>
    <row r="21" spans="1:11" ht="28.5" customHeight="1" x14ac:dyDescent="0.25">
      <c r="A21" s="443" t="s">
        <v>199</v>
      </c>
      <c r="B21" s="443" t="s">
        <v>487</v>
      </c>
      <c r="C21" s="443" t="s">
        <v>351</v>
      </c>
      <c r="D21" s="443"/>
      <c r="E21" s="443"/>
      <c r="F21" s="443"/>
      <c r="G21" s="443"/>
      <c r="H21" s="443"/>
      <c r="I21" s="444" t="s">
        <v>198</v>
      </c>
      <c r="J21" s="445" t="s">
        <v>352</v>
      </c>
      <c r="K21" s="443" t="s">
        <v>197</v>
      </c>
    </row>
    <row r="22" spans="1:11" ht="58.5" customHeight="1" x14ac:dyDescent="0.25">
      <c r="A22" s="443"/>
      <c r="B22" s="443"/>
      <c r="C22" s="448" t="s">
        <v>538</v>
      </c>
      <c r="D22" s="448"/>
      <c r="E22" s="448" t="s">
        <v>9</v>
      </c>
      <c r="F22" s="448"/>
      <c r="G22" s="448" t="s">
        <v>539</v>
      </c>
      <c r="H22" s="448"/>
      <c r="I22" s="444"/>
      <c r="J22" s="446"/>
      <c r="K22" s="443"/>
    </row>
    <row r="23" spans="1:11" ht="31.5" x14ac:dyDescent="0.25">
      <c r="A23" s="443"/>
      <c r="B23" s="443"/>
      <c r="C23" s="199" t="s">
        <v>196</v>
      </c>
      <c r="D23" s="199" t="s">
        <v>195</v>
      </c>
      <c r="E23" s="199" t="s">
        <v>196</v>
      </c>
      <c r="F23" s="199" t="s">
        <v>195</v>
      </c>
      <c r="G23" s="199" t="s">
        <v>196</v>
      </c>
      <c r="H23" s="199" t="s">
        <v>195</v>
      </c>
      <c r="I23" s="444"/>
      <c r="J23" s="447"/>
      <c r="K23" s="443"/>
    </row>
    <row r="24" spans="1:11" x14ac:dyDescent="0.25">
      <c r="A24" s="200">
        <v>1</v>
      </c>
      <c r="B24" s="200">
        <v>2</v>
      </c>
      <c r="C24" s="199">
        <v>3</v>
      </c>
      <c r="D24" s="199">
        <v>4</v>
      </c>
      <c r="E24" s="199">
        <v>5</v>
      </c>
      <c r="F24" s="199">
        <v>6</v>
      </c>
      <c r="G24" s="199">
        <v>7</v>
      </c>
      <c r="H24" s="199">
        <v>8</v>
      </c>
      <c r="I24" s="199">
        <v>9</v>
      </c>
      <c r="J24" s="199">
        <v>10</v>
      </c>
      <c r="K24" s="199">
        <v>11</v>
      </c>
    </row>
    <row r="25" spans="1:11" s="50" customFormat="1" x14ac:dyDescent="0.25">
      <c r="A25" s="204">
        <v>1</v>
      </c>
      <c r="B25" s="205" t="s">
        <v>194</v>
      </c>
      <c r="C25" s="206"/>
      <c r="D25" s="206"/>
      <c r="E25" s="212"/>
      <c r="F25" s="212"/>
      <c r="G25" s="212"/>
      <c r="H25" s="212"/>
      <c r="I25" s="212"/>
      <c r="J25" s="195"/>
      <c r="K25" s="196"/>
    </row>
    <row r="26" spans="1:11" s="50" customFormat="1" x14ac:dyDescent="0.25">
      <c r="A26" s="204" t="s">
        <v>488</v>
      </c>
      <c r="B26" s="209" t="s">
        <v>489</v>
      </c>
      <c r="C26" s="206"/>
      <c r="D26" s="206"/>
      <c r="E26" s="213">
        <v>42859</v>
      </c>
      <c r="F26" s="213">
        <v>42859</v>
      </c>
      <c r="G26" s="213"/>
      <c r="H26" s="213"/>
      <c r="I26" s="214"/>
      <c r="J26" s="195"/>
      <c r="K26" s="196"/>
    </row>
    <row r="27" spans="1:11" s="50" customFormat="1" ht="31.5" x14ac:dyDescent="0.25">
      <c r="A27" s="204" t="s">
        <v>490</v>
      </c>
      <c r="B27" s="209" t="s">
        <v>491</v>
      </c>
      <c r="C27" s="206"/>
      <c r="D27" s="206"/>
      <c r="E27" s="213">
        <v>42807</v>
      </c>
      <c r="F27" s="213">
        <v>42807</v>
      </c>
      <c r="G27" s="213"/>
      <c r="H27" s="213"/>
      <c r="I27" s="214"/>
      <c r="J27" s="195"/>
      <c r="K27" s="196"/>
    </row>
    <row r="28" spans="1:11" s="50" customFormat="1" ht="63" x14ac:dyDescent="0.25">
      <c r="A28" s="204" t="s">
        <v>493</v>
      </c>
      <c r="B28" s="209" t="s">
        <v>492</v>
      </c>
      <c r="C28" s="206" t="s">
        <v>436</v>
      </c>
      <c r="D28" s="206" t="s">
        <v>436</v>
      </c>
      <c r="E28" s="213" t="s">
        <v>436</v>
      </c>
      <c r="F28" s="213" t="s">
        <v>436</v>
      </c>
      <c r="G28" s="213" t="s">
        <v>541</v>
      </c>
      <c r="H28" s="213" t="s">
        <v>541</v>
      </c>
      <c r="I28" s="214"/>
      <c r="J28" s="195"/>
      <c r="K28" s="196"/>
    </row>
    <row r="29" spans="1:11" s="50" customFormat="1" ht="31.5" x14ac:dyDescent="0.25">
      <c r="A29" s="204" t="s">
        <v>495</v>
      </c>
      <c r="B29" s="209" t="s">
        <v>494</v>
      </c>
      <c r="C29" s="206" t="s">
        <v>436</v>
      </c>
      <c r="D29" s="206" t="s">
        <v>436</v>
      </c>
      <c r="E29" s="213" t="s">
        <v>436</v>
      </c>
      <c r="F29" s="213" t="s">
        <v>436</v>
      </c>
      <c r="G29" s="213" t="s">
        <v>541</v>
      </c>
      <c r="H29" s="213" t="s">
        <v>541</v>
      </c>
      <c r="I29" s="214"/>
      <c r="J29" s="195"/>
      <c r="K29" s="196"/>
    </row>
    <row r="30" spans="1:11" s="50" customFormat="1" ht="31.5" x14ac:dyDescent="0.25">
      <c r="A30" s="204" t="s">
        <v>497</v>
      </c>
      <c r="B30" s="209" t="s">
        <v>496</v>
      </c>
      <c r="C30" s="206" t="s">
        <v>436</v>
      </c>
      <c r="D30" s="206" t="s">
        <v>436</v>
      </c>
      <c r="E30" s="213" t="s">
        <v>436</v>
      </c>
      <c r="F30" s="213" t="s">
        <v>436</v>
      </c>
      <c r="G30" s="213" t="s">
        <v>541</v>
      </c>
      <c r="H30" s="213" t="s">
        <v>541</v>
      </c>
      <c r="I30" s="214"/>
      <c r="J30" s="195"/>
      <c r="K30" s="196"/>
    </row>
    <row r="31" spans="1:11" s="50" customFormat="1" ht="31.5" x14ac:dyDescent="0.25">
      <c r="A31" s="204" t="s">
        <v>499</v>
      </c>
      <c r="B31" s="209" t="s">
        <v>498</v>
      </c>
      <c r="C31" s="206" t="s">
        <v>436</v>
      </c>
      <c r="D31" s="206" t="s">
        <v>436</v>
      </c>
      <c r="E31" s="213">
        <v>41806</v>
      </c>
      <c r="F31" s="213">
        <v>41806</v>
      </c>
      <c r="G31" s="213" t="s">
        <v>541</v>
      </c>
      <c r="H31" s="213" t="s">
        <v>541</v>
      </c>
      <c r="I31" s="214"/>
      <c r="J31" s="195"/>
      <c r="K31" s="196"/>
    </row>
    <row r="32" spans="1:11" ht="31.5" x14ac:dyDescent="0.25">
      <c r="A32" s="204" t="s">
        <v>501</v>
      </c>
      <c r="B32" s="209" t="s">
        <v>500</v>
      </c>
      <c r="C32" s="206" t="s">
        <v>436</v>
      </c>
      <c r="D32" s="206" t="s">
        <v>436</v>
      </c>
      <c r="E32" s="213">
        <v>42597</v>
      </c>
      <c r="F32" s="213">
        <v>42597</v>
      </c>
      <c r="G32" s="213" t="s">
        <v>541</v>
      </c>
      <c r="H32" s="213" t="s">
        <v>541</v>
      </c>
      <c r="I32" s="214"/>
      <c r="J32" s="195"/>
      <c r="K32" s="196"/>
    </row>
    <row r="33" spans="1:11" ht="47.25" x14ac:dyDescent="0.25">
      <c r="A33" s="204" t="s">
        <v>503</v>
      </c>
      <c r="B33" s="209" t="s">
        <v>502</v>
      </c>
      <c r="C33" s="206" t="s">
        <v>436</v>
      </c>
      <c r="D33" s="206" t="s">
        <v>436</v>
      </c>
      <c r="E33" s="213">
        <v>42720</v>
      </c>
      <c r="F33" s="213">
        <v>42720</v>
      </c>
      <c r="G33" s="213" t="s">
        <v>541</v>
      </c>
      <c r="H33" s="213" t="s">
        <v>541</v>
      </c>
      <c r="I33" s="214"/>
      <c r="J33" s="195"/>
      <c r="K33" s="196"/>
    </row>
    <row r="34" spans="1:11" ht="63" x14ac:dyDescent="0.25">
      <c r="A34" s="204" t="s">
        <v>505</v>
      </c>
      <c r="B34" s="209" t="s">
        <v>504</v>
      </c>
      <c r="C34" s="206" t="s">
        <v>436</v>
      </c>
      <c r="D34" s="206" t="s">
        <v>436</v>
      </c>
      <c r="E34" s="213" t="s">
        <v>436</v>
      </c>
      <c r="F34" s="213" t="s">
        <v>436</v>
      </c>
      <c r="G34" s="213" t="s">
        <v>541</v>
      </c>
      <c r="H34" s="213" t="s">
        <v>541</v>
      </c>
      <c r="I34" s="214"/>
      <c r="J34" s="197"/>
      <c r="K34" s="197"/>
    </row>
    <row r="35" spans="1:11" ht="31.5" x14ac:dyDescent="0.25">
      <c r="A35" s="204" t="s">
        <v>506</v>
      </c>
      <c r="B35" s="209" t="s">
        <v>193</v>
      </c>
      <c r="C35" s="206" t="s">
        <v>436</v>
      </c>
      <c r="D35" s="206" t="s">
        <v>436</v>
      </c>
      <c r="E35" s="213">
        <v>42731</v>
      </c>
      <c r="F35" s="213">
        <v>42731</v>
      </c>
      <c r="G35" s="213" t="s">
        <v>541</v>
      </c>
      <c r="H35" s="213" t="s">
        <v>541</v>
      </c>
      <c r="I35" s="214"/>
      <c r="J35" s="197"/>
      <c r="K35" s="197"/>
    </row>
    <row r="36" spans="1:11" ht="31.5" x14ac:dyDescent="0.25">
      <c r="A36" s="204" t="s">
        <v>508</v>
      </c>
      <c r="B36" s="209" t="s">
        <v>507</v>
      </c>
      <c r="C36" s="206" t="s">
        <v>436</v>
      </c>
      <c r="D36" s="206" t="s">
        <v>436</v>
      </c>
      <c r="E36" s="213">
        <v>42993</v>
      </c>
      <c r="F36" s="213">
        <v>42993</v>
      </c>
      <c r="G36" s="213" t="s">
        <v>541</v>
      </c>
      <c r="H36" s="213" t="s">
        <v>541</v>
      </c>
      <c r="I36" s="214"/>
      <c r="J36" s="208"/>
      <c r="K36" s="196"/>
    </row>
    <row r="37" spans="1:11" x14ac:dyDescent="0.25">
      <c r="A37" s="204" t="s">
        <v>509</v>
      </c>
      <c r="B37" s="209" t="s">
        <v>192</v>
      </c>
      <c r="C37" s="206" t="s">
        <v>436</v>
      </c>
      <c r="D37" s="206" t="s">
        <v>436</v>
      </c>
      <c r="E37" s="213">
        <v>43054</v>
      </c>
      <c r="F37" s="213">
        <v>43305</v>
      </c>
      <c r="G37" s="213" t="s">
        <v>541</v>
      </c>
      <c r="H37" s="213" t="s">
        <v>541</v>
      </c>
      <c r="I37" s="214"/>
      <c r="J37" s="198"/>
      <c r="K37" s="196"/>
    </row>
    <row r="38" spans="1:11" x14ac:dyDescent="0.25">
      <c r="A38" s="207" t="s">
        <v>510</v>
      </c>
      <c r="B38" s="210" t="s">
        <v>191</v>
      </c>
      <c r="C38" s="206" t="s">
        <v>436</v>
      </c>
      <c r="D38" s="206" t="s">
        <v>436</v>
      </c>
      <c r="E38" s="213"/>
      <c r="F38" s="213"/>
      <c r="G38" s="213" t="s">
        <v>541</v>
      </c>
      <c r="H38" s="213" t="s">
        <v>541</v>
      </c>
      <c r="I38" s="214"/>
      <c r="J38" s="196"/>
      <c r="K38" s="196"/>
    </row>
    <row r="39" spans="1:11" ht="63" x14ac:dyDescent="0.25">
      <c r="A39" s="204" t="s">
        <v>512</v>
      </c>
      <c r="B39" s="209" t="s">
        <v>511</v>
      </c>
      <c r="C39" s="206" t="s">
        <v>436</v>
      </c>
      <c r="D39" s="206" t="s">
        <v>436</v>
      </c>
      <c r="E39" s="213">
        <v>42843</v>
      </c>
      <c r="F39" s="213">
        <v>42843</v>
      </c>
      <c r="G39" s="213" t="s">
        <v>541</v>
      </c>
      <c r="H39" s="213" t="s">
        <v>541</v>
      </c>
      <c r="I39" s="214"/>
      <c r="J39" s="196"/>
      <c r="K39" s="196"/>
    </row>
    <row r="40" spans="1:11" x14ac:dyDescent="0.25">
      <c r="A40" s="204" t="s">
        <v>514</v>
      </c>
      <c r="B40" s="209" t="s">
        <v>513</v>
      </c>
      <c r="C40" s="206" t="s">
        <v>436</v>
      </c>
      <c r="D40" s="206" t="s">
        <v>436</v>
      </c>
      <c r="E40" s="213">
        <v>43038</v>
      </c>
      <c r="F40" s="213">
        <v>43038</v>
      </c>
      <c r="G40" s="213" t="s">
        <v>541</v>
      </c>
      <c r="H40" s="213" t="s">
        <v>541</v>
      </c>
      <c r="I40" s="214"/>
      <c r="J40" s="196"/>
      <c r="K40" s="196"/>
    </row>
    <row r="41" spans="1:11" ht="47.25" x14ac:dyDescent="0.25">
      <c r="A41" s="204" t="s">
        <v>516</v>
      </c>
      <c r="B41" s="210" t="s">
        <v>515</v>
      </c>
      <c r="C41" s="206" t="s">
        <v>436</v>
      </c>
      <c r="D41" s="206" t="s">
        <v>436</v>
      </c>
      <c r="E41" s="213"/>
      <c r="F41" s="213"/>
      <c r="G41" s="213" t="s">
        <v>541</v>
      </c>
      <c r="H41" s="213" t="s">
        <v>541</v>
      </c>
      <c r="I41" s="214"/>
      <c r="J41" s="196"/>
      <c r="K41" s="196"/>
    </row>
    <row r="42" spans="1:11" ht="31.5" x14ac:dyDescent="0.25">
      <c r="A42" s="204" t="s">
        <v>518</v>
      </c>
      <c r="B42" s="209" t="s">
        <v>517</v>
      </c>
      <c r="C42" s="206" t="s">
        <v>436</v>
      </c>
      <c r="D42" s="206" t="s">
        <v>436</v>
      </c>
      <c r="E42" s="213">
        <v>43070</v>
      </c>
      <c r="F42" s="213">
        <v>43097</v>
      </c>
      <c r="G42" s="213" t="s">
        <v>541</v>
      </c>
      <c r="H42" s="213" t="s">
        <v>541</v>
      </c>
      <c r="I42" s="214"/>
      <c r="J42" s="196"/>
      <c r="K42" s="196"/>
    </row>
    <row r="43" spans="1:11" x14ac:dyDescent="0.25">
      <c r="A43" s="204" t="s">
        <v>519</v>
      </c>
      <c r="B43" s="209" t="s">
        <v>190</v>
      </c>
      <c r="C43" s="206" t="s">
        <v>436</v>
      </c>
      <c r="D43" s="206" t="s">
        <v>436</v>
      </c>
      <c r="E43" s="213">
        <v>43054</v>
      </c>
      <c r="F43" s="213">
        <v>43218</v>
      </c>
      <c r="G43" s="213" t="s">
        <v>541</v>
      </c>
      <c r="H43" s="213" t="s">
        <v>541</v>
      </c>
      <c r="I43" s="214"/>
      <c r="J43" s="196"/>
      <c r="K43" s="196"/>
    </row>
    <row r="44" spans="1:11" x14ac:dyDescent="0.25">
      <c r="A44" s="204" t="s">
        <v>520</v>
      </c>
      <c r="B44" s="209" t="s">
        <v>189</v>
      </c>
      <c r="C44" s="206" t="s">
        <v>436</v>
      </c>
      <c r="D44" s="206" t="s">
        <v>436</v>
      </c>
      <c r="E44" s="213">
        <v>43084</v>
      </c>
      <c r="F44" s="213">
        <v>43266</v>
      </c>
      <c r="G44" s="213" t="s">
        <v>541</v>
      </c>
      <c r="H44" s="213" t="s">
        <v>541</v>
      </c>
      <c r="I44" s="214"/>
      <c r="J44" s="196"/>
      <c r="K44" s="196"/>
    </row>
    <row r="45" spans="1:11" ht="78.75" x14ac:dyDescent="0.25">
      <c r="A45" s="204" t="s">
        <v>522</v>
      </c>
      <c r="B45" s="209" t="s">
        <v>521</v>
      </c>
      <c r="C45" s="206" t="s">
        <v>436</v>
      </c>
      <c r="D45" s="206" t="s">
        <v>436</v>
      </c>
      <c r="E45" s="213">
        <v>43343</v>
      </c>
      <c r="F45" s="213">
        <v>43343</v>
      </c>
      <c r="G45" s="213" t="s">
        <v>541</v>
      </c>
      <c r="H45" s="213" t="s">
        <v>541</v>
      </c>
      <c r="I45" s="214"/>
      <c r="J45" s="196"/>
      <c r="K45" s="196"/>
    </row>
    <row r="46" spans="1:11" ht="157.5" x14ac:dyDescent="0.25">
      <c r="A46" s="204" t="s">
        <v>524</v>
      </c>
      <c r="B46" s="209" t="s">
        <v>523</v>
      </c>
      <c r="C46" s="206" t="s">
        <v>436</v>
      </c>
      <c r="D46" s="206" t="s">
        <v>436</v>
      </c>
      <c r="E46" s="213">
        <v>43319</v>
      </c>
      <c r="F46" s="213">
        <v>43319</v>
      </c>
      <c r="G46" s="213" t="s">
        <v>541</v>
      </c>
      <c r="H46" s="213" t="s">
        <v>541</v>
      </c>
      <c r="I46" s="214"/>
      <c r="J46" s="196"/>
      <c r="K46" s="196"/>
    </row>
    <row r="47" spans="1:11" x14ac:dyDescent="0.25">
      <c r="A47" s="204" t="s">
        <v>534</v>
      </c>
      <c r="B47" s="209" t="s">
        <v>188</v>
      </c>
      <c r="C47" s="206" t="s">
        <v>436</v>
      </c>
      <c r="D47" s="206" t="s">
        <v>436</v>
      </c>
      <c r="E47" s="213">
        <v>43220</v>
      </c>
      <c r="F47" s="213">
        <v>43318</v>
      </c>
      <c r="G47" s="213" t="s">
        <v>541</v>
      </c>
      <c r="H47" s="213" t="s">
        <v>541</v>
      </c>
      <c r="I47" s="214"/>
      <c r="J47" s="196"/>
      <c r="K47" s="196"/>
    </row>
    <row r="48" spans="1:11" ht="31.5" x14ac:dyDescent="0.25">
      <c r="A48" s="204" t="s">
        <v>525</v>
      </c>
      <c r="B48" s="210" t="s">
        <v>187</v>
      </c>
      <c r="C48" s="206" t="s">
        <v>436</v>
      </c>
      <c r="D48" s="206" t="s">
        <v>436</v>
      </c>
      <c r="E48" s="213"/>
      <c r="F48" s="213"/>
      <c r="G48" s="213" t="s">
        <v>541</v>
      </c>
      <c r="H48" s="213" t="s">
        <v>541</v>
      </c>
      <c r="I48" s="214"/>
      <c r="J48" s="196"/>
      <c r="K48" s="196"/>
    </row>
    <row r="49" spans="1:11" ht="31.5" x14ac:dyDescent="0.25">
      <c r="A49" s="204" t="s">
        <v>535</v>
      </c>
      <c r="B49" s="209" t="s">
        <v>186</v>
      </c>
      <c r="C49" s="206" t="s">
        <v>436</v>
      </c>
      <c r="D49" s="206" t="s">
        <v>436</v>
      </c>
      <c r="E49" s="213">
        <v>43318</v>
      </c>
      <c r="F49" s="213">
        <v>43320</v>
      </c>
      <c r="G49" s="213" t="s">
        <v>541</v>
      </c>
      <c r="H49" s="213" t="s">
        <v>541</v>
      </c>
      <c r="I49" s="214"/>
      <c r="J49" s="196"/>
      <c r="K49" s="196"/>
    </row>
    <row r="50" spans="1:11" ht="78.75" x14ac:dyDescent="0.25">
      <c r="A50" s="207" t="s">
        <v>527</v>
      </c>
      <c r="B50" s="209" t="s">
        <v>526</v>
      </c>
      <c r="C50" s="206" t="s">
        <v>436</v>
      </c>
      <c r="D50" s="206" t="s">
        <v>436</v>
      </c>
      <c r="E50" s="213">
        <v>43343</v>
      </c>
      <c r="F50" s="213">
        <v>43343</v>
      </c>
      <c r="G50" s="213" t="s">
        <v>541</v>
      </c>
      <c r="H50" s="213" t="s">
        <v>541</v>
      </c>
      <c r="I50" s="214"/>
      <c r="J50" s="196"/>
      <c r="K50" s="196"/>
    </row>
    <row r="51" spans="1:11" ht="63" x14ac:dyDescent="0.25">
      <c r="A51" s="204" t="s">
        <v>529</v>
      </c>
      <c r="B51" s="209" t="s">
        <v>528</v>
      </c>
      <c r="C51" s="206" t="s">
        <v>436</v>
      </c>
      <c r="D51" s="206" t="s">
        <v>436</v>
      </c>
      <c r="E51" s="213">
        <v>43343</v>
      </c>
      <c r="F51" s="213">
        <v>43343</v>
      </c>
      <c r="G51" s="213" t="s">
        <v>541</v>
      </c>
      <c r="H51" s="213" t="s">
        <v>541</v>
      </c>
      <c r="I51" s="214"/>
      <c r="J51" s="196"/>
      <c r="K51" s="196"/>
    </row>
    <row r="52" spans="1:11" ht="63" x14ac:dyDescent="0.25">
      <c r="A52" s="204" t="s">
        <v>530</v>
      </c>
      <c r="B52" s="209" t="s">
        <v>185</v>
      </c>
      <c r="C52" s="206" t="s">
        <v>436</v>
      </c>
      <c r="D52" s="206" t="s">
        <v>436</v>
      </c>
      <c r="E52" s="213"/>
      <c r="F52" s="213"/>
      <c r="G52" s="213" t="s">
        <v>541</v>
      </c>
      <c r="H52" s="213" t="s">
        <v>541</v>
      </c>
      <c r="I52" s="214"/>
      <c r="J52" s="196"/>
      <c r="K52" s="196"/>
    </row>
    <row r="53" spans="1:11" ht="31.5" x14ac:dyDescent="0.25">
      <c r="A53" s="204" t="s">
        <v>532</v>
      </c>
      <c r="B53" s="209" t="s">
        <v>531</v>
      </c>
      <c r="C53" s="206">
        <v>43831</v>
      </c>
      <c r="D53" s="206">
        <v>43920</v>
      </c>
      <c r="E53" s="213">
        <v>43343</v>
      </c>
      <c r="F53" s="213">
        <v>43343</v>
      </c>
      <c r="G53" s="213" t="s">
        <v>541</v>
      </c>
      <c r="H53" s="213" t="s">
        <v>541</v>
      </c>
      <c r="I53" s="214"/>
      <c r="J53" s="196"/>
      <c r="K53" s="196"/>
    </row>
    <row r="54" spans="1:11" ht="31.5" x14ac:dyDescent="0.25">
      <c r="A54" s="204" t="s">
        <v>536</v>
      </c>
      <c r="B54" s="209" t="s">
        <v>184</v>
      </c>
      <c r="C54" s="206" t="s">
        <v>436</v>
      </c>
      <c r="D54" s="206"/>
      <c r="E54" s="213">
        <v>43353</v>
      </c>
      <c r="F54" s="213">
        <v>43353</v>
      </c>
      <c r="G54" s="213" t="s">
        <v>541</v>
      </c>
      <c r="H54" s="213" t="s">
        <v>541</v>
      </c>
      <c r="I54" s="214"/>
      <c r="J54" s="196"/>
      <c r="K54" s="19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2021-03-31T00:05:28Z</dcterms:modified>
</cp:coreProperties>
</file>