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паспорта,карты,формы 20, РС, ПЗ, акты\J 19-06\J 19-06_обоснование стоимости\"/>
    </mc:Choice>
  </mc:AlternateContent>
  <xr:revisionPtr revIDLastSave="0" documentId="13_ncr:1_{892F1032-11BA-467B-983D-B39E328D778B}" xr6:coauthVersionLast="46" xr6:coauthVersionMax="46" xr10:uidLastSave="{00000000-0000-0000-0000-000000000000}"/>
  <bookViews>
    <workbookView xWindow="150" yWindow="0" windowWidth="28800" windowHeight="15600" tabRatio="492" activeTab="3" xr2:uid="{00000000-000D-0000-FFFF-FFFF00000000}"/>
  </bookViews>
  <sheets>
    <sheet name="ССР 2 кв 2018" sheetId="4" r:id="rId1"/>
    <sheet name="ССР 2001" sheetId="7" r:id="rId2"/>
    <sheet name="ПИР" sheetId="6" r:id="rId3"/>
    <sheet name="сводка затрат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81029"/>
</workbook>
</file>

<file path=xl/calcChain.xml><?xml version="1.0" encoding="utf-8"?>
<calcChain xmlns="http://schemas.openxmlformats.org/spreadsheetml/2006/main">
  <c r="I21" i="2" l="1"/>
  <c r="J21" i="2"/>
  <c r="E9" i="2"/>
  <c r="F9" i="2"/>
  <c r="H9" i="2"/>
  <c r="D9" i="2"/>
  <c r="F11" i="2"/>
  <c r="G11" i="2"/>
  <c r="G9" i="2" s="1"/>
  <c r="H11" i="2"/>
  <c r="E11" i="2"/>
  <c r="D11" i="2"/>
  <c r="E19" i="2"/>
  <c r="F19" i="2"/>
  <c r="G19" i="2"/>
  <c r="H19" i="2"/>
  <c r="D19" i="2"/>
  <c r="I20" i="2"/>
  <c r="J20" i="2" s="1"/>
  <c r="D20" i="2"/>
  <c r="G23" i="7" l="1"/>
  <c r="G24" i="7" s="1"/>
  <c r="G18" i="7"/>
  <c r="H18" i="7" s="1"/>
  <c r="F11" i="7"/>
  <c r="E11" i="7"/>
  <c r="E12" i="7" s="1"/>
  <c r="E14" i="7" s="1"/>
  <c r="E15" i="7" s="1"/>
  <c r="E16" i="7" s="1"/>
  <c r="D11" i="7"/>
  <c r="D12" i="7" s="1"/>
  <c r="D14" i="7" s="1"/>
  <c r="F24" i="7"/>
  <c r="E24" i="7"/>
  <c r="D24" i="7"/>
  <c r="F20" i="7"/>
  <c r="G12" i="7"/>
  <c r="F12" i="7"/>
  <c r="F14" i="7" s="1"/>
  <c r="F15" i="7" s="1"/>
  <c r="F16" i="7" s="1"/>
  <c r="G31" i="4"/>
  <c r="D11" i="4"/>
  <c r="H11" i="4" s="1"/>
  <c r="E11" i="4"/>
  <c r="F21" i="7" l="1"/>
  <c r="F25" i="7" s="1"/>
  <c r="G20" i="7"/>
  <c r="H23" i="7"/>
  <c r="H24" i="7" s="1"/>
  <c r="H11" i="7"/>
  <c r="H12" i="7" s="1"/>
  <c r="D15" i="7"/>
  <c r="D16" i="7" s="1"/>
  <c r="E19" i="7"/>
  <c r="E20" i="7" s="1"/>
  <c r="E21" i="7" s="1"/>
  <c r="E25" i="7" s="1"/>
  <c r="G14" i="7"/>
  <c r="G15" i="7" s="1"/>
  <c r="G16" i="7" s="1"/>
  <c r="G21" i="7" s="1"/>
  <c r="G25" i="7" s="1"/>
  <c r="G7" i="2"/>
  <c r="F24" i="4"/>
  <c r="H25" i="6"/>
  <c r="G33" i="6" s="1"/>
  <c r="H21" i="6"/>
  <c r="G32" i="6" s="1"/>
  <c r="G26" i="7" l="1"/>
  <c r="G27" i="7"/>
  <c r="G28" i="7" s="1"/>
  <c r="E26" i="7"/>
  <c r="E27" i="7" s="1"/>
  <c r="E28" i="7" s="1"/>
  <c r="F26" i="7"/>
  <c r="F27" i="7" s="1"/>
  <c r="D19" i="7"/>
  <c r="H14" i="7"/>
  <c r="H15" i="7" s="1"/>
  <c r="H16" i="7" s="1"/>
  <c r="G34" i="6"/>
  <c r="G23" i="4" s="1"/>
  <c r="G32" i="4" s="1"/>
  <c r="D7" i="2" s="1"/>
  <c r="F28" i="7" l="1"/>
  <c r="F29" i="7"/>
  <c r="E29" i="7"/>
  <c r="G29" i="7"/>
  <c r="D20" i="7"/>
  <c r="D21" i="7" s="1"/>
  <c r="D25" i="7" s="1"/>
  <c r="H19" i="7"/>
  <c r="H20" i="7" s="1"/>
  <c r="H21" i="7" s="1"/>
  <c r="H25" i="7" s="1"/>
  <c r="F36" i="6"/>
  <c r="G20" i="4"/>
  <c r="F20" i="4"/>
  <c r="G15" i="4"/>
  <c r="G16" i="4" s="1"/>
  <c r="G21" i="4" s="1"/>
  <c r="G25" i="4" s="1"/>
  <c r="D14" i="4"/>
  <c r="E24" i="4"/>
  <c r="D24" i="4"/>
  <c r="G24" i="4"/>
  <c r="H18" i="4"/>
  <c r="G12" i="4"/>
  <c r="G14" i="4" s="1"/>
  <c r="F12" i="4"/>
  <c r="D12" i="4"/>
  <c r="G26" i="4" l="1"/>
  <c r="G27" i="4" s="1"/>
  <c r="H36" i="6"/>
  <c r="H38" i="6" s="1"/>
  <c r="H26" i="7"/>
  <c r="H27" i="7" s="1"/>
  <c r="H28" i="7" s="1"/>
  <c r="D15" i="4"/>
  <c r="D16" i="4" s="1"/>
  <c r="D26" i="7"/>
  <c r="D27" i="7"/>
  <c r="D28" i="7" s="1"/>
  <c r="F14" i="4"/>
  <c r="E12" i="4"/>
  <c r="H23" i="4"/>
  <c r="H24" i="4" s="1"/>
  <c r="H12" i="4"/>
  <c r="D19" i="4" l="1"/>
  <c r="G28" i="4"/>
  <c r="G29" i="4"/>
  <c r="D29" i="7"/>
  <c r="H29" i="7"/>
  <c r="E14" i="4"/>
  <c r="F15" i="4"/>
  <c r="F16" i="4" s="1"/>
  <c r="F21" i="4" s="1"/>
  <c r="F25" i="4" s="1"/>
  <c r="D20" i="4" l="1"/>
  <c r="D21" i="4" s="1"/>
  <c r="D25" i="4" s="1"/>
  <c r="F26" i="4"/>
  <c r="F27" i="4"/>
  <c r="E15" i="4"/>
  <c r="E16" i="4" s="1"/>
  <c r="H14" i="4"/>
  <c r="H15" i="4" s="1"/>
  <c r="H16" i="4" s="1"/>
  <c r="D21" i="2"/>
  <c r="F31" i="4" l="1"/>
  <c r="F28" i="4"/>
  <c r="F29" i="4" s="1"/>
  <c r="H21" i="2"/>
  <c r="D26" i="4"/>
  <c r="D27" i="4" s="1"/>
  <c r="E19" i="4"/>
  <c r="G21" i="2"/>
  <c r="F7" i="2"/>
  <c r="D28" i="4" l="1"/>
  <c r="D29" i="4"/>
  <c r="H19" i="4"/>
  <c r="H20" i="4" s="1"/>
  <c r="H21" i="4" s="1"/>
  <c r="H25" i="4" s="1"/>
  <c r="E20" i="4"/>
  <c r="E21" i="4" s="1"/>
  <c r="E25" i="4" s="1"/>
  <c r="H26" i="4" l="1"/>
  <c r="H27" i="4" s="1"/>
  <c r="E26" i="4"/>
  <c r="E27" i="4"/>
  <c r="H28" i="4" l="1"/>
  <c r="H29" i="4"/>
  <c r="E28" i="4"/>
  <c r="E29" i="4" s="1"/>
  <c r="E31" i="4"/>
  <c r="E7" i="2" s="1"/>
  <c r="I7" i="2" l="1"/>
  <c r="J7" i="2" s="1"/>
  <c r="F21" i="2"/>
  <c r="I9" i="2" l="1"/>
  <c r="J9" i="2" s="1"/>
  <c r="I11" i="2" l="1"/>
  <c r="J11" i="2" s="1"/>
  <c r="E21" i="2" l="1"/>
</calcChain>
</file>

<file path=xl/sharedStrings.xml><?xml version="1.0" encoding="utf-8"?>
<sst xmlns="http://schemas.openxmlformats.org/spreadsheetml/2006/main" count="177" uniqueCount="132">
  <si>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</si>
  <si>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</si>
  <si>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</si>
  <si>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</si>
  <si>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</si>
  <si>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</si>
  <si>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</si>
  <si>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</si>
  <si>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</si>
  <si>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</si>
  <si>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</si>
  <si>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</si>
  <si>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</si>
  <si>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</si>
  <si>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</si>
  <si>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</si>
  <si>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</si>
  <si>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Коэффициенты перевода в текущие цены в базу 2001г по письму Минрегиона Письмо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</si>
  <si>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</si>
  <si>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</si>
  <si>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</si>
  <si>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</si>
  <si>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</si>
  <si>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</si>
  <si>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</si>
  <si>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</si>
  <si>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</si>
  <si>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</si>
  <si>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</si>
  <si>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</si>
  <si>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</si>
  <si>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</si>
  <si>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</si>
  <si>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</si>
  <si>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</si>
  <si>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</si>
  <si>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</si>
  <si>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</si>
  <si>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</si>
  <si>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</si>
  <si>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</si>
  <si>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</si>
  <si>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</si>
  <si>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</si>
  <si>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</si>
  <si>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</si>
  <si>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</si>
  <si>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</si>
  <si>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</si>
  <si>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</si>
  <si>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</si>
  <si>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</si>
  <si>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</si>
  <si>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</si>
  <si>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</si>
  <si>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</si>
  <si>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пнр</t>
  </si>
  <si>
    <t>Оборудование</t>
  </si>
  <si>
    <t>Пусконаладочные работы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</si>
  <si>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</si>
  <si>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</si>
  <si>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</si>
  <si>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</si>
  <si>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</si>
  <si>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</si>
  <si>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</si>
  <si>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</si>
  <si>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</si>
  <si>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</si>
  <si>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</si>
  <si>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</si>
  <si>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</si>
  <si>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</si>
  <si>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</si>
  <si>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</si>
  <si>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</si>
  <si>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</si>
  <si>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</si>
  <si>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</si>
  <si>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</si>
  <si>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</si>
  <si>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</si>
  <si>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</si>
  <si>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</si>
  <si>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</si>
  <si>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</si>
  <si>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</si>
  <si>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</si>
  <si>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</si>
  <si>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</si>
  <si>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</si>
  <si>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</si>
  <si>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</si>
  <si>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</si>
  <si>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</si>
  <si>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</si>
  <si>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</si>
  <si>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</si>
  <si>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*0,18</t>
  </si>
  <si>
    <t>Всего с НДС:</t>
  </si>
  <si>
    <t xml:space="preserve">СМЕТА </t>
  </si>
  <si>
    <t>СБЦ "Коммунальные инженерные сети и</t>
  </si>
  <si>
    <t>сооружения", 2012</t>
  </si>
  <si>
    <t>2.8.1.1 основных положений сборника)</t>
  </si>
  <si>
    <t xml:space="preserve">Коэффициент учитывающий </t>
  </si>
  <si>
    <t xml:space="preserve">усложняющие факторы </t>
  </si>
  <si>
    <t>с коэф. застройки 0,3 до 0,5</t>
  </si>
  <si>
    <t>НДС-18%</t>
  </si>
  <si>
    <t xml:space="preserve">Составил:  </t>
  </si>
  <si>
    <t xml:space="preserve">Проверил:  </t>
  </si>
  <si>
    <t>Таблица 37, пункт 9 (с учетом пункта</t>
  </si>
  <si>
    <t>210,54*0,5*1,2*3,83*1000</t>
  </si>
  <si>
    <t>Составлен в базовых ценах 2001г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</si>
  <si>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</si>
  <si>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</si>
  <si>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</si>
  <si>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</si>
  <si>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</si>
  <si>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</si>
  <si>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</si>
  <si>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</si>
  <si>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</si>
  <si>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</si>
  <si>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</si>
  <si>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</si>
  <si>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</si>
  <si>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J 19-06</t>
  </si>
  <si>
    <t>Реконструкция РП-15кВ В-46 п. Южный 1, Багратионовского района</t>
  </si>
  <si>
    <t xml:space="preserve">Реконструкция РП-15кВ В-46 </t>
  </si>
  <si>
    <t>Распределительный пункт</t>
  </si>
  <si>
    <t>6-20 кВ</t>
  </si>
  <si>
    <t>Сметная стоимость в ценах 2021 uода ввода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</si>
</sst>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2" fillId="0" borderId="0"/>
    <xf numFmtId="0" fontId="8" fillId="0" borderId="0"/>
    <xf numFmtId="0" fontId="3" fillId="0" borderId="0"/>
    <xf numFmtId="0" fontId="9" fillId="0" borderId="0"/>
    <xf numFmtId="1" fontId="10" fillId="0" borderId="10">
      <alignment horizontal="center"/>
    </xf>
    <xf numFmtId="0" fontId="8" fillId="0" borderId="0"/>
    <xf numFmtId="166" fontId="11" fillId="0" borderId="0" applyFont="0" applyFill="0" applyBorder="0" applyAlignment="0" applyProtection="0"/>
    <xf numFmtId="0" fontId="11" fillId="0" borderId="0"/>
    <xf numFmtId="0" fontId="11" fillId="0" borderId="0"/>
  </cellStyleXfs>
  <cellXfs count="200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5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5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5" fontId="4" fillId="4" borderId="6" xfId="4" applyNumberFormat="1" applyFont="1" applyFill="1" applyBorder="1" applyAlignment="1">
      <alignment horizontal="center" vertical="center" wrapText="1"/>
    </xf>
    <xf numFmtId="165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5" fontId="4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5" fontId="3" fillId="3" borderId="6" xfId="4" applyNumberFormat="1" applyFont="1" applyFill="1" applyBorder="1" applyAlignment="1">
      <alignment horizontal="center" vertical="center" wrapText="1"/>
    </xf>
    <xf numFmtId="167" fontId="4" fillId="3" borderId="6" xfId="4" applyNumberFormat="1" applyFont="1" applyFill="1" applyBorder="1" applyAlignment="1">
      <alignment horizontal="left" vertical="center" wrapText="1"/>
    </xf>
    <xf numFmtId="0" fontId="5" fillId="0" borderId="0" xfId="4" applyFont="1" applyFill="1"/>
    <xf numFmtId="167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7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5" fontId="7" fillId="4" borderId="6" xfId="4" applyNumberFormat="1" applyFont="1" applyFill="1" applyBorder="1" applyAlignment="1">
      <alignment horizontal="center" vertical="top"/>
    </xf>
    <xf numFmtId="165" fontId="7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5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5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5" fontId="5" fillId="0" borderId="0" xfId="4" applyNumberFormat="1" applyFont="1"/>
    <xf numFmtId="0" fontId="11" fillId="0" borderId="0" xfId="12"/>
    <xf numFmtId="0" fontId="11" fillId="0" borderId="0" xfId="12" applyFont="1"/>
    <xf numFmtId="0" fontId="11" fillId="0" borderId="0" xfId="12" applyAlignment="1">
      <alignment horizontal="center"/>
    </xf>
    <xf numFmtId="0" fontId="19" fillId="0" borderId="0" xfId="12" applyFont="1" applyAlignment="1"/>
    <xf numFmtId="0" fontId="19" fillId="0" borderId="0" xfId="12" applyFont="1"/>
    <xf numFmtId="0" fontId="13" fillId="0" borderId="0" xfId="12" applyFont="1"/>
    <xf numFmtId="0" fontId="11" fillId="0" borderId="0" xfId="12" applyAlignment="1">
      <alignment horizontal="right"/>
    </xf>
    <xf numFmtId="0" fontId="11" fillId="0" borderId="0" xfId="12" applyFont="1" applyAlignment="1"/>
    <xf numFmtId="0" fontId="11" fillId="0" borderId="0" xfId="12" applyFont="1" applyBorder="1"/>
    <xf numFmtId="0" fontId="11" fillId="0" borderId="0" xfId="12" applyFont="1" applyBorder="1" applyAlignment="1">
      <alignment horizontal="center"/>
    </xf>
    <xf numFmtId="0" fontId="11" fillId="0" borderId="0" xfId="12" applyBorder="1"/>
    <xf numFmtId="0" fontId="11" fillId="0" borderId="0" xfId="12" applyBorder="1" applyAlignment="1">
      <alignment horizontal="right"/>
    </xf>
    <xf numFmtId="0" fontId="11" fillId="0" borderId="0" xfId="12" applyBorder="1" applyAlignment="1">
      <alignment horizontal="center"/>
    </xf>
    <xf numFmtId="0" fontId="13" fillId="0" borderId="0" xfId="12" applyFont="1" applyBorder="1"/>
    <xf numFmtId="0" fontId="11" fillId="0" borderId="1" xfId="12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7" xfId="12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1" fillId="0" borderId="6" xfId="12" applyFont="1" applyBorder="1" applyAlignment="1">
      <alignment horizontal="center"/>
    </xf>
    <xf numFmtId="4" fontId="15" fillId="0" borderId="0" xfId="12" applyNumberFormat="1" applyFont="1" applyFill="1" applyBorder="1"/>
    <xf numFmtId="0" fontId="11" fillId="0" borderId="1" xfId="12" applyBorder="1" applyAlignment="1">
      <alignment horizontal="center"/>
    </xf>
    <xf numFmtId="0" fontId="11" fillId="0" borderId="1" xfId="12" applyFont="1" applyBorder="1"/>
    <xf numFmtId="0" fontId="11" fillId="0" borderId="2" xfId="12" applyBorder="1"/>
    <xf numFmtId="0" fontId="11" fillId="0" borderId="11" xfId="12" applyBorder="1" applyAlignment="1">
      <alignment horizontal="center"/>
    </xf>
    <xf numFmtId="0" fontId="11" fillId="0" borderId="12" xfId="12" applyBorder="1"/>
    <xf numFmtId="4" fontId="17" fillId="0" borderId="2" xfId="12" applyNumberFormat="1" applyFont="1" applyFill="1" applyBorder="1"/>
    <xf numFmtId="4" fontId="11" fillId="0" borderId="12" xfId="12" applyNumberFormat="1" applyBorder="1"/>
    <xf numFmtId="4" fontId="11" fillId="0" borderId="1" xfId="12" applyNumberFormat="1" applyBorder="1" applyAlignment="1">
      <alignment horizontal="right"/>
    </xf>
    <xf numFmtId="0" fontId="11" fillId="0" borderId="7" xfId="12" applyBorder="1" applyAlignment="1">
      <alignment horizontal="center"/>
    </xf>
    <xf numFmtId="0" fontId="11" fillId="0" borderId="13" xfId="12" applyBorder="1"/>
    <xf numFmtId="0" fontId="11" fillId="0" borderId="14" xfId="12" applyBorder="1"/>
    <xf numFmtId="4" fontId="11" fillId="0" borderId="13" xfId="12" applyNumberFormat="1" applyBorder="1"/>
    <xf numFmtId="4" fontId="11" fillId="0" borderId="14" xfId="12" applyNumberFormat="1" applyBorder="1"/>
    <xf numFmtId="4" fontId="11" fillId="0" borderId="7" xfId="12" applyNumberFormat="1" applyBorder="1"/>
    <xf numFmtId="0" fontId="11" fillId="0" borderId="13" xfId="12" applyFill="1" applyBorder="1"/>
    <xf numFmtId="4" fontId="11" fillId="0" borderId="7" xfId="12" applyNumberFormat="1" applyBorder="1" applyAlignment="1">
      <alignment horizontal="right"/>
    </xf>
    <xf numFmtId="0" fontId="11" fillId="0" borderId="7" xfId="12" applyFont="1" applyBorder="1"/>
    <xf numFmtId="4" fontId="17" fillId="0" borderId="13" xfId="12" applyNumberFormat="1" applyFont="1" applyFill="1" applyBorder="1"/>
    <xf numFmtId="0" fontId="11" fillId="0" borderId="7" xfId="12" applyBorder="1"/>
    <xf numFmtId="2" fontId="11" fillId="0" borderId="0" xfId="12" applyNumberFormat="1" applyFont="1" applyFill="1" applyBorder="1" applyAlignment="1">
      <alignment horizontal="center"/>
    </xf>
    <xf numFmtId="0" fontId="11" fillId="0" borderId="0" xfId="12" applyFill="1" applyBorder="1"/>
    <xf numFmtId="0" fontId="16" fillId="0" borderId="13" xfId="4" applyFont="1" applyFill="1" applyBorder="1"/>
    <xf numFmtId="2" fontId="16" fillId="0" borderId="0" xfId="4" applyNumberFormat="1" applyFont="1" applyFill="1" applyBorder="1" applyAlignment="1">
      <alignment horizontal="center"/>
    </xf>
    <xf numFmtId="0" fontId="16" fillId="0" borderId="14" xfId="4" applyFont="1" applyFill="1" applyBorder="1"/>
    <xf numFmtId="0" fontId="16" fillId="0" borderId="0" xfId="4" applyFont="1" applyFill="1" applyBorder="1" applyAlignment="1">
      <alignment horizontal="center"/>
    </xf>
    <xf numFmtId="0" fontId="11" fillId="0" borderId="8" xfId="12" applyBorder="1" applyAlignment="1">
      <alignment horizontal="center"/>
    </xf>
    <xf numFmtId="0" fontId="11" fillId="0" borderId="8" xfId="12" applyBorder="1"/>
    <xf numFmtId="0" fontId="16" fillId="0" borderId="15" xfId="4" applyFont="1" applyFill="1" applyBorder="1"/>
    <xf numFmtId="0" fontId="16" fillId="0" borderId="9" xfId="4" applyFont="1" applyFill="1" applyBorder="1" applyAlignment="1">
      <alignment horizontal="center"/>
    </xf>
    <xf numFmtId="0" fontId="16" fillId="0" borderId="16" xfId="4" applyFont="1" applyFill="1" applyBorder="1"/>
    <xf numFmtId="4" fontId="11" fillId="0" borderId="15" xfId="12" applyNumberFormat="1" applyBorder="1"/>
    <xf numFmtId="4" fontId="11" fillId="0" borderId="16" xfId="12" applyNumberFormat="1" applyBorder="1"/>
    <xf numFmtId="4" fontId="11" fillId="0" borderId="8" xfId="12" applyNumberFormat="1" applyBorder="1" applyAlignment="1">
      <alignment horizontal="right"/>
    </xf>
    <xf numFmtId="169" fontId="11" fillId="0" borderId="0" xfId="12" applyNumberFormat="1"/>
    <xf numFmtId="4" fontId="13" fillId="0" borderId="0" xfId="12" applyNumberFormat="1" applyFont="1" applyBorder="1"/>
    <xf numFmtId="4" fontId="11" fillId="0" borderId="0" xfId="12" applyNumberFormat="1" applyFill="1" applyBorder="1"/>
    <xf numFmtId="4" fontId="11" fillId="0" borderId="0" xfId="12" applyNumberFormat="1" applyBorder="1"/>
    <xf numFmtId="4" fontId="11" fillId="0" borderId="0" xfId="12" applyNumberFormat="1" applyBorder="1" applyAlignment="1">
      <alignment horizontal="center"/>
    </xf>
    <xf numFmtId="49" fontId="13" fillId="0" borderId="0" xfId="12" applyNumberFormat="1" applyFont="1" applyBorder="1"/>
    <xf numFmtId="4" fontId="11" fillId="0" borderId="0" xfId="12" applyNumberFormat="1" applyFont="1" applyBorder="1"/>
    <xf numFmtId="4" fontId="11" fillId="0" borderId="0" xfId="12" applyNumberFormat="1" applyBorder="1" applyAlignment="1">
      <alignment horizontal="right"/>
    </xf>
    <xf numFmtId="4" fontId="13" fillId="0" borderId="0" xfId="12" applyNumberFormat="1" applyFont="1"/>
    <xf numFmtId="4" fontId="11" fillId="0" borderId="0" xfId="12" applyNumberFormat="1"/>
    <xf numFmtId="0" fontId="18" fillId="0" borderId="0" xfId="12" applyFont="1" applyBorder="1" applyAlignment="1">
      <alignment horizontal="center" vertical="top"/>
    </xf>
    <xf numFmtId="4" fontId="13" fillId="0" borderId="0" xfId="12" applyNumberFormat="1" applyFont="1" applyBorder="1" applyAlignment="1"/>
    <xf numFmtId="0" fontId="20" fillId="0" borderId="0" xfId="12" applyFont="1" applyAlignment="1">
      <alignment vertical="center"/>
    </xf>
    <xf numFmtId="0" fontId="21" fillId="0" borderId="0" xfId="12" applyFont="1"/>
    <xf numFmtId="0" fontId="20" fillId="0" borderId="0" xfId="12" applyFont="1" applyBorder="1" applyAlignment="1"/>
    <xf numFmtId="0" fontId="20" fillId="0" borderId="0" xfId="12" applyFont="1" applyBorder="1" applyAlignment="1">
      <alignment horizontal="center" vertical="center" wrapText="1"/>
    </xf>
    <xf numFmtId="0" fontId="20" fillId="0" borderId="0" xfId="12" applyFont="1"/>
    <xf numFmtId="0" fontId="20" fillId="0" borderId="0" xfId="12" applyFont="1" applyAlignment="1">
      <alignment vertical="center" wrapText="1"/>
    </xf>
    <xf numFmtId="0" fontId="20" fillId="0" borderId="0" xfId="12" applyFont="1" applyBorder="1" applyAlignment="1">
      <alignment vertical="center" wrapText="1"/>
    </xf>
    <xf numFmtId="0" fontId="11" fillId="0" borderId="0" xfId="12" applyAlignment="1">
      <alignment horizontal="left" vertical="top" wrapText="1"/>
    </xf>
    <xf numFmtId="0" fontId="11" fillId="0" borderId="0" xfId="12" applyFont="1" applyAlignment="1">
      <alignment horizontal="left" vertical="top"/>
    </xf>
    <xf numFmtId="0" fontId="11" fillId="0" borderId="0" xfId="12" applyAlignment="1">
      <alignment horizontal="center" vertical="center" wrapText="1"/>
    </xf>
    <xf numFmtId="49" fontId="11" fillId="0" borderId="0" xfId="12" applyNumberFormat="1"/>
    <xf numFmtId="0" fontId="11" fillId="0" borderId="7" xfId="12" applyFont="1" applyBorder="1" applyAlignment="1">
      <alignment wrapText="1"/>
    </xf>
    <xf numFmtId="49" fontId="22" fillId="0" borderId="6" xfId="4" applyNumberFormat="1" applyFont="1" applyBorder="1" applyAlignment="1">
      <alignment horizontal="center" vertical="center" wrapText="1"/>
    </xf>
    <xf numFmtId="49" fontId="22" fillId="3" borderId="6" xfId="4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5" fontId="23" fillId="0" borderId="6" xfId="2" applyNumberFormat="1" applyFont="1" applyFill="1" applyBorder="1" applyAlignment="1">
      <alignment horizontal="center" vertical="center" wrapText="1"/>
    </xf>
    <xf numFmtId="165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6" fontId="5" fillId="0" borderId="0" xfId="3" applyFont="1" applyFill="1" applyBorder="1"/>
    <xf numFmtId="0" fontId="7" fillId="0" borderId="9" xfId="0" applyFont="1" applyBorder="1" applyAlignment="1">
      <alignment vertical="center" wrapText="1"/>
    </xf>
    <xf numFmtId="167" fontId="4" fillId="3" borderId="3" xfId="4" applyNumberFormat="1" applyFont="1" applyFill="1" applyBorder="1" applyAlignment="1">
      <alignment horizontal="center" vertical="center" wrapText="1"/>
    </xf>
    <xf numFmtId="167" fontId="4" fillId="3" borderId="5" xfId="4" applyNumberFormat="1" applyFont="1" applyFill="1" applyBorder="1" applyAlignment="1">
      <alignment horizontal="center" vertical="center" wrapText="1"/>
    </xf>
    <xf numFmtId="165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4" fillId="0" borderId="0" xfId="4" applyFont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4" fontId="13" fillId="0" borderId="0" xfId="12" applyNumberFormat="1" applyFont="1" applyBorder="1" applyAlignment="1">
      <alignment horizontal="right"/>
    </xf>
    <xf numFmtId="0" fontId="20" fillId="0" borderId="0" xfId="12" applyFont="1" applyBorder="1" applyAlignment="1">
      <alignment horizontal="right" vertical="center" wrapText="1"/>
    </xf>
    <xf numFmtId="0" fontId="11" fillId="0" borderId="13" xfId="12" applyBorder="1" applyAlignment="1">
      <alignment horizontal="center" vertical="center"/>
    </xf>
    <xf numFmtId="0" fontId="11" fillId="0" borderId="0" xfId="12" applyBorder="1" applyAlignment="1">
      <alignment horizontal="center" vertical="center"/>
    </xf>
    <xf numFmtId="0" fontId="11" fillId="0" borderId="14" xfId="12" applyBorder="1" applyAlignment="1">
      <alignment horizontal="center" vertical="center"/>
    </xf>
    <xf numFmtId="0" fontId="11" fillId="0" borderId="15" xfId="12" applyBorder="1" applyAlignment="1">
      <alignment horizontal="center" vertical="center"/>
    </xf>
    <xf numFmtId="0" fontId="11" fillId="0" borderId="16" xfId="12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7" fillId="0" borderId="0" xfId="12" applyFont="1" applyFill="1" applyBorder="1" applyAlignment="1">
      <alignment horizontal="right"/>
    </xf>
    <xf numFmtId="4" fontId="11" fillId="0" borderId="0" xfId="12" applyNumberFormat="1" applyBorder="1" applyAlignment="1">
      <alignment horizontal="right"/>
    </xf>
    <xf numFmtId="0" fontId="17" fillId="0" borderId="0" xfId="12" applyFont="1" applyBorder="1" applyAlignment="1">
      <alignment horizontal="right"/>
    </xf>
    <xf numFmtId="0" fontId="11" fillId="0" borderId="2" xfId="12" applyBorder="1" applyAlignment="1">
      <alignment horizontal="center" vertical="center"/>
    </xf>
    <xf numFmtId="0" fontId="11" fillId="0" borderId="12" xfId="12" applyBorder="1" applyAlignment="1">
      <alignment horizontal="center" vertical="center"/>
    </xf>
    <xf numFmtId="0" fontId="12" fillId="0" borderId="0" xfId="12" applyFont="1" applyAlignment="1">
      <alignment horizontal="center"/>
    </xf>
    <xf numFmtId="0" fontId="13" fillId="0" borderId="0" xfId="12" applyFont="1" applyAlignment="1">
      <alignment horizontal="center"/>
    </xf>
    <xf numFmtId="0" fontId="13" fillId="0" borderId="0" xfId="12" applyFont="1" applyAlignment="1">
      <alignment horizontal="left" wrapText="1"/>
    </xf>
    <xf numFmtId="0" fontId="11" fillId="0" borderId="11" xfId="12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2" xfId="4" xr:uid="{00000000-0005-0000-0000-000004000000}"/>
    <cellStyle name="Обычный 2 2" xfId="11" xr:uid="{00000000-0005-0000-0000-000005000000}"/>
    <cellStyle name="Обычный 3" xfId="12" xr:uid="{00000000-0005-0000-0000-000006000000}"/>
    <cellStyle name="Обычный 5" xfId="2" xr:uid="{00000000-0005-0000-0000-000007000000}"/>
    <cellStyle name="Поз_цен" xfId="8" xr:uid="{00000000-0005-0000-0000-000008000000}"/>
    <cellStyle name="Стиль 1" xfId="9" xr:uid="{00000000-0005-0000-0000-000009000000}"/>
    <cellStyle name="Финансовый" xfId="1" builtinId="3"/>
    <cellStyle name="Финансовый 2" xfId="3" xr:uid="{00000000-0005-0000-0000-00000B000000}"/>
    <cellStyle name="Финансовый 2 2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33"/>
  <sheetViews>
    <sheetView topLeftCell="A10" zoomScaleNormal="100" workbookViewId="0">
      <selection activeCell="E40" sqref="E40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60"/>
      <c r="B1" s="160"/>
      <c r="C1" s="155" t="s">
        <v>20</v>
      </c>
      <c r="D1" s="155"/>
      <c r="E1" s="155"/>
      <c r="F1" s="155"/>
      <c r="G1" s="155"/>
      <c r="H1" s="1"/>
    </row>
    <row r="2" spans="1:8" ht="15" customHeight="1">
      <c r="A2" s="155" t="s">
        <v>127</v>
      </c>
      <c r="B2" s="155"/>
      <c r="C2" s="155"/>
      <c r="D2" s="155"/>
      <c r="E2" s="155"/>
      <c r="F2" s="155"/>
      <c r="G2" s="155"/>
      <c r="H2" s="155"/>
    </row>
    <row r="3" spans="1:8">
      <c r="C3" s="161" t="s">
        <v>21</v>
      </c>
      <c r="D3" s="161"/>
      <c r="E3" s="161"/>
      <c r="F3" s="161"/>
      <c r="G3" s="161"/>
      <c r="H3" s="1"/>
    </row>
    <row r="4" spans="1:8">
      <c r="B4" s="162" t="s">
        <v>22</v>
      </c>
      <c r="C4" s="162"/>
      <c r="D4" s="162"/>
      <c r="E4" s="162"/>
      <c r="F4" s="162"/>
      <c r="G4" s="162"/>
      <c r="H4" s="162"/>
    </row>
    <row r="5" spans="1:8" ht="12.75" customHeight="1">
      <c r="A5" s="156" t="s">
        <v>23</v>
      </c>
      <c r="B5" s="157" t="s">
        <v>24</v>
      </c>
      <c r="C5" s="156" t="s">
        <v>25</v>
      </c>
      <c r="D5" s="158" t="s">
        <v>26</v>
      </c>
      <c r="E5" s="158"/>
      <c r="F5" s="158"/>
      <c r="G5" s="158"/>
      <c r="H5" s="159" t="s">
        <v>27</v>
      </c>
    </row>
    <row r="6" spans="1:8">
      <c r="A6" s="156"/>
      <c r="B6" s="157"/>
      <c r="C6" s="156"/>
      <c r="D6" s="156" t="s">
        <v>28</v>
      </c>
      <c r="E6" s="156" t="s">
        <v>29</v>
      </c>
      <c r="F6" s="156" t="s">
        <v>30</v>
      </c>
      <c r="G6" s="156" t="s">
        <v>31</v>
      </c>
      <c r="H6" s="159"/>
    </row>
    <row r="7" spans="1:8">
      <c r="A7" s="156"/>
      <c r="B7" s="157"/>
      <c r="C7" s="156"/>
      <c r="D7" s="156"/>
      <c r="E7" s="156"/>
      <c r="F7" s="156"/>
      <c r="G7" s="156"/>
      <c r="H7" s="159"/>
    </row>
    <row r="8" spans="1:8">
      <c r="A8" s="156"/>
      <c r="B8" s="157"/>
      <c r="C8" s="156"/>
      <c r="D8" s="156"/>
      <c r="E8" s="156"/>
      <c r="F8" s="156"/>
      <c r="G8" s="156"/>
      <c r="H8" s="159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63" t="s">
        <v>32</v>
      </c>
      <c r="C10" s="164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33</v>
      </c>
      <c r="C11" s="10" t="s">
        <v>128</v>
      </c>
      <c r="D11" s="11">
        <f>197.316+16.281</f>
        <v>213.59700000000001</v>
      </c>
      <c r="E11" s="11">
        <f>497.974+2.664</f>
        <v>500.63799999999998</v>
      </c>
      <c r="F11" s="11">
        <v>8215.5</v>
      </c>
      <c r="G11" s="11">
        <v>0</v>
      </c>
      <c r="H11" s="8">
        <f>SUM(D11:G11)</f>
        <v>8929.7350000000006</v>
      </c>
    </row>
    <row r="12" spans="1:8" ht="16.5" customHeight="1">
      <c r="A12" s="13"/>
      <c r="B12" s="14"/>
      <c r="C12" s="15" t="s">
        <v>34</v>
      </c>
      <c r="D12" s="16">
        <f>SUM(D11:D11)</f>
        <v>213.59700000000001</v>
      </c>
      <c r="E12" s="16">
        <f>SUM(E11:E11)</f>
        <v>500.63799999999998</v>
      </c>
      <c r="F12" s="16">
        <f>SUM(F11:F11)</f>
        <v>8215.5</v>
      </c>
      <c r="G12" s="16">
        <f>SUM(G11:G11)</f>
        <v>0</v>
      </c>
      <c r="H12" s="17">
        <f>SUM(H11:H11)</f>
        <v>8929.7350000000006</v>
      </c>
    </row>
    <row r="13" spans="1:8" ht="16.5" customHeight="1">
      <c r="A13" s="5"/>
      <c r="B13" s="18"/>
      <c r="C13" s="19" t="s">
        <v>35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36</v>
      </c>
      <c r="C14" s="22" t="s">
        <v>37</v>
      </c>
      <c r="D14" s="23">
        <f>D12*0.039</f>
        <v>8.3302829999999997</v>
      </c>
      <c r="E14" s="23">
        <f>E12*0.039</f>
        <v>19.524881999999998</v>
      </c>
      <c r="F14" s="23">
        <f>F12*0.039</f>
        <v>320.40449999999998</v>
      </c>
      <c r="G14" s="23">
        <f>G12*0.039</f>
        <v>0</v>
      </c>
      <c r="H14" s="23">
        <f>SUM(D14:G14)</f>
        <v>348.25966499999998</v>
      </c>
    </row>
    <row r="15" spans="1:8" ht="16.5" customHeight="1">
      <c r="A15" s="5"/>
      <c r="B15" s="21"/>
      <c r="C15" s="24" t="s">
        <v>38</v>
      </c>
      <c r="D15" s="20">
        <f>D14</f>
        <v>8.3302829999999997</v>
      </c>
      <c r="E15" s="20">
        <f>E14</f>
        <v>19.524881999999998</v>
      </c>
      <c r="F15" s="20">
        <f>F14</f>
        <v>320.40449999999998</v>
      </c>
      <c r="G15" s="20">
        <f>G14</f>
        <v>0</v>
      </c>
      <c r="H15" s="20">
        <f>H14</f>
        <v>348.25966499999998</v>
      </c>
    </row>
    <row r="16" spans="1:8" ht="16.5" customHeight="1">
      <c r="A16" s="5"/>
      <c r="B16" s="21"/>
      <c r="C16" s="24" t="s">
        <v>39</v>
      </c>
      <c r="D16" s="20">
        <f>D12+D15</f>
        <v>221.92728300000002</v>
      </c>
      <c r="E16" s="20">
        <f>E12+E15</f>
        <v>520.16288199999997</v>
      </c>
      <c r="F16" s="20">
        <f>F12+F15</f>
        <v>8535.9045000000006</v>
      </c>
      <c r="G16" s="20">
        <f>G12+G15</f>
        <v>0</v>
      </c>
      <c r="H16" s="20">
        <f>H12+H15</f>
        <v>9277.9946650000002</v>
      </c>
    </row>
    <row r="17" spans="1:8" s="25" customFormat="1" ht="16.5" customHeight="1">
      <c r="A17" s="12"/>
      <c r="B17" s="151" t="s">
        <v>40</v>
      </c>
      <c r="C17" s="152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41</v>
      </c>
      <c r="C18" s="2" t="s">
        <v>58</v>
      </c>
      <c r="D18" s="23">
        <v>0</v>
      </c>
      <c r="E18" s="23">
        <v>0</v>
      </c>
      <c r="F18" s="23">
        <v>0</v>
      </c>
      <c r="G18" s="11">
        <v>4.3380000000000001</v>
      </c>
      <c r="H18" s="8">
        <f>G18</f>
        <v>4.3380000000000001</v>
      </c>
    </row>
    <row r="19" spans="1:8" ht="25.5" customHeight="1">
      <c r="A19" s="12">
        <v>4</v>
      </c>
      <c r="B19" s="125" t="s">
        <v>42</v>
      </c>
      <c r="C19" s="26" t="s">
        <v>43</v>
      </c>
      <c r="D19" s="11">
        <f>D16*0.00756</f>
        <v>1.6777702594800001</v>
      </c>
      <c r="E19" s="11">
        <f>E16*0.00756</f>
        <v>3.9324313879199999</v>
      </c>
      <c r="F19" s="11">
        <v>0</v>
      </c>
      <c r="G19" s="11">
        <v>0</v>
      </c>
      <c r="H19" s="8">
        <f>D19+E19</f>
        <v>5.6102016474000003</v>
      </c>
    </row>
    <row r="20" spans="1:8" ht="16.5" customHeight="1">
      <c r="A20" s="27"/>
      <c r="B20" s="28"/>
      <c r="C20" s="29" t="s">
        <v>44</v>
      </c>
      <c r="D20" s="16">
        <f>SUM(D18:D19)</f>
        <v>1.6777702594800001</v>
      </c>
      <c r="E20" s="16">
        <f>SUM(E18:E19)</f>
        <v>3.9324313879199999</v>
      </c>
      <c r="F20" s="16">
        <f>SUM(F18:F19)</f>
        <v>0</v>
      </c>
      <c r="G20" s="16">
        <f>SUM(G18:G19)</f>
        <v>4.3380000000000001</v>
      </c>
      <c r="H20" s="16">
        <f>SUM(H18:H19)</f>
        <v>9.9482016474000012</v>
      </c>
    </row>
    <row r="21" spans="1:8" ht="16.5" customHeight="1">
      <c r="A21" s="27"/>
      <c r="B21" s="30"/>
      <c r="C21" s="29" t="s">
        <v>45</v>
      </c>
      <c r="D21" s="16">
        <f>D16+D20</f>
        <v>223.60505325948003</v>
      </c>
      <c r="E21" s="16">
        <f>E16+E20</f>
        <v>524.09531338791999</v>
      </c>
      <c r="F21" s="16">
        <f>F16+F20</f>
        <v>8535.9045000000006</v>
      </c>
      <c r="G21" s="16">
        <f>G16+G20</f>
        <v>4.3380000000000001</v>
      </c>
      <c r="H21" s="16">
        <f>H16+H20</f>
        <v>9287.9428666473996</v>
      </c>
    </row>
    <row r="22" spans="1:8" ht="16.5" customHeight="1">
      <c r="A22" s="5"/>
      <c r="B22" s="21"/>
      <c r="C22" s="19" t="s">
        <v>46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47</v>
      </c>
      <c r="D23" s="23">
        <v>0</v>
      </c>
      <c r="E23" s="23">
        <v>0</v>
      </c>
      <c r="F23" s="23">
        <v>0</v>
      </c>
      <c r="G23" s="23">
        <f>ПИР!G34/1000</f>
        <v>967.64183999999989</v>
      </c>
      <c r="H23" s="23">
        <f>SUM(D23:G23)</f>
        <v>967.64183999999989</v>
      </c>
    </row>
    <row r="24" spans="1:8" ht="16.5" customHeight="1">
      <c r="A24" s="5"/>
      <c r="B24" s="21"/>
      <c r="C24" s="24" t="s">
        <v>48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967.64183999999989</v>
      </c>
      <c r="H24" s="20">
        <f>H23</f>
        <v>967.64183999999989</v>
      </c>
    </row>
    <row r="25" spans="1:8" ht="16.5" customHeight="1">
      <c r="A25" s="5"/>
      <c r="B25" s="32"/>
      <c r="C25" s="24" t="s">
        <v>49</v>
      </c>
      <c r="D25" s="20">
        <f>D21+D24</f>
        <v>223.60505325948003</v>
      </c>
      <c r="E25" s="20">
        <f>E21+E24</f>
        <v>524.09531338791999</v>
      </c>
      <c r="F25" s="20">
        <f>F21+F24</f>
        <v>8535.9045000000006</v>
      </c>
      <c r="G25" s="20">
        <f>G21+G24</f>
        <v>971.97983999999985</v>
      </c>
      <c r="H25" s="20">
        <f>H21+H24</f>
        <v>10255.5847066474</v>
      </c>
    </row>
    <row r="26" spans="1:8" ht="22.5" customHeight="1">
      <c r="A26" s="12"/>
      <c r="B26" s="125" t="s">
        <v>50</v>
      </c>
      <c r="C26" s="33" t="s">
        <v>51</v>
      </c>
      <c r="D26" s="8">
        <f>D25*0.03</f>
        <v>6.7081515977844006</v>
      </c>
      <c r="E26" s="8">
        <f>E25*0.03</f>
        <v>15.722859401637599</v>
      </c>
      <c r="F26" s="8">
        <f>F25*0.03</f>
        <v>256.077135</v>
      </c>
      <c r="G26" s="8">
        <f>G25*0.03</f>
        <v>29.159395199999995</v>
      </c>
      <c r="H26" s="8">
        <f>H25*0.03</f>
        <v>307.66754119942198</v>
      </c>
    </row>
    <row r="27" spans="1:8" ht="16.5" customHeight="1">
      <c r="A27" s="13"/>
      <c r="B27" s="28"/>
      <c r="C27" s="29" t="s">
        <v>52</v>
      </c>
      <c r="D27" s="34">
        <f>SUM(D25:D26)</f>
        <v>230.31320485726442</v>
      </c>
      <c r="E27" s="34">
        <f>SUM(E25:E26)</f>
        <v>539.81817278955759</v>
      </c>
      <c r="F27" s="34">
        <f>SUM(F25:F26)</f>
        <v>8791.9816350000001</v>
      </c>
      <c r="G27" s="34">
        <f>SUM(G25:G26)</f>
        <v>1001.1392351999998</v>
      </c>
      <c r="H27" s="34">
        <f>SUM(H25:H26)</f>
        <v>10563.252247846822</v>
      </c>
    </row>
    <row r="28" spans="1:8" ht="16.5" customHeight="1">
      <c r="A28" s="13"/>
      <c r="B28" s="28"/>
      <c r="C28" s="29" t="s">
        <v>53</v>
      </c>
      <c r="D28" s="35">
        <f>D27*0.18</f>
        <v>41.456376874307594</v>
      </c>
      <c r="E28" s="35">
        <f>E27*0.18</f>
        <v>97.167271102120367</v>
      </c>
      <c r="F28" s="35">
        <f>F27*0.18</f>
        <v>1582.5566942999999</v>
      </c>
      <c r="G28" s="35">
        <f>G27*0.18</f>
        <v>180.20506233599997</v>
      </c>
      <c r="H28" s="35">
        <f>H27*0.18</f>
        <v>1901.3854046124279</v>
      </c>
    </row>
    <row r="29" spans="1:8" ht="16.5" customHeight="1">
      <c r="A29" s="13"/>
      <c r="B29" s="14"/>
      <c r="C29" s="36" t="s">
        <v>54</v>
      </c>
      <c r="D29" s="37">
        <f>SUM(D27:D28)</f>
        <v>271.76958173157203</v>
      </c>
      <c r="E29" s="37">
        <f>SUM(E27:E28)</f>
        <v>636.98544389167796</v>
      </c>
      <c r="F29" s="37">
        <f>SUM(F27:F28)</f>
        <v>10374.5383293</v>
      </c>
      <c r="G29" s="37">
        <f>SUM(G27:G28)</f>
        <v>1181.3442975359999</v>
      </c>
      <c r="H29" s="34">
        <f>SUM(H27:H28)</f>
        <v>12464.637652459249</v>
      </c>
    </row>
    <row r="30" spans="1:8">
      <c r="C30" s="38"/>
      <c r="D30" s="153"/>
      <c r="E30" s="154"/>
      <c r="F30" s="154"/>
      <c r="G30" s="154"/>
    </row>
    <row r="31" spans="1:8">
      <c r="C31" s="40" t="s">
        <v>55</v>
      </c>
      <c r="E31" s="42">
        <f>D27+E27</f>
        <v>770.13137764682199</v>
      </c>
      <c r="F31" s="43">
        <f>F27</f>
        <v>8791.9816350000001</v>
      </c>
      <c r="G31" s="43">
        <f>G18*1.03</f>
        <v>4.46814</v>
      </c>
      <c r="H31" s="44" t="s">
        <v>56</v>
      </c>
    </row>
    <row r="32" spans="1:8">
      <c r="E32" s="41" t="s">
        <v>6</v>
      </c>
      <c r="F32" s="41" t="s">
        <v>57</v>
      </c>
      <c r="G32" s="43">
        <f>G23*1.03</f>
        <v>996.67109519999985</v>
      </c>
      <c r="H32" s="44" t="s">
        <v>5</v>
      </c>
    </row>
    <row r="33" spans="7:8">
      <c r="G33" s="46"/>
      <c r="H33" s="2"/>
    </row>
  </sheetData>
  <mergeCells count="17">
    <mergeCell ref="A1:B1"/>
    <mergeCell ref="C1:G1"/>
    <mergeCell ref="C3:G3"/>
    <mergeCell ref="B4:H4"/>
    <mergeCell ref="B10:C10"/>
    <mergeCell ref="B17:C17"/>
    <mergeCell ref="D30:G30"/>
    <mergeCell ref="A2:H2"/>
    <mergeCell ref="A5:A8"/>
    <mergeCell ref="B5:B8"/>
    <mergeCell ref="C5:C8"/>
    <mergeCell ref="D5:G5"/>
    <mergeCell ref="H5:H8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31"/>
  <sheetViews>
    <sheetView zoomScaleNormal="100" workbookViewId="0">
      <selection activeCell="D29" sqref="D29:E29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60"/>
      <c r="B1" s="160"/>
      <c r="C1" s="155" t="s">
        <v>20</v>
      </c>
      <c r="D1" s="155"/>
      <c r="E1" s="155"/>
      <c r="F1" s="155"/>
      <c r="G1" s="155"/>
      <c r="H1" s="1"/>
    </row>
    <row r="2" spans="1:8" ht="15" customHeight="1">
      <c r="A2" s="155" t="s">
        <v>127</v>
      </c>
      <c r="B2" s="155"/>
      <c r="C2" s="155"/>
      <c r="D2" s="155"/>
      <c r="E2" s="155"/>
      <c r="F2" s="155"/>
      <c r="G2" s="155"/>
      <c r="H2" s="155"/>
    </row>
    <row r="3" spans="1:8">
      <c r="C3" s="161" t="s">
        <v>21</v>
      </c>
      <c r="D3" s="161"/>
      <c r="E3" s="161"/>
      <c r="F3" s="161"/>
      <c r="G3" s="161"/>
      <c r="H3" s="1"/>
    </row>
    <row r="4" spans="1:8">
      <c r="B4" s="162" t="s">
        <v>112</v>
      </c>
      <c r="C4" s="162"/>
      <c r="D4" s="162"/>
      <c r="E4" s="162"/>
      <c r="F4" s="162"/>
      <c r="G4" s="162"/>
      <c r="H4" s="162"/>
    </row>
    <row r="5" spans="1:8" ht="12.75" customHeight="1">
      <c r="A5" s="156" t="s">
        <v>23</v>
      </c>
      <c r="B5" s="157" t="s">
        <v>24</v>
      </c>
      <c r="C5" s="156" t="s">
        <v>25</v>
      </c>
      <c r="D5" s="158" t="s">
        <v>26</v>
      </c>
      <c r="E5" s="158"/>
      <c r="F5" s="158"/>
      <c r="G5" s="158"/>
      <c r="H5" s="159" t="s">
        <v>27</v>
      </c>
    </row>
    <row r="6" spans="1:8">
      <c r="A6" s="156"/>
      <c r="B6" s="157"/>
      <c r="C6" s="156"/>
      <c r="D6" s="156" t="s">
        <v>28</v>
      </c>
      <c r="E6" s="156" t="s">
        <v>29</v>
      </c>
      <c r="F6" s="156" t="s">
        <v>30</v>
      </c>
      <c r="G6" s="156" t="s">
        <v>31</v>
      </c>
      <c r="H6" s="159"/>
    </row>
    <row r="7" spans="1:8">
      <c r="A7" s="156"/>
      <c r="B7" s="157"/>
      <c r="C7" s="156"/>
      <c r="D7" s="156"/>
      <c r="E7" s="156"/>
      <c r="F7" s="156"/>
      <c r="G7" s="156"/>
      <c r="H7" s="159"/>
    </row>
    <row r="8" spans="1:8">
      <c r="A8" s="156"/>
      <c r="B8" s="157"/>
      <c r="C8" s="156"/>
      <c r="D8" s="156"/>
      <c r="E8" s="156"/>
      <c r="F8" s="156"/>
      <c r="G8" s="156"/>
      <c r="H8" s="159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63" t="s">
        <v>32</v>
      </c>
      <c r="C10" s="164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33</v>
      </c>
      <c r="C11" s="10" t="s">
        <v>128</v>
      </c>
      <c r="D11" s="11">
        <f>(197.316+16.281)/6.63</f>
        <v>32.216742081447968</v>
      </c>
      <c r="E11" s="11">
        <f>(497.974+2.664)/6.63</f>
        <v>75.511010558069373</v>
      </c>
      <c r="F11" s="11">
        <f>8215.5/4.46</f>
        <v>1842.0403587443946</v>
      </c>
      <c r="G11" s="11">
        <v>0</v>
      </c>
      <c r="H11" s="8">
        <f>SUM(D11:G11)</f>
        <v>1949.7681113839119</v>
      </c>
    </row>
    <row r="12" spans="1:8" ht="16.5" customHeight="1">
      <c r="A12" s="13"/>
      <c r="B12" s="14"/>
      <c r="C12" s="15" t="s">
        <v>34</v>
      </c>
      <c r="D12" s="16">
        <f>SUM(D11:D11)</f>
        <v>32.216742081447968</v>
      </c>
      <c r="E12" s="16">
        <f>SUM(E11:E11)</f>
        <v>75.511010558069373</v>
      </c>
      <c r="F12" s="16">
        <f>SUM(F11:F11)</f>
        <v>1842.0403587443946</v>
      </c>
      <c r="G12" s="16">
        <f>SUM(G11:G11)</f>
        <v>0</v>
      </c>
      <c r="H12" s="17">
        <f>SUM(H11:H11)</f>
        <v>1949.7681113839119</v>
      </c>
    </row>
    <row r="13" spans="1:8" ht="16.5" customHeight="1">
      <c r="A13" s="5"/>
      <c r="B13" s="18"/>
      <c r="C13" s="19" t="s">
        <v>35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36</v>
      </c>
      <c r="C14" s="22" t="s">
        <v>37</v>
      </c>
      <c r="D14" s="23">
        <f>D12*0.039</f>
        <v>1.2564529411764707</v>
      </c>
      <c r="E14" s="23">
        <f>E12*0.039</f>
        <v>2.9449294117647056</v>
      </c>
      <c r="F14" s="23">
        <f>F12*0.039</f>
        <v>71.839573991031386</v>
      </c>
      <c r="G14" s="23">
        <f>G12*0.039</f>
        <v>0</v>
      </c>
      <c r="H14" s="23">
        <f>SUM(D14:G14)</f>
        <v>76.040956343972567</v>
      </c>
    </row>
    <row r="15" spans="1:8" ht="16.5" customHeight="1">
      <c r="A15" s="5"/>
      <c r="B15" s="21"/>
      <c r="C15" s="24" t="s">
        <v>38</v>
      </c>
      <c r="D15" s="20">
        <f>D14</f>
        <v>1.2564529411764707</v>
      </c>
      <c r="E15" s="20">
        <f>E14</f>
        <v>2.9449294117647056</v>
      </c>
      <c r="F15" s="20">
        <f>F14</f>
        <v>71.839573991031386</v>
      </c>
      <c r="G15" s="20">
        <f>G14</f>
        <v>0</v>
      </c>
      <c r="H15" s="20">
        <f>H14</f>
        <v>76.040956343972567</v>
      </c>
    </row>
    <row r="16" spans="1:8" ht="16.5" customHeight="1">
      <c r="A16" s="5"/>
      <c r="B16" s="21"/>
      <c r="C16" s="24" t="s">
        <v>39</v>
      </c>
      <c r="D16" s="20">
        <f>D12+D15</f>
        <v>33.473195022624438</v>
      </c>
      <c r="E16" s="20">
        <f>E12+E15</f>
        <v>78.455939969834077</v>
      </c>
      <c r="F16" s="20">
        <f>F12+F15</f>
        <v>1913.8799327354259</v>
      </c>
      <c r="G16" s="20">
        <f>G12+G15</f>
        <v>0</v>
      </c>
      <c r="H16" s="20">
        <f>H12+H15</f>
        <v>2025.8090677278844</v>
      </c>
    </row>
    <row r="17" spans="1:8" s="25" customFormat="1" ht="16.5" customHeight="1">
      <c r="A17" s="12"/>
      <c r="B17" s="151" t="s">
        <v>40</v>
      </c>
      <c r="C17" s="152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41</v>
      </c>
      <c r="C18" s="2" t="s">
        <v>58</v>
      </c>
      <c r="D18" s="23">
        <v>0</v>
      </c>
      <c r="E18" s="23">
        <v>0</v>
      </c>
      <c r="F18" s="23">
        <v>0</v>
      </c>
      <c r="G18" s="11">
        <f>4.338/13.56</f>
        <v>0.31991150442477878</v>
      </c>
      <c r="H18" s="8">
        <f>G18</f>
        <v>0.31991150442477878</v>
      </c>
    </row>
    <row r="19" spans="1:8" ht="25.5" customHeight="1">
      <c r="A19" s="12">
        <v>4</v>
      </c>
      <c r="B19" s="125" t="s">
        <v>42</v>
      </c>
      <c r="C19" s="26" t="s">
        <v>43</v>
      </c>
      <c r="D19" s="11">
        <f>D16*0.00756</f>
        <v>0.25305735437104077</v>
      </c>
      <c r="E19" s="11">
        <f>E16*0.00756</f>
        <v>0.59312690617194563</v>
      </c>
      <c r="F19" s="11">
        <v>0</v>
      </c>
      <c r="G19" s="11">
        <v>0</v>
      </c>
      <c r="H19" s="8">
        <f>D19+E19</f>
        <v>0.84618426054298634</v>
      </c>
    </row>
    <row r="20" spans="1:8" ht="16.5" customHeight="1">
      <c r="A20" s="27"/>
      <c r="B20" s="28"/>
      <c r="C20" s="29" t="s">
        <v>44</v>
      </c>
      <c r="D20" s="16">
        <f>SUM(D18:D19)</f>
        <v>0.25305735437104077</v>
      </c>
      <c r="E20" s="16">
        <f>SUM(E18:E19)</f>
        <v>0.59312690617194563</v>
      </c>
      <c r="F20" s="16">
        <f>SUM(F18:F19)</f>
        <v>0</v>
      </c>
      <c r="G20" s="16">
        <f>SUM(G18:G19)</f>
        <v>0.31991150442477878</v>
      </c>
      <c r="H20" s="16">
        <f>SUM(H18:H19)</f>
        <v>1.166095764967765</v>
      </c>
    </row>
    <row r="21" spans="1:8" ht="16.5" customHeight="1">
      <c r="A21" s="27"/>
      <c r="B21" s="30"/>
      <c r="C21" s="29" t="s">
        <v>45</v>
      </c>
      <c r="D21" s="16">
        <f>D16+D20</f>
        <v>33.726252376995475</v>
      </c>
      <c r="E21" s="16">
        <f>E16+E20</f>
        <v>79.049066876006023</v>
      </c>
      <c r="F21" s="16">
        <f>F16+F20</f>
        <v>1913.8799327354259</v>
      </c>
      <c r="G21" s="16">
        <f>G16+G20</f>
        <v>0.31991150442477878</v>
      </c>
      <c r="H21" s="16">
        <f>H16+H20</f>
        <v>2026.9751634928523</v>
      </c>
    </row>
    <row r="22" spans="1:8" ht="16.5" customHeight="1">
      <c r="A22" s="5"/>
      <c r="B22" s="21"/>
      <c r="C22" s="19" t="s">
        <v>46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47</v>
      </c>
      <c r="D23" s="23">
        <v>0</v>
      </c>
      <c r="E23" s="23">
        <v>0</v>
      </c>
      <c r="F23" s="23">
        <v>0</v>
      </c>
      <c r="G23" s="23">
        <f>967.64184/3.83</f>
        <v>252.648</v>
      </c>
      <c r="H23" s="23">
        <f>SUM(D23:G23)</f>
        <v>252.648</v>
      </c>
    </row>
    <row r="24" spans="1:8" ht="16.5" customHeight="1">
      <c r="A24" s="5"/>
      <c r="B24" s="21"/>
      <c r="C24" s="24" t="s">
        <v>48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252.648</v>
      </c>
      <c r="H24" s="20">
        <f>H23</f>
        <v>252.648</v>
      </c>
    </row>
    <row r="25" spans="1:8" ht="16.5" customHeight="1">
      <c r="A25" s="5"/>
      <c r="B25" s="32"/>
      <c r="C25" s="24" t="s">
        <v>49</v>
      </c>
      <c r="D25" s="20">
        <f>D21+D24</f>
        <v>33.726252376995475</v>
      </c>
      <c r="E25" s="20">
        <f>E21+E24</f>
        <v>79.049066876006023</v>
      </c>
      <c r="F25" s="20">
        <f>F21+F24</f>
        <v>1913.8799327354259</v>
      </c>
      <c r="G25" s="20">
        <f>G21+G24</f>
        <v>252.96791150442476</v>
      </c>
      <c r="H25" s="20">
        <f>H21+H24</f>
        <v>2279.6231634928522</v>
      </c>
    </row>
    <row r="26" spans="1:8" ht="22.5" customHeight="1">
      <c r="A26" s="12"/>
      <c r="B26" s="125" t="s">
        <v>50</v>
      </c>
      <c r="C26" s="33" t="s">
        <v>51</v>
      </c>
      <c r="D26" s="8">
        <f>D25*0.03</f>
        <v>1.0117875713098643</v>
      </c>
      <c r="E26" s="8">
        <f>E25*0.03</f>
        <v>2.3714720062801806</v>
      </c>
      <c r="F26" s="8">
        <f>F25*0.03</f>
        <v>57.416397982062776</v>
      </c>
      <c r="G26" s="8">
        <f>G25*0.03</f>
        <v>7.5890373451327422</v>
      </c>
      <c r="H26" s="8">
        <f>H25*0.03</f>
        <v>68.388694904785567</v>
      </c>
    </row>
    <row r="27" spans="1:8" ht="18" customHeight="1">
      <c r="A27" s="13"/>
      <c r="B27" s="28"/>
      <c r="C27" s="29" t="s">
        <v>52</v>
      </c>
      <c r="D27" s="35">
        <f>SUM(D25:D26)</f>
        <v>34.738039948305342</v>
      </c>
      <c r="E27" s="35">
        <f>SUM(E25:E26)</f>
        <v>81.420538882286209</v>
      </c>
      <c r="F27" s="35">
        <f>SUM(F25:F26)</f>
        <v>1971.2963307174887</v>
      </c>
      <c r="G27" s="35">
        <f>SUM(G25:G26)</f>
        <v>260.5569488495575</v>
      </c>
      <c r="H27" s="35">
        <f>SUM(H25:H26)</f>
        <v>2348.0118583976378</v>
      </c>
    </row>
    <row r="28" spans="1:8" ht="18" customHeight="1">
      <c r="A28" s="13"/>
      <c r="B28" s="28"/>
      <c r="C28" s="29" t="s">
        <v>53</v>
      </c>
      <c r="D28" s="35">
        <f>D27*0.18</f>
        <v>6.2528471906949612</v>
      </c>
      <c r="E28" s="35">
        <f>E27*0.18</f>
        <v>14.655696998811518</v>
      </c>
      <c r="F28" s="35">
        <f>F27*0.18</f>
        <v>354.83333952914796</v>
      </c>
      <c r="G28" s="35">
        <f>G27*0.18</f>
        <v>46.900250792920346</v>
      </c>
      <c r="H28" s="35">
        <f>H27*0.18</f>
        <v>422.6421345115748</v>
      </c>
    </row>
    <row r="29" spans="1:8" ht="18" customHeight="1">
      <c r="A29" s="13"/>
      <c r="B29" s="14"/>
      <c r="C29" s="36" t="s">
        <v>54</v>
      </c>
      <c r="D29" s="35">
        <f>SUM(D27:D28)</f>
        <v>40.990887139000307</v>
      </c>
      <c r="E29" s="35">
        <f>SUM(E27:E28)</f>
        <v>96.07623588109773</v>
      </c>
      <c r="F29" s="35">
        <f>SUM(F27:F28)</f>
        <v>2326.1296702466366</v>
      </c>
      <c r="G29" s="35">
        <f>SUM(G27:G28)</f>
        <v>307.45719964247786</v>
      </c>
      <c r="H29" s="35">
        <f>SUM(H27:H28)</f>
        <v>2770.6539929092123</v>
      </c>
    </row>
    <row r="30" spans="1:8">
      <c r="C30" s="38"/>
      <c r="D30" s="153"/>
      <c r="E30" s="154"/>
      <c r="F30" s="154"/>
      <c r="G30" s="154"/>
    </row>
    <row r="31" spans="1:8">
      <c r="G31" s="46"/>
      <c r="H31" s="2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R143"/>
  <sheetViews>
    <sheetView zoomScaleNormal="100" zoomScaleSheetLayoutView="100" workbookViewId="0">
      <selection activeCell="B9" sqref="B9"/>
    </sheetView>
  </sheetViews>
  <sheetFormatPr defaultRowHeight="12.75"/>
  <cols>
    <col min="1" max="1" width="4" style="47" customWidth="1"/>
    <col min="2" max="2" width="30.5703125" style="48" customWidth="1"/>
    <col min="3" max="3" width="2.42578125" style="47" customWidth="1"/>
    <col min="4" max="4" width="5.5703125" style="49" customWidth="1"/>
    <col min="5" max="5" width="31.85546875" style="47" customWidth="1"/>
    <col min="6" max="6" width="13.7109375" style="47" customWidth="1"/>
    <col min="7" max="7" width="15.42578125" style="47" customWidth="1"/>
    <col min="8" max="8" width="16.28515625" style="53" customWidth="1"/>
    <col min="9" max="9" width="18.7109375" style="47" customWidth="1"/>
    <col min="10" max="10" width="16.7109375" style="47" customWidth="1"/>
    <col min="11" max="11" width="16" style="47" customWidth="1"/>
    <col min="12" max="12" width="11.42578125" style="47" customWidth="1"/>
    <col min="13" max="15" width="10.28515625" style="47" customWidth="1"/>
    <col min="16" max="16" width="12.85546875" style="47" customWidth="1"/>
    <col min="17" max="17" width="15.28515625" style="47" customWidth="1"/>
    <col min="18" max="16384" width="9.140625" style="47"/>
  </cols>
  <sheetData>
    <row r="1" spans="1:12" ht="14.25" customHeight="1">
      <c r="H1" s="50"/>
      <c r="J1" s="51"/>
    </row>
    <row r="2" spans="1:12" ht="14.25" customHeight="1">
      <c r="A2" s="178" t="s">
        <v>100</v>
      </c>
      <c r="B2" s="178"/>
      <c r="C2" s="178"/>
      <c r="D2" s="178"/>
      <c r="E2" s="178"/>
      <c r="F2" s="178"/>
      <c r="G2" s="178"/>
      <c r="H2" s="178"/>
    </row>
    <row r="3" spans="1:12" ht="14.25" customHeight="1">
      <c r="A3" s="179" t="s">
        <v>59</v>
      </c>
      <c r="B3" s="179"/>
      <c r="C3" s="179"/>
      <c r="D3" s="179"/>
      <c r="E3" s="179"/>
      <c r="F3" s="179"/>
      <c r="G3" s="179"/>
      <c r="H3" s="179"/>
    </row>
    <row r="4" spans="1:12">
      <c r="E4" s="52"/>
    </row>
    <row r="5" spans="1:12">
      <c r="A5" s="47" t="s">
        <v>60</v>
      </c>
      <c r="E5" s="180" t="s">
        <v>127</v>
      </c>
      <c r="F5" s="180"/>
      <c r="G5" s="180"/>
      <c r="H5" s="180"/>
      <c r="I5" s="54"/>
      <c r="J5" s="54"/>
      <c r="K5" s="54"/>
      <c r="L5" s="54"/>
    </row>
    <row r="6" spans="1:12">
      <c r="A6" s="47" t="s">
        <v>61</v>
      </c>
      <c r="E6" s="180"/>
      <c r="F6" s="180"/>
      <c r="G6" s="180"/>
      <c r="H6" s="180"/>
      <c r="I6" s="48"/>
      <c r="J6" s="48"/>
      <c r="K6" s="48"/>
      <c r="L6" s="48"/>
    </row>
    <row r="7" spans="1:12">
      <c r="A7" s="55" t="s">
        <v>62</v>
      </c>
      <c r="B7" s="55"/>
      <c r="C7" s="55"/>
      <c r="D7" s="56"/>
      <c r="E7" s="180"/>
      <c r="F7" s="180"/>
      <c r="G7" s="180"/>
      <c r="H7" s="180"/>
    </row>
    <row r="8" spans="1:12">
      <c r="A8" s="55"/>
      <c r="B8" s="55"/>
      <c r="C8" s="55"/>
      <c r="D8" s="56"/>
      <c r="E8" s="52"/>
      <c r="F8" s="57"/>
      <c r="G8" s="57"/>
      <c r="H8" s="58"/>
    </row>
    <row r="9" spans="1:12">
      <c r="A9" s="57" t="s">
        <v>63</v>
      </c>
      <c r="B9" s="55"/>
      <c r="C9" s="57"/>
      <c r="D9" s="59"/>
      <c r="E9" s="52"/>
      <c r="F9" s="57"/>
      <c r="G9" s="57"/>
      <c r="H9" s="58"/>
    </row>
    <row r="10" spans="1:12">
      <c r="A10" s="57" t="s">
        <v>64</v>
      </c>
      <c r="B10" s="55"/>
      <c r="C10" s="57"/>
      <c r="D10" s="59"/>
      <c r="E10" s="60"/>
      <c r="F10" s="57"/>
      <c r="G10" s="57"/>
      <c r="H10" s="58"/>
    </row>
    <row r="11" spans="1:12">
      <c r="A11" s="57"/>
      <c r="B11" s="55"/>
      <c r="C11" s="57"/>
      <c r="D11" s="59"/>
      <c r="E11" s="57"/>
      <c r="F11" s="57"/>
      <c r="G11" s="57"/>
      <c r="H11" s="58"/>
    </row>
    <row r="12" spans="1:12">
      <c r="A12" s="57" t="s">
        <v>65</v>
      </c>
      <c r="B12" s="55"/>
      <c r="C12" s="57"/>
      <c r="D12" s="59"/>
      <c r="E12" s="55"/>
      <c r="F12" s="57"/>
      <c r="G12" s="57"/>
      <c r="H12" s="57"/>
    </row>
    <row r="13" spans="1:12">
      <c r="A13" s="61" t="s">
        <v>66</v>
      </c>
      <c r="B13" s="62" t="s">
        <v>67</v>
      </c>
      <c r="C13" s="176" t="s">
        <v>68</v>
      </c>
      <c r="D13" s="181"/>
      <c r="E13" s="177"/>
      <c r="F13" s="176" t="s">
        <v>69</v>
      </c>
      <c r="G13" s="177"/>
      <c r="H13" s="61" t="s">
        <v>70</v>
      </c>
    </row>
    <row r="14" spans="1:12" ht="15">
      <c r="A14" s="63" t="s">
        <v>71</v>
      </c>
      <c r="B14" s="64" t="s">
        <v>72</v>
      </c>
      <c r="C14" s="167" t="s">
        <v>73</v>
      </c>
      <c r="D14" s="168"/>
      <c r="E14" s="169"/>
      <c r="F14" s="167" t="s">
        <v>74</v>
      </c>
      <c r="G14" s="169"/>
      <c r="H14" s="63" t="s">
        <v>75</v>
      </c>
    </row>
    <row r="15" spans="1:12">
      <c r="A15" s="63"/>
      <c r="B15" s="64" t="s">
        <v>76</v>
      </c>
      <c r="C15" s="167" t="s">
        <v>77</v>
      </c>
      <c r="D15" s="168"/>
      <c r="E15" s="169"/>
      <c r="F15" s="167" t="s">
        <v>78</v>
      </c>
      <c r="G15" s="169"/>
      <c r="H15" s="63"/>
    </row>
    <row r="16" spans="1:12">
      <c r="A16" s="63"/>
      <c r="B16" s="64" t="s">
        <v>79</v>
      </c>
      <c r="C16" s="167" t="s">
        <v>80</v>
      </c>
      <c r="D16" s="168"/>
      <c r="E16" s="169"/>
      <c r="F16" s="170" t="s">
        <v>81</v>
      </c>
      <c r="G16" s="171"/>
      <c r="H16" s="63"/>
    </row>
    <row r="17" spans="1:18">
      <c r="A17" s="63"/>
      <c r="B17" s="64" t="s">
        <v>82</v>
      </c>
      <c r="C17" s="167" t="s">
        <v>83</v>
      </c>
      <c r="D17" s="168"/>
      <c r="E17" s="169"/>
      <c r="F17" s="176" t="s">
        <v>84</v>
      </c>
      <c r="G17" s="177"/>
      <c r="H17" s="63"/>
      <c r="K17" s="57"/>
      <c r="L17" s="57"/>
      <c r="M17" s="57"/>
      <c r="N17" s="57"/>
      <c r="O17" s="57"/>
      <c r="P17" s="57"/>
      <c r="Q17" s="57"/>
      <c r="R17" s="57"/>
    </row>
    <row r="18" spans="1:18" s="57" customFormat="1">
      <c r="A18" s="63"/>
      <c r="B18" s="64"/>
      <c r="C18" s="167" t="s">
        <v>85</v>
      </c>
      <c r="D18" s="168"/>
      <c r="E18" s="169"/>
      <c r="F18" s="170" t="s">
        <v>86</v>
      </c>
      <c r="G18" s="171"/>
      <c r="H18" s="63"/>
      <c r="K18" s="47"/>
      <c r="L18" s="47"/>
      <c r="M18" s="47"/>
      <c r="N18" s="47"/>
      <c r="O18" s="47"/>
      <c r="P18" s="47"/>
      <c r="Q18" s="47"/>
      <c r="R18" s="47"/>
    </row>
    <row r="19" spans="1:18">
      <c r="A19" s="65">
        <v>1</v>
      </c>
      <c r="B19" s="66">
        <v>2</v>
      </c>
      <c r="C19" s="172">
        <v>3</v>
      </c>
      <c r="D19" s="172"/>
      <c r="E19" s="172"/>
      <c r="F19" s="172">
        <v>4</v>
      </c>
      <c r="G19" s="172"/>
      <c r="H19" s="65">
        <v>5</v>
      </c>
    </row>
    <row r="20" spans="1:18">
      <c r="A20" s="68">
        <v>1</v>
      </c>
      <c r="B20" s="69" t="s">
        <v>129</v>
      </c>
      <c r="C20" s="70" t="s">
        <v>101</v>
      </c>
      <c r="D20" s="71"/>
      <c r="E20" s="72"/>
      <c r="F20" s="73" t="s">
        <v>87</v>
      </c>
      <c r="G20" s="74"/>
      <c r="H20" s="75"/>
      <c r="I20" s="67"/>
      <c r="J20" s="57"/>
      <c r="K20" s="57"/>
      <c r="L20" s="57"/>
    </row>
    <row r="21" spans="1:18">
      <c r="A21" s="76"/>
      <c r="B21" s="124" t="s">
        <v>130</v>
      </c>
      <c r="C21" s="77" t="s">
        <v>102</v>
      </c>
      <c r="D21" s="59"/>
      <c r="E21" s="78"/>
      <c r="F21" s="79" t="s">
        <v>111</v>
      </c>
      <c r="G21" s="80"/>
      <c r="H21" s="81">
        <f>210.54*0.5*1.2*3.83*1000</f>
        <v>483820.91999999993</v>
      </c>
      <c r="I21" s="67"/>
      <c r="J21" s="57"/>
      <c r="K21" s="57"/>
      <c r="L21" s="57"/>
    </row>
    <row r="22" spans="1:18">
      <c r="A22" s="76"/>
      <c r="B22" s="124"/>
      <c r="C22" s="82" t="s">
        <v>110</v>
      </c>
      <c r="D22" s="59"/>
      <c r="E22" s="78"/>
      <c r="F22" s="79"/>
      <c r="G22" s="80"/>
      <c r="H22" s="83"/>
      <c r="I22" s="67"/>
      <c r="J22" s="57"/>
      <c r="K22" s="57"/>
      <c r="L22" s="57"/>
    </row>
    <row r="23" spans="1:18">
      <c r="A23" s="76"/>
      <c r="B23" s="84"/>
      <c r="C23" s="82" t="s">
        <v>103</v>
      </c>
      <c r="D23" s="59"/>
      <c r="E23" s="78"/>
      <c r="F23" s="79"/>
      <c r="G23" s="80"/>
      <c r="H23" s="83"/>
      <c r="I23" s="67"/>
      <c r="J23" s="57"/>
      <c r="K23" s="57"/>
      <c r="L23" s="57"/>
    </row>
    <row r="24" spans="1:18">
      <c r="A24" s="76"/>
      <c r="B24" s="84"/>
      <c r="C24" s="77" t="s">
        <v>88</v>
      </c>
      <c r="D24" s="59">
        <v>0.5</v>
      </c>
      <c r="E24" s="57" t="s">
        <v>89</v>
      </c>
      <c r="F24" s="85" t="s">
        <v>91</v>
      </c>
      <c r="G24" s="80"/>
      <c r="H24" s="83"/>
      <c r="I24" s="67"/>
      <c r="J24" s="57"/>
      <c r="K24" s="57"/>
      <c r="L24" s="57"/>
    </row>
    <row r="25" spans="1:18">
      <c r="A25" s="76"/>
      <c r="B25" s="86"/>
      <c r="C25" s="77" t="s">
        <v>88</v>
      </c>
      <c r="D25" s="59">
        <v>0.5</v>
      </c>
      <c r="E25" s="57" t="s">
        <v>90</v>
      </c>
      <c r="F25" s="79" t="s">
        <v>111</v>
      </c>
      <c r="G25" s="80"/>
      <c r="H25" s="81">
        <f>210.54*0.5*1.2*3.83*1000</f>
        <v>483820.91999999993</v>
      </c>
      <c r="I25" s="67"/>
      <c r="J25" s="57"/>
      <c r="K25" s="57"/>
      <c r="L25" s="57"/>
    </row>
    <row r="26" spans="1:18">
      <c r="A26" s="76"/>
      <c r="B26" s="86"/>
      <c r="C26" s="82" t="s">
        <v>88</v>
      </c>
      <c r="D26" s="87">
        <v>1.2</v>
      </c>
      <c r="E26" s="88" t="s">
        <v>104</v>
      </c>
      <c r="F26" s="79"/>
      <c r="G26" s="80"/>
      <c r="H26" s="81"/>
      <c r="I26" s="67"/>
      <c r="J26" s="57"/>
      <c r="K26" s="57"/>
      <c r="L26" s="57"/>
    </row>
    <row r="27" spans="1:18">
      <c r="A27" s="76"/>
      <c r="B27" s="86"/>
      <c r="C27" s="82"/>
      <c r="D27" s="87"/>
      <c r="E27" s="88" t="s">
        <v>105</v>
      </c>
      <c r="F27" s="79"/>
      <c r="G27" s="80"/>
      <c r="H27" s="81"/>
      <c r="I27" s="67"/>
      <c r="J27" s="57"/>
      <c r="K27" s="57"/>
      <c r="L27" s="57"/>
    </row>
    <row r="28" spans="1:18">
      <c r="A28" s="76"/>
      <c r="B28" s="86"/>
      <c r="C28" s="82"/>
      <c r="D28" s="87"/>
      <c r="E28" s="88" t="s">
        <v>106</v>
      </c>
      <c r="F28" s="79"/>
      <c r="G28" s="80"/>
      <c r="H28" s="81"/>
      <c r="I28" s="67"/>
      <c r="J28" s="57"/>
      <c r="K28" s="57"/>
      <c r="L28" s="57"/>
    </row>
    <row r="29" spans="1:18">
      <c r="A29" s="76"/>
      <c r="B29" s="86"/>
      <c r="C29" s="89" t="s">
        <v>88</v>
      </c>
      <c r="D29" s="90">
        <v>3.83</v>
      </c>
      <c r="E29" s="91" t="s">
        <v>92</v>
      </c>
      <c r="F29" s="79"/>
      <c r="G29" s="80"/>
      <c r="H29" s="83"/>
      <c r="I29" s="67"/>
      <c r="J29" s="57"/>
      <c r="K29" s="57"/>
      <c r="L29" s="57"/>
    </row>
    <row r="30" spans="1:18">
      <c r="A30" s="76"/>
      <c r="B30" s="86"/>
      <c r="C30" s="89" t="s">
        <v>93</v>
      </c>
      <c r="D30" s="92"/>
      <c r="E30" s="91"/>
      <c r="F30" s="79"/>
      <c r="G30" s="80"/>
      <c r="H30" s="83"/>
      <c r="I30" s="67"/>
      <c r="J30" s="57"/>
      <c r="K30" s="57"/>
      <c r="L30" s="57"/>
    </row>
    <row r="31" spans="1:18">
      <c r="A31" s="93"/>
      <c r="B31" s="94"/>
      <c r="C31" s="95" t="s">
        <v>94</v>
      </c>
      <c r="D31" s="96"/>
      <c r="E31" s="97"/>
      <c r="F31" s="98"/>
      <c r="G31" s="99"/>
      <c r="H31" s="100"/>
      <c r="I31" s="67"/>
      <c r="J31" s="57"/>
      <c r="K31" s="57"/>
      <c r="L31" s="57"/>
    </row>
    <row r="32" spans="1:18">
      <c r="A32" s="57"/>
      <c r="B32" s="55"/>
      <c r="C32" s="57"/>
      <c r="D32" s="59"/>
      <c r="E32" s="173" t="s">
        <v>95</v>
      </c>
      <c r="F32" s="173"/>
      <c r="G32" s="174">
        <f>H21</f>
        <v>483820.91999999993</v>
      </c>
      <c r="H32" s="174"/>
    </row>
    <row r="33" spans="1:17">
      <c r="A33" s="57"/>
      <c r="B33" s="55"/>
      <c r="C33" s="57"/>
      <c r="D33" s="59"/>
      <c r="E33" s="175" t="s">
        <v>96</v>
      </c>
      <c r="F33" s="175"/>
      <c r="G33" s="174">
        <f>H25</f>
        <v>483820.91999999993</v>
      </c>
      <c r="H33" s="174"/>
      <c r="I33" s="101"/>
    </row>
    <row r="34" spans="1:17">
      <c r="A34" s="57"/>
      <c r="B34" s="55"/>
      <c r="C34" s="57"/>
      <c r="D34" s="59"/>
      <c r="E34" s="57"/>
      <c r="F34" s="102" t="s">
        <v>97</v>
      </c>
      <c r="G34" s="165">
        <f>G32+G33</f>
        <v>967641.83999999985</v>
      </c>
      <c r="H34" s="165"/>
      <c r="I34" s="101"/>
    </row>
    <row r="35" spans="1:17" ht="21.75" customHeight="1">
      <c r="A35" s="57"/>
      <c r="B35" s="55"/>
      <c r="C35" s="57"/>
      <c r="D35" s="59"/>
      <c r="E35" s="88"/>
      <c r="F35" s="103"/>
      <c r="G35" s="104"/>
      <c r="H35" s="105"/>
    </row>
    <row r="36" spans="1:17" ht="21.75" customHeight="1">
      <c r="A36" s="106"/>
      <c r="B36" s="55"/>
      <c r="C36" s="60"/>
      <c r="D36" s="59"/>
      <c r="E36" s="60" t="s">
        <v>107</v>
      </c>
      <c r="F36" s="107">
        <f>G34</f>
        <v>967641.83999999985</v>
      </c>
      <c r="G36" s="104" t="s">
        <v>98</v>
      </c>
      <c r="H36" s="108">
        <f>F36*0.18</f>
        <v>174175.53119999997</v>
      </c>
      <c r="K36" s="109"/>
      <c r="L36" s="110"/>
      <c r="M36" s="110"/>
      <c r="N36" s="110"/>
      <c r="O36" s="110"/>
      <c r="P36" s="110"/>
      <c r="Q36" s="109"/>
    </row>
    <row r="37" spans="1:17">
      <c r="A37" s="106"/>
      <c r="B37" s="55"/>
      <c r="C37" s="60"/>
      <c r="D37" s="59"/>
      <c r="E37" s="60"/>
      <c r="F37" s="107"/>
      <c r="G37" s="104"/>
      <c r="H37" s="108"/>
      <c r="K37" s="109"/>
      <c r="L37" s="110"/>
      <c r="M37" s="110"/>
      <c r="N37" s="110"/>
      <c r="O37" s="110"/>
      <c r="P37" s="110"/>
      <c r="Q37" s="109"/>
    </row>
    <row r="38" spans="1:17">
      <c r="A38" s="106"/>
      <c r="B38" s="55"/>
      <c r="C38" s="57"/>
      <c r="D38" s="59"/>
      <c r="E38" s="111"/>
      <c r="F38" s="102" t="s">
        <v>99</v>
      </c>
      <c r="H38" s="112">
        <f>G34+H36</f>
        <v>1141817.3711999999</v>
      </c>
      <c r="K38" s="109"/>
      <c r="L38" s="110"/>
      <c r="M38" s="110"/>
      <c r="N38" s="110"/>
      <c r="O38" s="110"/>
      <c r="P38" s="110"/>
      <c r="Q38" s="109"/>
    </row>
    <row r="39" spans="1:17">
      <c r="A39" s="106"/>
      <c r="B39" s="55"/>
      <c r="C39" s="57"/>
      <c r="D39" s="59"/>
      <c r="E39" s="111"/>
      <c r="F39" s="102"/>
      <c r="H39" s="112"/>
      <c r="K39" s="109"/>
      <c r="L39" s="110"/>
      <c r="M39" s="110"/>
      <c r="N39" s="110"/>
      <c r="O39" s="110"/>
      <c r="P39" s="110"/>
      <c r="Q39" s="109"/>
    </row>
    <row r="40" spans="1:17" ht="15">
      <c r="A40" s="113" t="s">
        <v>108</v>
      </c>
      <c r="B40" s="113"/>
      <c r="C40" s="113"/>
      <c r="D40" s="114"/>
      <c r="F40" s="166"/>
      <c r="G40" s="166"/>
      <c r="H40" s="115"/>
      <c r="K40" s="109"/>
      <c r="Q40" s="109"/>
    </row>
    <row r="41" spans="1:17" ht="15">
      <c r="A41" s="113"/>
      <c r="B41" s="113"/>
      <c r="C41" s="113"/>
      <c r="D41" s="114"/>
      <c r="F41" s="116"/>
      <c r="G41" s="116"/>
      <c r="H41" s="115"/>
      <c r="K41" s="109"/>
      <c r="Q41" s="109"/>
    </row>
    <row r="42" spans="1:17" ht="15">
      <c r="A42" s="117" t="s">
        <v>109</v>
      </c>
      <c r="B42" s="118"/>
      <c r="C42" s="118"/>
      <c r="D42" s="114"/>
      <c r="E42" s="119"/>
      <c r="F42" s="119"/>
      <c r="G42" s="119"/>
      <c r="H42" s="117"/>
    </row>
    <row r="43" spans="1:17">
      <c r="A43" s="120"/>
      <c r="B43" s="121"/>
      <c r="C43" s="120"/>
      <c r="D43" s="120"/>
      <c r="E43" s="122"/>
      <c r="F43" s="57"/>
      <c r="G43" s="57"/>
    </row>
    <row r="44" spans="1:17">
      <c r="A44" s="123"/>
    </row>
    <row r="45" spans="1:17">
      <c r="A45" s="123"/>
    </row>
    <row r="46" spans="1:17">
      <c r="A46" s="123"/>
    </row>
    <row r="47" spans="1:17">
      <c r="A47" s="123"/>
    </row>
    <row r="48" spans="1:17">
      <c r="A48" s="123"/>
    </row>
    <row r="49" spans="1:18">
      <c r="A49" s="123"/>
    </row>
    <row r="50" spans="1:18">
      <c r="A50" s="123"/>
    </row>
    <row r="51" spans="1:18">
      <c r="A51" s="123"/>
    </row>
    <row r="52" spans="1:18" s="48" customFormat="1">
      <c r="A52" s="123"/>
      <c r="C52" s="47"/>
      <c r="D52" s="49"/>
      <c r="E52" s="47"/>
      <c r="F52" s="47"/>
      <c r="G52" s="47"/>
      <c r="H52" s="53"/>
      <c r="I52" s="47"/>
      <c r="J52" s="47"/>
      <c r="K52" s="47"/>
      <c r="L52" s="47"/>
      <c r="M52" s="47"/>
      <c r="N52" s="47"/>
      <c r="O52" s="47"/>
      <c r="P52" s="47"/>
      <c r="Q52" s="47"/>
      <c r="R52" s="47"/>
    </row>
    <row r="53" spans="1:18" s="48" customFormat="1">
      <c r="A53" s="123"/>
      <c r="C53" s="47"/>
      <c r="D53" s="49"/>
      <c r="E53" s="47"/>
      <c r="F53" s="47"/>
      <c r="G53" s="47"/>
      <c r="H53" s="53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8" s="48" customFormat="1">
      <c r="A54" s="123"/>
      <c r="C54" s="47"/>
      <c r="D54" s="49"/>
      <c r="E54" s="47"/>
      <c r="F54" s="47"/>
      <c r="G54" s="47"/>
      <c r="H54" s="53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18" s="48" customFormat="1">
      <c r="A55" s="123"/>
      <c r="C55" s="47"/>
      <c r="D55" s="49"/>
      <c r="E55" s="47"/>
      <c r="F55" s="47"/>
      <c r="G55" s="47"/>
      <c r="H55" s="53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18" s="48" customFormat="1">
      <c r="A56" s="123"/>
      <c r="C56" s="47"/>
      <c r="D56" s="49"/>
      <c r="E56" s="47"/>
      <c r="F56" s="47"/>
      <c r="G56" s="47"/>
      <c r="H56" s="53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s="48" customFormat="1">
      <c r="A57" s="123"/>
      <c r="C57" s="47"/>
      <c r="D57" s="49"/>
      <c r="E57" s="47"/>
      <c r="F57" s="47"/>
      <c r="G57" s="47"/>
      <c r="H57" s="53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18" s="48" customFormat="1">
      <c r="A58" s="123"/>
      <c r="C58" s="47"/>
      <c r="D58" s="49"/>
      <c r="E58" s="47"/>
      <c r="F58" s="47"/>
      <c r="G58" s="47"/>
      <c r="H58" s="53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18" s="48" customFormat="1">
      <c r="A59" s="123"/>
      <c r="C59" s="47"/>
      <c r="D59" s="49"/>
      <c r="E59" s="47"/>
      <c r="F59" s="47"/>
      <c r="G59" s="47"/>
      <c r="H59" s="53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48" customFormat="1">
      <c r="A60" s="123"/>
      <c r="C60" s="47"/>
      <c r="D60" s="49"/>
      <c r="E60" s="47"/>
      <c r="F60" s="47"/>
      <c r="G60" s="47"/>
      <c r="H60" s="53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18" s="48" customFormat="1">
      <c r="A61" s="123"/>
      <c r="C61" s="47"/>
      <c r="D61" s="49"/>
      <c r="E61" s="47"/>
      <c r="F61" s="47"/>
      <c r="G61" s="47"/>
      <c r="H61" s="53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48" customFormat="1">
      <c r="A62" s="123"/>
      <c r="C62" s="47"/>
      <c r="D62" s="49"/>
      <c r="E62" s="47"/>
      <c r="F62" s="47"/>
      <c r="G62" s="47"/>
      <c r="H62" s="53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8" s="48" customFormat="1">
      <c r="A63" s="123"/>
      <c r="C63" s="47"/>
      <c r="D63" s="49"/>
      <c r="E63" s="47"/>
      <c r="F63" s="47"/>
      <c r="G63" s="47"/>
      <c r="H63" s="53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18" s="48" customFormat="1">
      <c r="A64" s="123"/>
      <c r="C64" s="47"/>
      <c r="D64" s="49"/>
      <c r="E64" s="47"/>
      <c r="F64" s="47"/>
      <c r="G64" s="47"/>
      <c r="H64" s="53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48" customFormat="1">
      <c r="A65" s="123"/>
      <c r="C65" s="47"/>
      <c r="D65" s="49"/>
      <c r="E65" s="47"/>
      <c r="F65" s="47"/>
      <c r="G65" s="47"/>
      <c r="H65" s="53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48" customFormat="1">
      <c r="A66" s="123"/>
      <c r="C66" s="47"/>
      <c r="D66" s="49"/>
      <c r="E66" s="47"/>
      <c r="F66" s="47"/>
      <c r="G66" s="47"/>
      <c r="H66" s="53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48" customFormat="1">
      <c r="A67" s="123"/>
      <c r="C67" s="47"/>
      <c r="D67" s="49"/>
      <c r="E67" s="47"/>
      <c r="F67" s="47"/>
      <c r="G67" s="47"/>
      <c r="H67" s="53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48" customFormat="1">
      <c r="A68" s="123"/>
      <c r="C68" s="47"/>
      <c r="D68" s="49"/>
      <c r="E68" s="47"/>
      <c r="F68" s="47"/>
      <c r="G68" s="47"/>
      <c r="H68" s="53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48" customFormat="1">
      <c r="A69" s="123"/>
      <c r="C69" s="47"/>
      <c r="D69" s="49"/>
      <c r="E69" s="47"/>
      <c r="F69" s="47"/>
      <c r="G69" s="47"/>
      <c r="H69" s="53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48" customFormat="1">
      <c r="A70" s="123"/>
      <c r="C70" s="47"/>
      <c r="D70" s="49"/>
      <c r="E70" s="47"/>
      <c r="F70" s="47"/>
      <c r="G70" s="47"/>
      <c r="H70" s="53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48" customFormat="1">
      <c r="A71" s="123"/>
      <c r="C71" s="47"/>
      <c r="D71" s="49"/>
      <c r="E71" s="47"/>
      <c r="F71" s="47"/>
      <c r="G71" s="47"/>
      <c r="H71" s="53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48" customFormat="1">
      <c r="A72" s="123"/>
      <c r="C72" s="47"/>
      <c r="D72" s="49"/>
      <c r="E72" s="47"/>
      <c r="F72" s="47"/>
      <c r="G72" s="47"/>
      <c r="H72" s="53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48" customFormat="1">
      <c r="A73" s="123"/>
      <c r="C73" s="47"/>
      <c r="D73" s="49"/>
      <c r="E73" s="47"/>
      <c r="F73" s="47"/>
      <c r="G73" s="47"/>
      <c r="H73" s="53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48" customFormat="1">
      <c r="A74" s="123"/>
      <c r="C74" s="47"/>
      <c r="D74" s="49"/>
      <c r="E74" s="47"/>
      <c r="F74" s="47"/>
      <c r="G74" s="47"/>
      <c r="H74" s="53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48" customFormat="1">
      <c r="A75" s="123"/>
      <c r="C75" s="47"/>
      <c r="D75" s="49"/>
      <c r="E75" s="47"/>
      <c r="F75" s="47"/>
      <c r="G75" s="47"/>
      <c r="H75" s="53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48" customFormat="1">
      <c r="A76" s="123"/>
      <c r="C76" s="47"/>
      <c r="D76" s="49"/>
      <c r="E76" s="47"/>
      <c r="F76" s="47"/>
      <c r="G76" s="47"/>
      <c r="H76" s="53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48" customFormat="1">
      <c r="A77" s="123"/>
      <c r="C77" s="47"/>
      <c r="D77" s="49"/>
      <c r="E77" s="47"/>
      <c r="F77" s="47"/>
      <c r="G77" s="47"/>
      <c r="H77" s="53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48" customFormat="1">
      <c r="A78" s="123"/>
      <c r="C78" s="47"/>
      <c r="D78" s="49"/>
      <c r="E78" s="47"/>
      <c r="F78" s="47"/>
      <c r="G78" s="47"/>
      <c r="H78" s="53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48" customFormat="1">
      <c r="A79" s="123"/>
      <c r="C79" s="47"/>
      <c r="D79" s="49"/>
      <c r="E79" s="47"/>
      <c r="F79" s="47"/>
      <c r="G79" s="47"/>
      <c r="H79" s="53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48" customFormat="1">
      <c r="A80" s="123"/>
      <c r="C80" s="47"/>
      <c r="D80" s="49"/>
      <c r="E80" s="47"/>
      <c r="F80" s="47"/>
      <c r="G80" s="47"/>
      <c r="H80" s="53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48" customFormat="1">
      <c r="A81" s="123"/>
      <c r="C81" s="47"/>
      <c r="D81" s="49"/>
      <c r="E81" s="47"/>
      <c r="F81" s="47"/>
      <c r="G81" s="47"/>
      <c r="H81" s="53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48" customFormat="1">
      <c r="A82" s="123"/>
      <c r="C82" s="47"/>
      <c r="D82" s="49"/>
      <c r="E82" s="47"/>
      <c r="F82" s="47"/>
      <c r="G82" s="47"/>
      <c r="H82" s="53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48" customFormat="1">
      <c r="A83" s="123"/>
      <c r="C83" s="47"/>
      <c r="D83" s="49"/>
      <c r="E83" s="47"/>
      <c r="F83" s="47"/>
      <c r="G83" s="47"/>
      <c r="H83" s="53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48" customFormat="1">
      <c r="A84" s="123"/>
      <c r="C84" s="47"/>
      <c r="D84" s="49"/>
      <c r="E84" s="47"/>
      <c r="F84" s="47"/>
      <c r="G84" s="47"/>
      <c r="H84" s="53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48" customFormat="1">
      <c r="A85" s="123"/>
      <c r="C85" s="47"/>
      <c r="D85" s="49"/>
      <c r="E85" s="47"/>
      <c r="F85" s="47"/>
      <c r="G85" s="47"/>
      <c r="H85" s="53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48" customFormat="1">
      <c r="A86" s="123"/>
      <c r="C86" s="47"/>
      <c r="D86" s="49"/>
      <c r="E86" s="47"/>
      <c r="F86" s="47"/>
      <c r="G86" s="47"/>
      <c r="H86" s="53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48" customFormat="1">
      <c r="A87" s="123"/>
      <c r="C87" s="47"/>
      <c r="D87" s="49"/>
      <c r="E87" s="47"/>
      <c r="F87" s="47"/>
      <c r="G87" s="47"/>
      <c r="H87" s="53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48" customFormat="1">
      <c r="A88" s="123"/>
      <c r="C88" s="47"/>
      <c r="D88" s="49"/>
      <c r="E88" s="47"/>
      <c r="F88" s="47"/>
      <c r="G88" s="47"/>
      <c r="H88" s="53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48" customFormat="1">
      <c r="A89" s="123"/>
      <c r="C89" s="47"/>
      <c r="D89" s="49"/>
      <c r="E89" s="47"/>
      <c r="F89" s="47"/>
      <c r="G89" s="47"/>
      <c r="H89" s="53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48" customFormat="1">
      <c r="A90" s="123"/>
      <c r="C90" s="47"/>
      <c r="D90" s="49"/>
      <c r="E90" s="47"/>
      <c r="F90" s="47"/>
      <c r="G90" s="47"/>
      <c r="H90" s="53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48" customFormat="1">
      <c r="A91" s="123"/>
      <c r="C91" s="47"/>
      <c r="D91" s="49"/>
      <c r="E91" s="47"/>
      <c r="F91" s="47"/>
      <c r="G91" s="47"/>
      <c r="H91" s="53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48" customFormat="1">
      <c r="A92" s="123"/>
      <c r="C92" s="47"/>
      <c r="D92" s="49"/>
      <c r="E92" s="47"/>
      <c r="F92" s="47"/>
      <c r="G92" s="47"/>
      <c r="H92" s="53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48" customFormat="1">
      <c r="A93" s="123"/>
      <c r="C93" s="47"/>
      <c r="D93" s="49"/>
      <c r="E93" s="47"/>
      <c r="F93" s="47"/>
      <c r="G93" s="47"/>
      <c r="H93" s="53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48" customFormat="1">
      <c r="A94" s="123"/>
      <c r="C94" s="47"/>
      <c r="D94" s="49"/>
      <c r="E94" s="47"/>
      <c r="F94" s="47"/>
      <c r="G94" s="47"/>
      <c r="H94" s="53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48" customFormat="1">
      <c r="A95" s="123"/>
      <c r="C95" s="47"/>
      <c r="D95" s="49"/>
      <c r="E95" s="47"/>
      <c r="F95" s="47"/>
      <c r="G95" s="47"/>
      <c r="H95" s="53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48" customFormat="1">
      <c r="A96" s="123"/>
      <c r="C96" s="47"/>
      <c r="D96" s="49"/>
      <c r="E96" s="47"/>
      <c r="F96" s="47"/>
      <c r="G96" s="47"/>
      <c r="H96" s="53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48" customFormat="1">
      <c r="A97" s="123"/>
      <c r="C97" s="47"/>
      <c r="D97" s="49"/>
      <c r="E97" s="47"/>
      <c r="F97" s="47"/>
      <c r="G97" s="47"/>
      <c r="H97" s="53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48" customFormat="1">
      <c r="A98" s="123"/>
      <c r="C98" s="47"/>
      <c r="D98" s="49"/>
      <c r="E98" s="47"/>
      <c r="F98" s="47"/>
      <c r="G98" s="47"/>
      <c r="H98" s="53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48" customFormat="1">
      <c r="A99" s="123"/>
      <c r="C99" s="47"/>
      <c r="D99" s="49"/>
      <c r="E99" s="47"/>
      <c r="F99" s="47"/>
      <c r="G99" s="47"/>
      <c r="H99" s="53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48" customFormat="1">
      <c r="A100" s="123"/>
      <c r="C100" s="47"/>
      <c r="D100" s="49"/>
      <c r="E100" s="47"/>
      <c r="F100" s="47"/>
      <c r="G100" s="47"/>
      <c r="H100" s="53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48" customFormat="1">
      <c r="A101" s="123"/>
      <c r="C101" s="47"/>
      <c r="D101" s="49"/>
      <c r="E101" s="47"/>
      <c r="F101" s="47"/>
      <c r="G101" s="47"/>
      <c r="H101" s="53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48" customFormat="1">
      <c r="A102" s="123"/>
      <c r="C102" s="47"/>
      <c r="D102" s="49"/>
      <c r="E102" s="47"/>
      <c r="F102" s="47"/>
      <c r="G102" s="47"/>
      <c r="H102" s="53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48" customFormat="1">
      <c r="A103" s="123"/>
      <c r="C103" s="47"/>
      <c r="D103" s="49"/>
      <c r="E103" s="47"/>
      <c r="F103" s="47"/>
      <c r="G103" s="47"/>
      <c r="H103" s="53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48" customFormat="1">
      <c r="A104" s="123"/>
      <c r="C104" s="47"/>
      <c r="D104" s="49"/>
      <c r="E104" s="47"/>
      <c r="F104" s="47"/>
      <c r="G104" s="47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48" customFormat="1">
      <c r="A105" s="123"/>
      <c r="C105" s="47"/>
      <c r="D105" s="49"/>
      <c r="E105" s="47"/>
      <c r="F105" s="47"/>
      <c r="G105" s="47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48" customFormat="1">
      <c r="A106" s="123"/>
      <c r="C106" s="47"/>
      <c r="D106" s="49"/>
      <c r="E106" s="47"/>
      <c r="F106" s="47"/>
      <c r="G106" s="47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48" customFormat="1">
      <c r="A107" s="123"/>
      <c r="C107" s="47"/>
      <c r="D107" s="49"/>
      <c r="E107" s="47"/>
      <c r="F107" s="47"/>
      <c r="G107" s="47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48" customFormat="1">
      <c r="A108" s="123"/>
      <c r="C108" s="47"/>
      <c r="D108" s="49"/>
      <c r="E108" s="47"/>
      <c r="F108" s="47"/>
      <c r="G108" s="47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48" customFormat="1">
      <c r="A109" s="123"/>
      <c r="C109" s="47"/>
      <c r="D109" s="49"/>
      <c r="E109" s="47"/>
      <c r="F109" s="47"/>
      <c r="G109" s="47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48" customFormat="1">
      <c r="A110" s="123"/>
      <c r="C110" s="47"/>
      <c r="D110" s="49"/>
      <c r="E110" s="47"/>
      <c r="F110" s="47"/>
      <c r="G110" s="47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48" customFormat="1">
      <c r="A111" s="123"/>
      <c r="C111" s="47"/>
      <c r="D111" s="49"/>
      <c r="E111" s="47"/>
      <c r="F111" s="47"/>
      <c r="G111" s="47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48" customFormat="1">
      <c r="A112" s="123"/>
      <c r="C112" s="47"/>
      <c r="D112" s="49"/>
      <c r="E112" s="47"/>
      <c r="F112" s="47"/>
      <c r="G112" s="47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48" customFormat="1">
      <c r="A113" s="123"/>
      <c r="C113" s="47"/>
      <c r="D113" s="49"/>
      <c r="E113" s="47"/>
      <c r="F113" s="47"/>
      <c r="G113" s="47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48" customFormat="1">
      <c r="A114" s="123"/>
      <c r="C114" s="47"/>
      <c r="D114" s="49"/>
      <c r="E114" s="47"/>
      <c r="F114" s="47"/>
      <c r="G114" s="47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48" customFormat="1">
      <c r="A115" s="123"/>
      <c r="C115" s="47"/>
      <c r="D115" s="49"/>
      <c r="E115" s="47"/>
      <c r="F115" s="47"/>
      <c r="G115" s="47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48" customFormat="1">
      <c r="A116" s="123"/>
      <c r="C116" s="47"/>
      <c r="D116" s="49"/>
      <c r="E116" s="47"/>
      <c r="F116" s="47"/>
      <c r="G116" s="47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48" customFormat="1">
      <c r="A117" s="123"/>
      <c r="C117" s="47"/>
      <c r="D117" s="49"/>
      <c r="E117" s="47"/>
      <c r="F117" s="47"/>
      <c r="G117" s="47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48" customFormat="1">
      <c r="A118" s="123"/>
      <c r="C118" s="47"/>
      <c r="D118" s="49"/>
      <c r="E118" s="47"/>
      <c r="F118" s="47"/>
      <c r="G118" s="47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48" customFormat="1">
      <c r="A119" s="123"/>
      <c r="C119" s="47"/>
      <c r="D119" s="49"/>
      <c r="E119" s="47"/>
      <c r="F119" s="47"/>
      <c r="G119" s="47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48" customFormat="1">
      <c r="A120" s="123"/>
      <c r="C120" s="47"/>
      <c r="D120" s="49"/>
      <c r="E120" s="47"/>
      <c r="F120" s="47"/>
      <c r="G120" s="47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48" customFormat="1">
      <c r="A121" s="123"/>
      <c r="C121" s="47"/>
      <c r="D121" s="49"/>
      <c r="E121" s="47"/>
      <c r="F121" s="47"/>
      <c r="G121" s="47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48" customFormat="1">
      <c r="A122" s="123"/>
      <c r="C122" s="47"/>
      <c r="D122" s="49"/>
      <c r="E122" s="47"/>
      <c r="F122" s="47"/>
      <c r="G122" s="47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48" customFormat="1">
      <c r="A123" s="123"/>
      <c r="C123" s="47"/>
      <c r="D123" s="49"/>
      <c r="E123" s="47"/>
      <c r="F123" s="47"/>
      <c r="G123" s="47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48" customFormat="1">
      <c r="A124" s="123"/>
      <c r="C124" s="47"/>
      <c r="D124" s="49"/>
      <c r="E124" s="47"/>
      <c r="F124" s="47"/>
      <c r="G124" s="47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48" customFormat="1">
      <c r="A125" s="123"/>
      <c r="C125" s="47"/>
      <c r="D125" s="49"/>
      <c r="E125" s="47"/>
      <c r="F125" s="47"/>
      <c r="G125" s="47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48" customFormat="1">
      <c r="A126" s="123"/>
      <c r="C126" s="47"/>
      <c r="D126" s="49"/>
      <c r="E126" s="47"/>
      <c r="F126" s="47"/>
      <c r="G126" s="47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48" customFormat="1">
      <c r="A127" s="123"/>
      <c r="C127" s="47"/>
      <c r="D127" s="49"/>
      <c r="E127" s="47"/>
      <c r="F127" s="47"/>
      <c r="G127" s="47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48" customFormat="1">
      <c r="A128" s="123"/>
      <c r="C128" s="47"/>
      <c r="D128" s="49"/>
      <c r="E128" s="47"/>
      <c r="F128" s="47"/>
      <c r="G128" s="47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48" customFormat="1">
      <c r="A129" s="123"/>
      <c r="C129" s="47"/>
      <c r="D129" s="49"/>
      <c r="E129" s="47"/>
      <c r="F129" s="47"/>
      <c r="G129" s="47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48" customFormat="1">
      <c r="A130" s="123"/>
      <c r="C130" s="47"/>
      <c r="D130" s="49"/>
      <c r="E130" s="47"/>
      <c r="F130" s="47"/>
      <c r="G130" s="47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48" customFormat="1">
      <c r="A131" s="123"/>
      <c r="C131" s="47"/>
      <c r="D131" s="49"/>
      <c r="E131" s="47"/>
      <c r="F131" s="47"/>
      <c r="G131" s="47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48" customFormat="1">
      <c r="A132" s="123"/>
      <c r="C132" s="47"/>
      <c r="D132" s="49"/>
      <c r="E132" s="47"/>
      <c r="F132" s="47"/>
      <c r="G132" s="47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48" customFormat="1">
      <c r="A133" s="123"/>
      <c r="C133" s="47"/>
      <c r="D133" s="49"/>
      <c r="E133" s="47"/>
      <c r="F133" s="47"/>
      <c r="G133" s="47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48" customFormat="1">
      <c r="A134" s="123"/>
      <c r="C134" s="47"/>
      <c r="D134" s="49"/>
      <c r="E134" s="47"/>
      <c r="F134" s="47"/>
      <c r="G134" s="47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48" customFormat="1">
      <c r="A135" s="123"/>
      <c r="C135" s="47"/>
      <c r="D135" s="49"/>
      <c r="E135" s="47"/>
      <c r="F135" s="47"/>
      <c r="G135" s="47"/>
      <c r="H135" s="53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48" customFormat="1">
      <c r="A136" s="123"/>
      <c r="C136" s="47"/>
      <c r="D136" s="49"/>
      <c r="E136" s="47"/>
      <c r="F136" s="47"/>
      <c r="G136" s="47"/>
      <c r="H136" s="53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48" customFormat="1">
      <c r="A137" s="123"/>
      <c r="C137" s="47"/>
      <c r="D137" s="49"/>
      <c r="E137" s="47"/>
      <c r="F137" s="47"/>
      <c r="G137" s="47"/>
      <c r="H137" s="53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48" customFormat="1">
      <c r="A138" s="123"/>
      <c r="C138" s="47"/>
      <c r="D138" s="49"/>
      <c r="E138" s="47"/>
      <c r="F138" s="47"/>
      <c r="G138" s="47"/>
      <c r="H138" s="53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48" customFormat="1">
      <c r="A139" s="123"/>
      <c r="C139" s="47"/>
      <c r="D139" s="49"/>
      <c r="E139" s="47"/>
      <c r="F139" s="47"/>
      <c r="G139" s="47"/>
      <c r="H139" s="53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48" customFormat="1">
      <c r="A140" s="123"/>
      <c r="C140" s="47"/>
      <c r="D140" s="49"/>
      <c r="E140" s="47"/>
      <c r="F140" s="47"/>
      <c r="G140" s="47"/>
      <c r="H140" s="53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48" customFormat="1">
      <c r="A141" s="123"/>
      <c r="C141" s="47"/>
      <c r="D141" s="49"/>
      <c r="E141" s="47"/>
      <c r="F141" s="47"/>
      <c r="G141" s="47"/>
      <c r="H141" s="53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48" customFormat="1">
      <c r="A142" s="123"/>
      <c r="C142" s="47"/>
      <c r="D142" s="49"/>
      <c r="E142" s="47"/>
      <c r="F142" s="47"/>
      <c r="G142" s="47"/>
      <c r="H142" s="53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48" customFormat="1">
      <c r="A143" s="123"/>
      <c r="C143" s="47"/>
      <c r="D143" s="49"/>
      <c r="E143" s="47"/>
      <c r="F143" s="47"/>
      <c r="G143" s="47"/>
      <c r="H143" s="53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</sheetData>
  <mergeCells count="23">
    <mergeCell ref="C14:E14"/>
    <mergeCell ref="F14:G14"/>
    <mergeCell ref="A2:H2"/>
    <mergeCell ref="A3:H3"/>
    <mergeCell ref="E5:H7"/>
    <mergeCell ref="C13:E13"/>
    <mergeCell ref="F13:G13"/>
    <mergeCell ref="C15:E15"/>
    <mergeCell ref="F15:G15"/>
    <mergeCell ref="C16:E16"/>
    <mergeCell ref="F16:G16"/>
    <mergeCell ref="C17:E17"/>
    <mergeCell ref="F17:G17"/>
    <mergeCell ref="G34:H34"/>
    <mergeCell ref="F40:G40"/>
    <mergeCell ref="C18:E18"/>
    <mergeCell ref="F18:G18"/>
    <mergeCell ref="C19:E19"/>
    <mergeCell ref="F19:G19"/>
    <mergeCell ref="E32:F32"/>
    <mergeCell ref="G32:H32"/>
    <mergeCell ref="E33:F33"/>
    <mergeCell ref="G33:H3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M21"/>
  <sheetViews>
    <sheetView tabSelected="1" topLeftCell="A13" workbookViewId="0">
      <selection activeCell="I22" sqref="I22"/>
    </sheetView>
  </sheetViews>
  <sheetFormatPr defaultRowHeight="12.75"/>
  <cols>
    <col min="1" max="1" width="7.140625" style="129" customWidth="1"/>
    <col min="2" max="2" width="29.7109375" style="129" customWidth="1"/>
    <col min="3" max="3" width="14.7109375" style="129" customWidth="1"/>
    <col min="4" max="4" width="9.28515625" style="129" bestFit="1" customWidth="1"/>
    <col min="5" max="5" width="13" style="129" customWidth="1"/>
    <col min="6" max="6" width="13.140625" style="129" bestFit="1" customWidth="1"/>
    <col min="7" max="8" width="9.28515625" style="129" bestFit="1" customWidth="1"/>
    <col min="9" max="9" width="14.42578125" style="129" customWidth="1"/>
    <col min="10" max="10" width="14" style="129" customWidth="1"/>
    <col min="11" max="11" width="9.7109375" style="129" bestFit="1" customWidth="1"/>
    <col min="12" max="12" width="15.28515625" style="129" customWidth="1"/>
    <col min="13" max="13" width="13.7109375" style="129" customWidth="1"/>
    <col min="14" max="16384" width="9.140625" style="129"/>
  </cols>
  <sheetData>
    <row r="2" spans="1:13" ht="24.75" customHeight="1">
      <c r="A2" s="128" t="s">
        <v>126</v>
      </c>
      <c r="B2" s="193" t="s">
        <v>127</v>
      </c>
      <c r="C2" s="193"/>
      <c r="D2" s="193"/>
      <c r="E2" s="193"/>
      <c r="F2" s="193"/>
      <c r="G2" s="193"/>
      <c r="H2" s="193"/>
      <c r="I2" s="193"/>
      <c r="J2" s="193"/>
    </row>
    <row r="3" spans="1:13">
      <c r="B3" s="150"/>
      <c r="C3" s="150"/>
      <c r="D3" s="150"/>
      <c r="E3" s="150"/>
      <c r="F3" s="150"/>
      <c r="G3" s="150"/>
      <c r="H3" s="150"/>
    </row>
    <row r="4" spans="1:13" s="132" customFormat="1" ht="21" customHeight="1">
      <c r="A4" s="194" t="s">
        <v>0</v>
      </c>
      <c r="B4" s="194" t="s">
        <v>1</v>
      </c>
      <c r="C4" s="194" t="s">
        <v>2</v>
      </c>
      <c r="D4" s="131"/>
      <c r="E4" s="190" t="s">
        <v>3</v>
      </c>
      <c r="F4" s="191"/>
      <c r="G4" s="191"/>
      <c r="H4" s="191"/>
      <c r="I4" s="192"/>
      <c r="J4" s="183" t="s">
        <v>4</v>
      </c>
      <c r="L4" s="182" t="s">
        <v>18</v>
      </c>
      <c r="M4" s="182" t="s">
        <v>19</v>
      </c>
    </row>
    <row r="5" spans="1:13" s="132" customFormat="1" ht="18.75" customHeight="1">
      <c r="A5" s="195"/>
      <c r="B5" s="195"/>
      <c r="C5" s="195"/>
      <c r="D5" s="184" t="s">
        <v>5</v>
      </c>
      <c r="E5" s="184" t="s">
        <v>6</v>
      </c>
      <c r="F5" s="186" t="s">
        <v>7</v>
      </c>
      <c r="G5" s="184" t="s">
        <v>8</v>
      </c>
      <c r="H5" s="184" t="s">
        <v>9</v>
      </c>
      <c r="I5" s="188" t="s">
        <v>10</v>
      </c>
      <c r="J5" s="183"/>
      <c r="L5" s="182"/>
      <c r="M5" s="182"/>
    </row>
    <row r="6" spans="1:13" s="132" customFormat="1" ht="24" customHeight="1">
      <c r="A6" s="196"/>
      <c r="B6" s="196"/>
      <c r="C6" s="196"/>
      <c r="D6" s="185"/>
      <c r="E6" s="185"/>
      <c r="F6" s="187"/>
      <c r="G6" s="185"/>
      <c r="H6" s="185"/>
      <c r="I6" s="189"/>
      <c r="J6" s="183"/>
      <c r="L6" s="182"/>
      <c r="M6" s="182"/>
    </row>
    <row r="7" spans="1:13" s="132" customFormat="1" ht="31.5" customHeight="1">
      <c r="A7" s="127">
        <v>1</v>
      </c>
      <c r="B7" s="127" t="s">
        <v>11</v>
      </c>
      <c r="C7" s="127"/>
      <c r="D7" s="133">
        <f>'ССР 2 кв 2018'!G32/1000</f>
        <v>0.99667109519999986</v>
      </c>
      <c r="E7" s="133">
        <f>'ССР 2 кв 2018'!E31/1000</f>
        <v>0.77013137764682194</v>
      </c>
      <c r="F7" s="133">
        <f>'ССР 2 кв 2018'!F31/1000</f>
        <v>8.7919816350000008</v>
      </c>
      <c r="G7" s="133">
        <f>'ССР 2 кв 2018'!G31/1000</f>
        <v>4.4681399999999998E-3</v>
      </c>
      <c r="H7" s="133">
        <v>0</v>
      </c>
      <c r="I7" s="134">
        <f>SUM(D7:H7)</f>
        <v>10.563252247846822</v>
      </c>
      <c r="J7" s="135">
        <f>I7*1.18</f>
        <v>12.464637652459249</v>
      </c>
      <c r="K7" s="136"/>
      <c r="L7" s="130">
        <v>2020</v>
      </c>
      <c r="M7" s="130">
        <v>2021</v>
      </c>
    </row>
    <row r="8" spans="1:13" s="132" customFormat="1" ht="73.5" customHeight="1">
      <c r="A8" s="127">
        <v>2</v>
      </c>
      <c r="B8" s="127" t="s">
        <v>17</v>
      </c>
      <c r="C8" s="137"/>
      <c r="D8" s="133">
        <v>3.83</v>
      </c>
      <c r="E8" s="133">
        <v>6.63</v>
      </c>
      <c r="F8" s="133">
        <v>4.46</v>
      </c>
      <c r="G8" s="133">
        <v>13.56</v>
      </c>
      <c r="H8" s="133">
        <v>8.7899999999999991</v>
      </c>
      <c r="I8" s="138"/>
      <c r="J8" s="139"/>
    </row>
    <row r="9" spans="1:13" s="132" customFormat="1" ht="34.5" customHeight="1">
      <c r="A9" s="127">
        <v>3</v>
      </c>
      <c r="B9" s="137" t="s">
        <v>12</v>
      </c>
      <c r="C9" s="137" t="s">
        <v>113</v>
      </c>
      <c r="D9" s="140">
        <f>D11/D10</f>
        <v>0.23118851466129575</v>
      </c>
      <c r="E9" s="140">
        <f t="shared" ref="E9:H9" si="0">E11/E10</f>
        <v>0.50165301534909501</v>
      </c>
      <c r="F9" s="140">
        <f t="shared" si="0"/>
        <v>1.5654064200020565</v>
      </c>
      <c r="G9" s="140">
        <f t="shared" si="0"/>
        <v>0</v>
      </c>
      <c r="H9" s="140">
        <f t="shared" si="0"/>
        <v>4.8866581943344936E-2</v>
      </c>
      <c r="I9" s="134">
        <f>SUM(D9:H9)</f>
        <v>2.3471145319557922</v>
      </c>
      <c r="J9" s="135">
        <f>I9*1.2</f>
        <v>2.8165374383469506</v>
      </c>
    </row>
    <row r="10" spans="1:13" s="132" customFormat="1" ht="48" customHeight="1">
      <c r="A10" s="127">
        <v>4</v>
      </c>
      <c r="B10" s="127" t="s">
        <v>13</v>
      </c>
      <c r="C10" s="127" t="s">
        <v>114</v>
      </c>
      <c r="D10" s="141">
        <v>3.99</v>
      </c>
      <c r="E10" s="141">
        <v>6.55</v>
      </c>
      <c r="F10" s="141">
        <v>4.4400000000000004</v>
      </c>
      <c r="G10" s="141">
        <v>13.38</v>
      </c>
      <c r="H10" s="141">
        <v>8.74</v>
      </c>
      <c r="I10" s="138"/>
      <c r="J10" s="139"/>
    </row>
    <row r="11" spans="1:13" s="132" customFormat="1" ht="31.5" customHeight="1">
      <c r="A11" s="127">
        <v>5</v>
      </c>
      <c r="B11" s="127" t="s">
        <v>14</v>
      </c>
      <c r="C11" s="127" t="s">
        <v>115</v>
      </c>
      <c r="D11" s="141">
        <f>D20/D12</f>
        <v>0.92244217349857005</v>
      </c>
      <c r="E11" s="141">
        <f>E20/E19</f>
        <v>3.2858272505365722</v>
      </c>
      <c r="F11" s="141">
        <f t="shared" ref="F11:H11" si="1">F20/F19</f>
        <v>6.9504045048091321</v>
      </c>
      <c r="G11" s="141">
        <f t="shared" si="1"/>
        <v>0</v>
      </c>
      <c r="H11" s="141">
        <f t="shared" si="1"/>
        <v>0.42709392618483477</v>
      </c>
      <c r="I11" s="134">
        <f>SUM(D11:H11)</f>
        <v>11.585767855029109</v>
      </c>
      <c r="J11" s="135">
        <f>I11*1.18</f>
        <v>13.671206068934348</v>
      </c>
      <c r="M11" s="142"/>
    </row>
    <row r="12" spans="1:13" s="132" customFormat="1" ht="15.75" customHeight="1">
      <c r="A12" s="197">
        <v>6</v>
      </c>
      <c r="B12" s="197" t="s">
        <v>124</v>
      </c>
      <c r="C12" s="143" t="s">
        <v>116</v>
      </c>
      <c r="D12" s="144">
        <v>1.0489999999999999</v>
      </c>
      <c r="E12" s="144">
        <v>1.0489999999999999</v>
      </c>
      <c r="F12" s="144">
        <v>1.0489999999999999</v>
      </c>
      <c r="G12" s="144">
        <v>1.0489999999999999</v>
      </c>
      <c r="H12" s="144">
        <v>1.0489999999999999</v>
      </c>
      <c r="I12" s="138"/>
      <c r="J12" s="138"/>
    </row>
    <row r="13" spans="1:13" s="132" customFormat="1">
      <c r="A13" s="198"/>
      <c r="B13" s="198"/>
      <c r="C13" s="143" t="s">
        <v>117</v>
      </c>
      <c r="D13" s="144">
        <v>1.05</v>
      </c>
      <c r="E13" s="144">
        <v>1.05</v>
      </c>
      <c r="F13" s="144">
        <v>1.05</v>
      </c>
      <c r="G13" s="144">
        <v>1.05</v>
      </c>
      <c r="H13" s="144">
        <v>1.05</v>
      </c>
      <c r="I13" s="138"/>
      <c r="J13" s="138"/>
    </row>
    <row r="14" spans="1:13" s="132" customFormat="1">
      <c r="A14" s="198"/>
      <c r="B14" s="198"/>
      <c r="C14" s="143" t="s">
        <v>118</v>
      </c>
      <c r="D14" s="144">
        <v>1.044</v>
      </c>
      <c r="E14" s="144">
        <v>1.044</v>
      </c>
      <c r="F14" s="144">
        <v>1.044</v>
      </c>
      <c r="G14" s="144">
        <v>1.044</v>
      </c>
      <c r="H14" s="144">
        <v>1.044</v>
      </c>
      <c r="I14" s="138"/>
      <c r="J14" s="138"/>
    </row>
    <row r="15" spans="1:13" s="132" customFormat="1">
      <c r="A15" s="198"/>
      <c r="B15" s="198"/>
      <c r="C15" s="143" t="s">
        <v>119</v>
      </c>
      <c r="D15" s="144">
        <v>1.042</v>
      </c>
      <c r="E15" s="144">
        <v>1.042</v>
      </c>
      <c r="F15" s="144">
        <v>1.042</v>
      </c>
      <c r="G15" s="144">
        <v>1.042</v>
      </c>
      <c r="H15" s="144">
        <v>1.042</v>
      </c>
      <c r="I15" s="138"/>
      <c r="J15" s="138"/>
    </row>
    <row r="16" spans="1:13" s="132" customFormat="1">
      <c r="A16" s="198"/>
      <c r="B16" s="198"/>
      <c r="C16" s="143" t="s">
        <v>120</v>
      </c>
      <c r="D16" s="144">
        <v>1.0429999999999999</v>
      </c>
      <c r="E16" s="144">
        <v>1.0429999999999999</v>
      </c>
      <c r="F16" s="144">
        <v>1.0429999999999999</v>
      </c>
      <c r="G16" s="144">
        <v>1.0429999999999999</v>
      </c>
      <c r="H16" s="144">
        <v>1.0429999999999999</v>
      </c>
      <c r="I16" s="138"/>
      <c r="J16" s="138"/>
    </row>
    <row r="17" spans="1:13" s="132" customFormat="1">
      <c r="A17" s="198"/>
      <c r="B17" s="198"/>
      <c r="C17" s="143" t="s">
        <v>121</v>
      </c>
      <c r="D17" s="144">
        <v>1.044</v>
      </c>
      <c r="E17" s="144">
        <v>1.044</v>
      </c>
      <c r="F17" s="144">
        <v>1.044</v>
      </c>
      <c r="G17" s="144">
        <v>1.044</v>
      </c>
      <c r="H17" s="144">
        <v>1.044</v>
      </c>
      <c r="I17" s="138"/>
      <c r="J17" s="138"/>
    </row>
    <row r="18" spans="1:13" s="132" customFormat="1">
      <c r="A18" s="199"/>
      <c r="B18" s="199"/>
      <c r="C18" s="143" t="s">
        <v>122</v>
      </c>
      <c r="D18" s="144">
        <v>1.044</v>
      </c>
      <c r="E18" s="144">
        <v>1.044</v>
      </c>
      <c r="F18" s="144">
        <v>1.044</v>
      </c>
      <c r="G18" s="144">
        <v>1.044</v>
      </c>
      <c r="H18" s="144">
        <v>1.044</v>
      </c>
      <c r="I18" s="138"/>
      <c r="J18" s="138"/>
    </row>
    <row r="19" spans="1:13" s="132" customFormat="1" ht="102">
      <c r="A19" s="127">
        <v>7</v>
      </c>
      <c r="B19" s="127" t="s">
        <v>125</v>
      </c>
      <c r="C19" s="127" t="s">
        <v>16</v>
      </c>
      <c r="D19" s="145">
        <f>D12*D13*D14*D15</f>
        <v>1.1982101796</v>
      </c>
      <c r="E19" s="145">
        <f t="shared" ref="E19:H19" si="2">E12*E13*E14*E15</f>
        <v>1.1982101796</v>
      </c>
      <c r="F19" s="145">
        <f t="shared" si="2"/>
        <v>1.1982101796</v>
      </c>
      <c r="G19" s="145">
        <f t="shared" si="2"/>
        <v>1.1982101796</v>
      </c>
      <c r="H19" s="145">
        <f t="shared" si="2"/>
        <v>1.1982101796</v>
      </c>
      <c r="I19" s="138"/>
      <c r="J19" s="138"/>
    </row>
    <row r="20" spans="1:13" s="132" customFormat="1" ht="35.25" customHeight="1">
      <c r="A20" s="127">
        <v>8</v>
      </c>
      <c r="B20" s="127" t="s">
        <v>131</v>
      </c>
      <c r="C20" s="127" t="s">
        <v>123</v>
      </c>
      <c r="D20" s="146">
        <f>0.96764184</f>
        <v>0.96764183999999998</v>
      </c>
      <c r="E20" s="146">
        <v>3.9371116600000002</v>
      </c>
      <c r="F20" s="146">
        <v>8.3280454299999995</v>
      </c>
      <c r="G20" s="146">
        <v>0</v>
      </c>
      <c r="H20" s="146">
        <v>0.51174828999999999</v>
      </c>
      <c r="I20" s="134">
        <f>SUM(E20:H20)</f>
        <v>12.776905379999999</v>
      </c>
      <c r="J20" s="135">
        <f>I20*1.2+D20*1.18</f>
        <v>16.474103827199997</v>
      </c>
    </row>
    <row r="21" spans="1:13" s="132" customFormat="1" ht="69.75" customHeight="1">
      <c r="A21" s="127">
        <v>9</v>
      </c>
      <c r="B21" s="147" t="s">
        <v>15</v>
      </c>
      <c r="C21" s="147"/>
      <c r="D21" s="133">
        <f>D20</f>
        <v>0.96764183999999998</v>
      </c>
      <c r="E21" s="133">
        <f t="shared" ref="E21:H21" si="3">E20</f>
        <v>3.9371116600000002</v>
      </c>
      <c r="F21" s="133">
        <f t="shared" si="3"/>
        <v>8.3280454299999995</v>
      </c>
      <c r="G21" s="133">
        <f t="shared" si="3"/>
        <v>0</v>
      </c>
      <c r="H21" s="133">
        <f t="shared" si="3"/>
        <v>0.51174828999999999</v>
      </c>
      <c r="I21" s="134">
        <f>SUM(E21:H21)</f>
        <v>12.776905379999999</v>
      </c>
      <c r="J21" s="135">
        <f>I21*1.2+D21*1.18</f>
        <v>16.474103827199997</v>
      </c>
      <c r="L21" s="148"/>
      <c r="M21" s="149"/>
    </row>
  </sheetData>
  <mergeCells count="16">
    <mergeCell ref="B2:J2"/>
    <mergeCell ref="A4:A6"/>
    <mergeCell ref="B4:B6"/>
    <mergeCell ref="C4:C6"/>
    <mergeCell ref="B12:B18"/>
    <mergeCell ref="A12:A18"/>
    <mergeCell ref="L4:L6"/>
    <mergeCell ref="M4:M6"/>
    <mergeCell ref="J4:J6"/>
    <mergeCell ref="D5:D6"/>
    <mergeCell ref="E5:E6"/>
    <mergeCell ref="F5:F6"/>
    <mergeCell ref="G5:G6"/>
    <mergeCell ref="H5:H6"/>
    <mergeCell ref="I5:I6"/>
    <mergeCell ref="E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Пользователь</cp:lastModifiedBy>
  <dcterms:created xsi:type="dcterms:W3CDTF">2019-03-12T19:18:44Z</dcterms:created>
  <dcterms:modified xsi:type="dcterms:W3CDTF">2021-02-19T18:58:47Z</dcterms:modified>
</cp:coreProperties>
</file>