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2\J  19-02_ паспорт_карта\"/>
    </mc:Choice>
  </mc:AlternateContent>
  <xr:revisionPtr revIDLastSave="0" documentId="13_ncr:1_{6310FC89-7410-4A49-90D0-1AE6852C9F84}"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ввод'!$A$1:$AC$64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3" l="1"/>
  <c r="E179" i="33"/>
  <c r="F179" i="33"/>
  <c r="G179" i="33" s="1"/>
  <c r="H179" i="33" s="1"/>
  <c r="I179" i="33" s="1"/>
  <c r="J179" i="33" s="1"/>
  <c r="K179" i="33" s="1"/>
  <c r="L179" i="33" s="1"/>
  <c r="M179" i="33" s="1"/>
  <c r="D179" i="33"/>
  <c r="F65" i="33" l="1"/>
  <c r="AB65" i="33"/>
  <c r="AA65" i="33"/>
  <c r="Z65" i="33"/>
  <c r="Y65" i="33"/>
  <c r="X65" i="33"/>
  <c r="W65" i="33"/>
  <c r="V65" i="33"/>
  <c r="U65" i="33"/>
  <c r="T65" i="33"/>
  <c r="S65" i="33"/>
  <c r="R65" i="33"/>
  <c r="Q65" i="33"/>
  <c r="P65" i="33"/>
  <c r="O65" i="33"/>
  <c r="N65" i="33"/>
  <c r="M65" i="33"/>
  <c r="L65" i="33"/>
  <c r="K65" i="33"/>
  <c r="J65" i="33"/>
  <c r="I65" i="33"/>
  <c r="H65" i="33"/>
  <c r="G65" i="33"/>
  <c r="F67" i="33" l="1"/>
  <c r="G67" i="33"/>
  <c r="G76" i="33"/>
  <c r="AC30" i="29"/>
  <c r="Z58" i="29" l="1"/>
  <c r="B81" i="33"/>
  <c r="N27" i="29"/>
  <c r="N30" i="29"/>
  <c r="N24" i="29" l="1"/>
  <c r="B30" i="26"/>
  <c r="B70" i="26"/>
  <c r="D28" i="29"/>
  <c r="Z28" i="29" s="1"/>
  <c r="AC28" i="29" s="1"/>
  <c r="D27" i="29"/>
  <c r="F31" i="29"/>
  <c r="F30" i="29" s="1"/>
  <c r="E31" i="29"/>
  <c r="E30" i="29"/>
  <c r="Z31" i="29"/>
  <c r="D31" i="29"/>
  <c r="D116" i="33"/>
  <c r="Z25" i="29"/>
  <c r="Z26" i="29"/>
  <c r="Z27" i="29"/>
  <c r="Z29" i="29"/>
  <c r="Z32" i="29"/>
  <c r="Z33" i="29"/>
  <c r="Z34" i="29"/>
  <c r="Z35" i="29"/>
  <c r="Z36" i="29"/>
  <c r="Z37" i="29"/>
  <c r="Z38" i="29"/>
  <c r="Z39" i="29"/>
  <c r="Z40" i="29"/>
  <c r="Z41" i="29"/>
  <c r="Z42" i="29"/>
  <c r="Z43" i="29"/>
  <c r="Z44" i="29"/>
  <c r="Z45" i="29"/>
  <c r="Z46" i="29"/>
  <c r="Z47" i="29"/>
  <c r="Z48" i="29"/>
  <c r="Z49" i="29"/>
  <c r="Z50" i="29"/>
  <c r="Z51" i="29"/>
  <c r="Z52" i="29"/>
  <c r="Z53" i="29"/>
  <c r="Z54" i="29"/>
  <c r="Z55" i="29"/>
  <c r="Z56" i="29"/>
  <c r="Z57" i="29"/>
  <c r="Z59" i="29"/>
  <c r="Z60" i="29"/>
  <c r="Z61" i="29"/>
  <c r="Z62" i="29"/>
  <c r="Z63" i="29"/>
  <c r="Z64" i="29"/>
  <c r="A14" i="29"/>
  <c r="A11" i="29"/>
  <c r="A4" i="29"/>
  <c r="A12" i="33"/>
  <c r="A9" i="33"/>
  <c r="A15" i="33"/>
  <c r="A5" i="33"/>
  <c r="I117" i="33"/>
  <c r="B110" i="33"/>
  <c r="B116" i="33" s="1"/>
  <c r="F139" i="33"/>
  <c r="E139" i="33"/>
  <c r="D139" i="33"/>
  <c r="C139" i="33"/>
  <c r="B139" i="33"/>
  <c r="G138"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U134" i="33"/>
  <c r="AV134" i="33" s="1"/>
  <c r="AW134" i="33" s="1"/>
  <c r="AX134" i="33" s="1"/>
  <c r="AY134"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C103" i="33"/>
  <c r="B100" i="33"/>
  <c r="AV135" i="33" l="1"/>
  <c r="AW135" i="33" s="1"/>
  <c r="AX135" i="33" s="1"/>
  <c r="AY135" i="33" s="1"/>
  <c r="D24" i="29"/>
  <c r="Z24" i="29" s="1"/>
  <c r="E81" i="33" s="1"/>
  <c r="B27" i="26"/>
  <c r="B72" i="26" s="1"/>
  <c r="G118" i="33"/>
  <c r="D107" i="33"/>
  <c r="E107" i="33" s="1"/>
  <c r="H138" i="33"/>
  <c r="I138" i="33" s="1"/>
  <c r="G139" i="33"/>
  <c r="I139" i="33" l="1"/>
  <c r="D106" i="33"/>
  <c r="J138" i="33"/>
  <c r="K138" i="33" s="1"/>
  <c r="K139" i="33" s="1"/>
  <c r="E106" i="33"/>
  <c r="F107" i="33"/>
  <c r="H139" i="33"/>
  <c r="L138" i="33"/>
  <c r="L139" i="33"/>
  <c r="F106" i="33" l="1"/>
  <c r="G107" i="33"/>
  <c r="J139" i="33"/>
  <c r="M138" i="33"/>
  <c r="G106" i="33" l="1"/>
  <c r="H107" i="33"/>
  <c r="N138" i="33"/>
  <c r="N139" i="33" s="1"/>
  <c r="M139" i="33"/>
  <c r="I107" i="33" l="1"/>
  <c r="H106" i="33"/>
  <c r="O138" i="33"/>
  <c r="J107" i="33" l="1"/>
  <c r="I106" i="33"/>
  <c r="P138" i="33"/>
  <c r="P139" i="33" s="1"/>
  <c r="O139" i="33"/>
  <c r="K107" i="33" l="1"/>
  <c r="J106" i="33"/>
  <c r="F49" i="33" s="1"/>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c r="AI107" i="33" l="1"/>
  <c r="AH106" i="33"/>
  <c r="AO138" i="33"/>
  <c r="AJ107" i="33" l="1"/>
  <c r="AI106" i="33"/>
  <c r="AP138" i="33"/>
  <c r="AO139" i="33"/>
  <c r="AK107" i="33" l="1"/>
  <c r="AJ106" i="33"/>
  <c r="AQ138" i="33"/>
  <c r="AQ139" i="33" s="1"/>
  <c r="AP139" i="33"/>
  <c r="AL107" i="33" l="1"/>
  <c r="AK106" i="33"/>
  <c r="AR138" i="33"/>
  <c r="AR139" i="33"/>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B79" i="33" l="1"/>
  <c r="C92" i="33"/>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AB59" i="33"/>
  <c r="AA59" i="33"/>
  <c r="Z59" i="33"/>
  <c r="Y59" i="33"/>
  <c r="X59" i="33"/>
  <c r="W59" i="33"/>
  <c r="U59" i="33"/>
  <c r="T59" i="33"/>
  <c r="S59" i="33"/>
  <c r="R59" i="33"/>
  <c r="Q59" i="33"/>
  <c r="P59" i="33"/>
  <c r="O59" i="33"/>
  <c r="M59" i="33"/>
  <c r="K59" i="33"/>
  <c r="J59" i="33"/>
  <c r="I59" i="33"/>
  <c r="H59" i="33"/>
  <c r="G59" i="33"/>
  <c r="F59" i="33"/>
  <c r="E59" i="33"/>
  <c r="D59" i="33"/>
  <c r="C59" i="33"/>
  <c r="B59" i="33"/>
  <c r="B66" i="33" s="1"/>
  <c r="B68" i="33" s="1"/>
  <c r="E58" i="33"/>
  <c r="D58" i="33"/>
  <c r="D80" i="33" s="1"/>
  <c r="C58" i="33"/>
  <c r="C80" i="33" s="1"/>
  <c r="B58" i="33"/>
  <c r="B49" i="33"/>
  <c r="B48" i="33"/>
  <c r="C48" i="33" s="1"/>
  <c r="D48" i="33" s="1"/>
  <c r="E48" i="33" s="1"/>
  <c r="B45" i="33"/>
  <c r="B34" i="33"/>
  <c r="N62" i="33" s="1"/>
  <c r="V62" i="33" s="1"/>
  <c r="B28" i="33"/>
  <c r="L60" i="33" s="1"/>
  <c r="L59" i="33" s="1"/>
  <c r="AC25" i="29"/>
  <c r="AC26" i="29"/>
  <c r="AC27" i="29"/>
  <c r="AC29" i="29"/>
  <c r="C51" i="7"/>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8" i="29"/>
  <c r="AC59" i="29"/>
  <c r="AC60" i="29"/>
  <c r="AC61" i="29"/>
  <c r="AC62" i="29"/>
  <c r="AC63" i="29"/>
  <c r="AC64" i="29"/>
  <c r="AC24" i="29"/>
  <c r="C50" i="7" s="1"/>
  <c r="G48" i="33" l="1"/>
  <c r="F48" i="33"/>
  <c r="F58" i="33" s="1"/>
  <c r="F80" i="33" s="1"/>
  <c r="B75" i="33"/>
  <c r="B70" i="33"/>
  <c r="AD62" i="33"/>
  <c r="AD59" i="33" s="1"/>
  <c r="V59" i="33"/>
  <c r="E80" i="33"/>
  <c r="E66" i="33"/>
  <c r="E68" i="33" s="1"/>
  <c r="D66" i="33"/>
  <c r="D68" i="33" s="1"/>
  <c r="N59" i="33"/>
  <c r="B80" i="33"/>
  <c r="H67" i="33"/>
  <c r="C66" i="33"/>
  <c r="C68" i="33" s="1"/>
  <c r="F66" i="33" l="1"/>
  <c r="F68" i="33" s="1"/>
  <c r="F70" i="33" s="1"/>
  <c r="H48" i="33"/>
  <c r="G49" i="33"/>
  <c r="G58" i="33" s="1"/>
  <c r="C70" i="33"/>
  <c r="C75" i="33"/>
  <c r="D70" i="33"/>
  <c r="D75" i="33"/>
  <c r="E75" i="33"/>
  <c r="E70" i="33"/>
  <c r="B71" i="33"/>
  <c r="B72" i="33"/>
  <c r="C79" i="33"/>
  <c r="H76" i="33"/>
  <c r="I67" i="33"/>
  <c r="F75" i="33" l="1"/>
  <c r="G80" i="33"/>
  <c r="G66" i="33"/>
  <c r="G68" i="33" s="1"/>
  <c r="I48" i="33"/>
  <c r="H49" i="33"/>
  <c r="H58" i="33" s="1"/>
  <c r="D71" i="33"/>
  <c r="D72" i="33" s="1"/>
  <c r="F71" i="33"/>
  <c r="F72" i="33" s="1"/>
  <c r="C71" i="33"/>
  <c r="C72" i="33" s="1"/>
  <c r="B78" i="33"/>
  <c r="B83" i="33" s="1"/>
  <c r="J67" i="33"/>
  <c r="I76" i="33"/>
  <c r="E71" i="33"/>
  <c r="E72" i="33" s="1"/>
  <c r="D79" i="33"/>
  <c r="E79" i="33" s="1"/>
  <c r="J48" i="33" l="1"/>
  <c r="I49" i="33"/>
  <c r="I58" i="33" s="1"/>
  <c r="H80" i="33"/>
  <c r="H66" i="33"/>
  <c r="H68" i="33" s="1"/>
  <c r="G70" i="33"/>
  <c r="G71" i="33" s="1"/>
  <c r="G72" i="33" s="1"/>
  <c r="G75" i="33"/>
  <c r="F79" i="33"/>
  <c r="G79" i="33" s="1"/>
  <c r="C78" i="33"/>
  <c r="J76" i="33"/>
  <c r="K67" i="33"/>
  <c r="B86" i="33"/>
  <c r="B88" i="33"/>
  <c r="B84" i="33"/>
  <c r="B89" i="33" s="1"/>
  <c r="H70" i="33" l="1"/>
  <c r="H71" i="33" s="1"/>
  <c r="H72" i="33" s="1"/>
  <c r="H75" i="33"/>
  <c r="I66" i="33"/>
  <c r="I68" i="33" s="1"/>
  <c r="I80" i="33"/>
  <c r="K48" i="33"/>
  <c r="J49" i="33"/>
  <c r="J58" i="33" s="1"/>
  <c r="H79" i="33"/>
  <c r="I79" i="33" s="1"/>
  <c r="L67" i="33"/>
  <c r="K76" i="33"/>
  <c r="B87" i="33"/>
  <c r="B90" i="33" s="1"/>
  <c r="C83" i="33"/>
  <c r="D78" i="33"/>
  <c r="I75" i="33" l="1"/>
  <c r="I70" i="33"/>
  <c r="I71" i="33" s="1"/>
  <c r="I72" i="33" s="1"/>
  <c r="J80" i="33"/>
  <c r="J66" i="33"/>
  <c r="J68" i="33" s="1"/>
  <c r="L48" i="33"/>
  <c r="K49" i="33"/>
  <c r="K58" i="33" s="1"/>
  <c r="J79" i="33"/>
  <c r="C86" i="33"/>
  <c r="C88" i="33"/>
  <c r="C84" i="33"/>
  <c r="C89" i="33" s="1"/>
  <c r="D83" i="33"/>
  <c r="D86" i="33" s="1"/>
  <c r="F78" i="33"/>
  <c r="F83" i="33" s="1"/>
  <c r="F86" i="33" s="1"/>
  <c r="E78" i="33"/>
  <c r="E83" i="33" s="1"/>
  <c r="E86" i="33" s="1"/>
  <c r="L76" i="33"/>
  <c r="M67" i="33"/>
  <c r="M48" i="33" l="1"/>
  <c r="L49" i="33"/>
  <c r="L58" i="33" s="1"/>
  <c r="J70" i="33"/>
  <c r="J71" i="33" s="1"/>
  <c r="J72" i="33" s="1"/>
  <c r="J75" i="33"/>
  <c r="K80" i="33"/>
  <c r="K66" i="33"/>
  <c r="K68" i="33" s="1"/>
  <c r="N67" i="33"/>
  <c r="M76" i="33"/>
  <c r="K79" i="33"/>
  <c r="F84" i="33"/>
  <c r="D88" i="33"/>
  <c r="E88" i="33"/>
  <c r="F88" i="33"/>
  <c r="G78" i="33"/>
  <c r="G83" i="33" s="1"/>
  <c r="D84" i="33"/>
  <c r="D89" i="33" s="1"/>
  <c r="E84" i="33"/>
  <c r="C87" i="33"/>
  <c r="C90" i="33" s="1"/>
  <c r="F87" i="33"/>
  <c r="E87" i="33"/>
  <c r="D87" i="33"/>
  <c r="L79" i="33" l="1"/>
  <c r="E89" i="33"/>
  <c r="N48" i="33"/>
  <c r="M49" i="33"/>
  <c r="M58" i="33" s="1"/>
  <c r="M79" i="33" s="1"/>
  <c r="K75" i="33"/>
  <c r="K70" i="33"/>
  <c r="K71" i="33" s="1"/>
  <c r="K72" i="33" s="1"/>
  <c r="L80" i="33"/>
  <c r="L66" i="33"/>
  <c r="L68" i="33" s="1"/>
  <c r="D90" i="33"/>
  <c r="H78" i="33"/>
  <c r="H83" i="33" s="1"/>
  <c r="H86" i="33" s="1"/>
  <c r="F90" i="33"/>
  <c r="F89" i="33"/>
  <c r="G86" i="33"/>
  <c r="G88" i="33"/>
  <c r="G84" i="33"/>
  <c r="G89" i="33" s="1"/>
  <c r="E90" i="33"/>
  <c r="N76" i="33"/>
  <c r="O67" i="33"/>
  <c r="O48" i="33" l="1"/>
  <c r="N49" i="33"/>
  <c r="N58" i="33" s="1"/>
  <c r="N79" i="33" s="1"/>
  <c r="L70" i="33"/>
  <c r="L71" i="33" s="1"/>
  <c r="L75" i="33"/>
  <c r="M80" i="33"/>
  <c r="M66" i="33"/>
  <c r="M68" i="33" s="1"/>
  <c r="H88" i="33"/>
  <c r="H84" i="33"/>
  <c r="H89" i="33" s="1"/>
  <c r="I78" i="33"/>
  <c r="H87" i="33"/>
  <c r="G87" i="33"/>
  <c r="G90" i="33" s="1"/>
  <c r="P67" i="33"/>
  <c r="O76" i="33"/>
  <c r="L72" i="33" l="1"/>
  <c r="M75" i="33"/>
  <c r="M70" i="33"/>
  <c r="M71" i="33" s="1"/>
  <c r="M72" i="33" s="1"/>
  <c r="N80" i="33"/>
  <c r="N66" i="33"/>
  <c r="N68" i="33" s="1"/>
  <c r="P48" i="33"/>
  <c r="O49" i="33"/>
  <c r="O58" i="33" s="1"/>
  <c r="O79" i="33" s="1"/>
  <c r="I83" i="33"/>
  <c r="J78" i="33"/>
  <c r="J83" i="33" s="1"/>
  <c r="J86" i="33" s="1"/>
  <c r="P76" i="33"/>
  <c r="Q67" i="33"/>
  <c r="H90" i="33"/>
  <c r="N75" i="33" l="1"/>
  <c r="N70" i="33"/>
  <c r="N71" i="33" s="1"/>
  <c r="O80" i="33"/>
  <c r="O66" i="33"/>
  <c r="O68" i="33" s="1"/>
  <c r="Q48" i="33"/>
  <c r="P49" i="33"/>
  <c r="P58" i="33" s="1"/>
  <c r="P79" i="33" s="1"/>
  <c r="K78" i="33"/>
  <c r="K83" i="33" s="1"/>
  <c r="K86" i="33" s="1"/>
  <c r="I86" i="33"/>
  <c r="J88" i="33"/>
  <c r="I84" i="33"/>
  <c r="I89" i="33" s="1"/>
  <c r="I88" i="33"/>
  <c r="J84" i="33"/>
  <c r="R67" i="33"/>
  <c r="Q76" i="33"/>
  <c r="N72" i="33" l="1"/>
  <c r="P80" i="33"/>
  <c r="P66" i="33"/>
  <c r="P68" i="33" s="1"/>
  <c r="R48" i="33"/>
  <c r="Q49" i="33"/>
  <c r="Q58" i="33" s="1"/>
  <c r="O70" i="33"/>
  <c r="O71" i="33" s="1"/>
  <c r="O75" i="33"/>
  <c r="K84" i="33"/>
  <c r="K89" i="33" s="1"/>
  <c r="K88" i="33"/>
  <c r="J89" i="33"/>
  <c r="I87" i="33"/>
  <c r="I90" i="33" s="1"/>
  <c r="K87" i="33"/>
  <c r="J87" i="33"/>
  <c r="L78" i="33"/>
  <c r="R76" i="33"/>
  <c r="S67" i="33"/>
  <c r="O72" i="33" l="1"/>
  <c r="P70" i="33"/>
  <c r="P71" i="33" s="1"/>
  <c r="P75" i="33"/>
  <c r="Q66" i="33"/>
  <c r="Q68" i="33" s="1"/>
  <c r="Q80" i="33"/>
  <c r="Q79" i="33"/>
  <c r="S48" i="33"/>
  <c r="R49" i="33"/>
  <c r="R58" i="33" s="1"/>
  <c r="J90" i="33"/>
  <c r="K90" i="33"/>
  <c r="L83" i="33"/>
  <c r="M78" i="33"/>
  <c r="M83" i="33" s="1"/>
  <c r="T67" i="33"/>
  <c r="S76" i="33"/>
  <c r="R79" i="33" l="1"/>
  <c r="R80" i="33"/>
  <c r="R66" i="33"/>
  <c r="R68" i="33" s="1"/>
  <c r="Q75" i="33"/>
  <c r="Q70" i="33"/>
  <c r="Q71" i="33" s="1"/>
  <c r="Q72" i="33" s="1"/>
  <c r="P72" i="33"/>
  <c r="T48" i="33"/>
  <c r="S49" i="33"/>
  <c r="S58" i="33" s="1"/>
  <c r="M84" i="33"/>
  <c r="M86" i="33"/>
  <c r="N78" i="33"/>
  <c r="L88" i="33"/>
  <c r="L86" i="33"/>
  <c r="M88" i="33"/>
  <c r="L84" i="33"/>
  <c r="L89" i="33" s="1"/>
  <c r="T76" i="33"/>
  <c r="U67" i="33"/>
  <c r="S79" i="33" l="1"/>
  <c r="S80" i="33"/>
  <c r="S66" i="33"/>
  <c r="S68" i="33" s="1"/>
  <c r="U48" i="33"/>
  <c r="T49" i="33"/>
  <c r="T58" i="33" s="1"/>
  <c r="R70" i="33"/>
  <c r="R71" i="33" s="1"/>
  <c r="R72" i="33" s="1"/>
  <c r="R75" i="33"/>
  <c r="B103" i="33"/>
  <c r="L87" i="33"/>
  <c r="L90" i="33" s="1"/>
  <c r="M87" i="33"/>
  <c r="N83" i="33"/>
  <c r="O78" i="33"/>
  <c r="P78" i="33" s="1"/>
  <c r="P83" i="33" s="1"/>
  <c r="P86" i="33" s="1"/>
  <c r="M89" i="33"/>
  <c r="V67" i="33"/>
  <c r="U76" i="33"/>
  <c r="T80" i="33" l="1"/>
  <c r="T66" i="33"/>
  <c r="T68" i="33" s="1"/>
  <c r="T79" i="33"/>
  <c r="V48" i="33"/>
  <c r="U49" i="33"/>
  <c r="U58" i="33" s="1"/>
  <c r="S75" i="33"/>
  <c r="S70" i="33"/>
  <c r="S71" i="33" s="1"/>
  <c r="S72" i="33" s="1"/>
  <c r="M90" i="33"/>
  <c r="N86" i="33"/>
  <c r="N84" i="33"/>
  <c r="N89" i="33" s="1"/>
  <c r="N88" i="33"/>
  <c r="O83" i="33"/>
  <c r="O88" i="33" s="1"/>
  <c r="Q78" i="33"/>
  <c r="W67" i="33"/>
  <c r="V76" i="33"/>
  <c r="W48" i="33" l="1"/>
  <c r="V49" i="33"/>
  <c r="V58" i="33" s="1"/>
  <c r="U79" i="33"/>
  <c r="T75" i="33"/>
  <c r="T70" i="33"/>
  <c r="T71" i="33" s="1"/>
  <c r="U80" i="33"/>
  <c r="U66" i="33"/>
  <c r="U68" i="33" s="1"/>
  <c r="N87" i="33"/>
  <c r="N90" i="33" s="1"/>
  <c r="Q83" i="33"/>
  <c r="Q88" i="33" s="1"/>
  <c r="R78" i="33"/>
  <c r="R83" i="33" s="1"/>
  <c r="R86" i="33" s="1"/>
  <c r="O86" i="33"/>
  <c r="O87" i="33" s="1"/>
  <c r="P84" i="33"/>
  <c r="O84" i="33"/>
  <c r="O89" i="33" s="1"/>
  <c r="P88" i="33"/>
  <c r="X67" i="33"/>
  <c r="W76" i="33"/>
  <c r="V79" i="33" l="1"/>
  <c r="T72" i="33"/>
  <c r="U75" i="33"/>
  <c r="U70" i="33"/>
  <c r="U71" i="33" s="1"/>
  <c r="U72" i="33" s="1"/>
  <c r="V80" i="33"/>
  <c r="V66" i="33"/>
  <c r="V68" i="33" s="1"/>
  <c r="X48" i="33"/>
  <c r="W49" i="33"/>
  <c r="W58" i="33" s="1"/>
  <c r="O90" i="33"/>
  <c r="P87" i="33"/>
  <c r="P89" i="33"/>
  <c r="R88" i="33"/>
  <c r="Q86" i="33"/>
  <c r="Q87" i="33" s="1"/>
  <c r="Q84" i="33"/>
  <c r="Q89" i="33" s="1"/>
  <c r="S78" i="33"/>
  <c r="S83" i="33" s="1"/>
  <c r="R84" i="33"/>
  <c r="X76" i="33"/>
  <c r="Y67" i="33"/>
  <c r="R89" i="33" l="1"/>
  <c r="W80" i="33"/>
  <c r="W66" i="33"/>
  <c r="W68" i="33" s="1"/>
  <c r="W79" i="33"/>
  <c r="X79" i="33" s="1"/>
  <c r="Y48" i="33"/>
  <c r="X49" i="33"/>
  <c r="X58" i="33" s="1"/>
  <c r="V75" i="33"/>
  <c r="V70" i="33"/>
  <c r="P90" i="33"/>
  <c r="Q90" i="33"/>
  <c r="S86" i="33"/>
  <c r="S87" i="33" s="1"/>
  <c r="S84" i="33"/>
  <c r="S89" i="33" s="1"/>
  <c r="R87" i="33"/>
  <c r="R90" i="33" s="1"/>
  <c r="T78" i="33"/>
  <c r="T83" i="33" s="1"/>
  <c r="T86" i="33" s="1"/>
  <c r="S88" i="33"/>
  <c r="Z67" i="33"/>
  <c r="Y76" i="33"/>
  <c r="W75" i="33" l="1"/>
  <c r="W70" i="33"/>
  <c r="W71" i="33" s="1"/>
  <c r="Z48" i="33"/>
  <c r="Y49" i="33"/>
  <c r="Y58" i="33" s="1"/>
  <c r="V71" i="33"/>
  <c r="V72" i="33" s="1"/>
  <c r="X80" i="33"/>
  <c r="X66" i="33"/>
  <c r="X68" i="33" s="1"/>
  <c r="T87" i="33"/>
  <c r="T90" i="33" s="1"/>
  <c r="T84" i="33"/>
  <c r="T89" i="33" s="1"/>
  <c r="T88" i="33"/>
  <c r="U78" i="33"/>
  <c r="U83" i="33" s="1"/>
  <c r="U86" i="33" s="1"/>
  <c r="U87" i="33" s="1"/>
  <c r="S90" i="33"/>
  <c r="AA67" i="33"/>
  <c r="Z76" i="33"/>
  <c r="W72" i="33"/>
  <c r="AA48" i="33" l="1"/>
  <c r="Z49" i="33"/>
  <c r="Z58" i="33" s="1"/>
  <c r="X70" i="33"/>
  <c r="X71" i="33" s="1"/>
  <c r="X75" i="33"/>
  <c r="Y66" i="33"/>
  <c r="Y68" i="33" s="1"/>
  <c r="Y80" i="33"/>
  <c r="Y79" i="33"/>
  <c r="Z79" i="33" s="1"/>
  <c r="U90" i="33"/>
  <c r="U84" i="33"/>
  <c r="U89" i="33" s="1"/>
  <c r="U88" i="33"/>
  <c r="V78" i="33"/>
  <c r="V83" i="33" s="1"/>
  <c r="V86" i="33" s="1"/>
  <c r="V87" i="33" s="1"/>
  <c r="V90" i="33" s="1"/>
  <c r="AB67" i="33"/>
  <c r="AA76" i="33"/>
  <c r="X72" i="33" l="1"/>
  <c r="Y70" i="33"/>
  <c r="Y71" i="33" s="1"/>
  <c r="Y75" i="33"/>
  <c r="AB48" i="33"/>
  <c r="AA49" i="33"/>
  <c r="AA58" i="33" s="1"/>
  <c r="Z80" i="33"/>
  <c r="Z66" i="33"/>
  <c r="Z68" i="33" s="1"/>
  <c r="V88" i="33"/>
  <c r="V84" i="33"/>
  <c r="V89" i="33" s="1"/>
  <c r="W78" i="33"/>
  <c r="W83" i="33" s="1"/>
  <c r="W86" i="33" s="1"/>
  <c r="W87" i="33" s="1"/>
  <c r="W90" i="33" s="1"/>
  <c r="AB76" i="33"/>
  <c r="Y72" i="33" l="1"/>
  <c r="AA80" i="33"/>
  <c r="AA66" i="33"/>
  <c r="AA68" i="33" s="1"/>
  <c r="Z75" i="33"/>
  <c r="Z70" i="33"/>
  <c r="AC48" i="33"/>
  <c r="AB49" i="33"/>
  <c r="AB58" i="33" s="1"/>
  <c r="AA79" i="33"/>
  <c r="AB79" i="33" s="1"/>
  <c r="W84" i="33"/>
  <c r="W89" i="33" s="1"/>
  <c r="X78" i="33"/>
  <c r="X83" i="33" s="1"/>
  <c r="X84" i="33" s="1"/>
  <c r="W88" i="33"/>
  <c r="AD67" i="33"/>
  <c r="AC76" i="33"/>
  <c r="Y78" i="33" l="1"/>
  <c r="Y83" i="33" s="1"/>
  <c r="Y86" i="33" s="1"/>
  <c r="X88" i="33"/>
  <c r="X86" i="33"/>
  <c r="X87" i="33" s="1"/>
  <c r="X90" i="33" s="1"/>
  <c r="Z71" i="33"/>
  <c r="Z72" i="33" s="1"/>
  <c r="AB80" i="33"/>
  <c r="AB66" i="33"/>
  <c r="AB68" i="33" s="1"/>
  <c r="AA70" i="33"/>
  <c r="AA71" i="33" s="1"/>
  <c r="AA72" i="33" s="1"/>
  <c r="AA75" i="33"/>
  <c r="AD48" i="33"/>
  <c r="AC49" i="33"/>
  <c r="AC58" i="33" s="1"/>
  <c r="AC79" i="33" s="1"/>
  <c r="X89" i="33"/>
  <c r="AE67" i="33"/>
  <c r="AD76" i="33"/>
  <c r="Y84" i="33" l="1"/>
  <c r="Y89" i="33" s="1"/>
  <c r="Y88" i="33"/>
  <c r="Z78" i="33"/>
  <c r="Z83" i="33" s="1"/>
  <c r="Z86" i="33" s="1"/>
  <c r="Z87" i="33" s="1"/>
  <c r="Y87" i="33"/>
  <c r="Y90" i="33" s="1"/>
  <c r="AE48" i="33"/>
  <c r="AE49" i="33" s="1"/>
  <c r="AE58" i="33" s="1"/>
  <c r="AD49" i="33"/>
  <c r="AD58" i="33" s="1"/>
  <c r="AC80" i="33"/>
  <c r="AC66" i="33"/>
  <c r="AC68" i="33" s="1"/>
  <c r="AB75" i="33"/>
  <c r="AB70" i="33"/>
  <c r="AB71" i="33" s="1"/>
  <c r="AE76" i="33"/>
  <c r="Z88" i="33" l="1"/>
  <c r="Z84" i="33"/>
  <c r="Z89" i="33" s="1"/>
  <c r="Z90" i="33"/>
  <c r="AA78" i="33"/>
  <c r="AA83" i="33" s="1"/>
  <c r="AA86" i="33" s="1"/>
  <c r="AA87" i="33" s="1"/>
  <c r="AA90" i="33" s="1"/>
  <c r="AB72" i="33"/>
  <c r="AD80" i="33"/>
  <c r="AD66" i="33"/>
  <c r="AD68" i="33" s="1"/>
  <c r="AE80" i="33"/>
  <c r="AE66" i="33"/>
  <c r="AE68" i="33" s="1"/>
  <c r="AE70" i="33" s="1"/>
  <c r="AC70" i="33"/>
  <c r="AC71" i="33" s="1"/>
  <c r="AC75" i="33"/>
  <c r="AD79" i="33"/>
  <c r="AE79" i="33" s="1"/>
  <c r="AA88" i="33" l="1"/>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S22" i="12"/>
  <c r="AD83" i="33" l="1"/>
  <c r="AD84" i="33" s="1"/>
  <c r="AD89" i="33" s="1"/>
  <c r="C45" i="7"/>
  <c r="AD88" i="33" l="1"/>
  <c r="AD86" i="33"/>
  <c r="AD87" i="33" s="1"/>
  <c r="AD90" i="33" s="1"/>
  <c r="AE84" i="33"/>
  <c r="AE89" i="33" s="1"/>
  <c r="G27" i="33" s="1"/>
  <c r="D103" i="33" s="1"/>
  <c r="AE88" i="33"/>
  <c r="G26" i="5"/>
  <c r="D26" i="5"/>
  <c r="AE87" i="33" l="1"/>
  <c r="AE90" i="33" s="1"/>
  <c r="G28" i="33" s="1"/>
  <c r="A103" i="33" s="1"/>
  <c r="O27" i="13"/>
  <c r="B11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<sst xmlns="http://schemas.openxmlformats.org/spreadsheetml/2006/main" count="1848" uniqueCount="661">
  <si>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</si>
  <si>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</si>
  <si>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</si>
  <si>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</si>
  <si>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</si>
  <si>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</si>
  <si>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</si>
  <si>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</si>
  <si>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</si>
  <si>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</si>
  <si>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</si>
  <si>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</si>
  <si>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</si>
  <si>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</si>
  <si>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</si>
  <si>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</si>
  <si>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</si>
  <si>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</si>
  <si>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</si>
  <si>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</si>
  <si>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</si>
  <si>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</si>
  <si>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</si>
  <si>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</si>
  <si>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</si>
  <si>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</si>
  <si>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</si>
  <si>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</si>
  <si>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</si>
  <si>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</si>
  <si>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</si>
  <si>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</si>
  <si>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</si>
  <si>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</si>
  <si>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</si>
  <si>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</si>
  <si>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</si>
  <si>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</si>
  <si>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</si>
  <si>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</si>
  <si>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</si>
  <si>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</si>
  <si>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</si>
  <si>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</si>
  <si>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</si>
  <si>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</si>
  <si>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</si>
  <si>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</si>
  <si>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</si>
  <si>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</si>
  <si>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</si>
  <si>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</si>
  <si>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</si>
  <si>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</si>
  <si>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</si>
  <si>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</si>
  <si>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</si>
  <si>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</si>
  <si>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</si>
  <si>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</si>
  <si>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</si>
  <si>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</si>
  <si>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</si>
  <si>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</si>
  <si>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</si>
  <si>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</si>
  <si>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</si>
  <si>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</si>
  <si>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</si>
  <si>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</si>
  <si>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</si>
  <si>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</si>
  <si>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</si>
  <si>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</si>
  <si>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</si>
  <si>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</si>
  <si>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</si>
  <si>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</si>
  <si>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</si>
  <si>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</si>
  <si>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</si>
  <si>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</si>
  <si>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</si>
  <si>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</si>
  <si>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</si>
  <si>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</si>
  <si>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</si>
  <si>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</si>
  <si>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</si>
  <si>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</si>
  <si>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</si>
  <si>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</si>
  <si>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</si>
  <si>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</si>
  <si>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</si>
  <si>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</si>
  <si>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</si>
  <si>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</si>
  <si>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</si>
  <si>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</si>
  <si>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</si>
  <si>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</si>
  <si>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</si>
  <si>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</si>
  <si>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</si>
  <si>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</si>
  <si>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</si>
  <si>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</si>
  <si>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</si>
  <si>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</si>
  <si>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</si>
  <si>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</si>
  <si>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</si>
  <si>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</si>
  <si>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</si>
  <si>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</si>
  <si>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</si>
  <si>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</si>
  <si>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</si>
  <si>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</si>
  <si>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</si>
  <si>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</si>
  <si>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</si>
  <si>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</si>
  <si>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</si>
  <si>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</si>
  <si>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</si>
  <si>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</si>
  <si>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</si>
  <si>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</si>
  <si>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</si>
  <si>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</si>
  <si>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</si>
  <si>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</si>
  <si>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</si>
  <si>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</si>
  <si>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</si>
  <si>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</si>
  <si>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</si>
  <si>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</si>
  <si>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</si>
  <si>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</si>
  <si>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</si>
  <si>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</si>
  <si>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</si>
  <si>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</si>
  <si>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</si>
  <si>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</si>
  <si>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</si>
  <si>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</si>
  <si>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</si>
  <si>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</si>
  <si>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</si>
  <si>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</si>
  <si>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</si>
  <si>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</si>
  <si>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</si>
  <si>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</si>
  <si>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</si>
  <si>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</si>
  <si>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</si>
  <si>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</si>
  <si>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</si>
  <si>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</si>
  <si>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</si>
  <si>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</si>
  <si>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</si>
  <si>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</si>
  <si>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</si>
  <si>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</si>
  <si>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</si>
  <si>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</si>
  <si>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</si>
  <si>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</si>
  <si>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</si>
  <si>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</si>
  <si>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</si>
  <si>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</si>
  <si>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</si>
  <si>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</si>
  <si>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</si>
  <si>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</si>
  <si>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</si>
  <si>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</si>
  <si>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</si>
  <si>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</si>
  <si>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</si>
  <si>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</si>
  <si>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</si>
  <si>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</si>
  <si>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</si>
  <si>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</si>
  <si>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</si>
  <si>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</si>
  <si>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</si>
  <si>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</si>
  <si>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</si>
  <si>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</si>
  <si>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</si>
  <si>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</si>
  <si>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</si>
  <si>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</si>
  <si>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</si>
  <si>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</si>
  <si>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</si>
  <si>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</si>
  <si>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</si>
  <si>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</si>
  <si>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</si>
  <si>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</si>
  <si>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</si>
  <si>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</si>
  <si>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</si>
  <si>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</si>
  <si>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</si>
  <si>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</si>
  <si>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</si>
  <si>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</si>
  <si>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</si>
  <si>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</si>
  <si>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</si>
  <si>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</si>
  <si>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</si>
  <si>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</si>
  <si>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</si>
  <si>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</si>
  <si>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</si>
  <si>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</si>
  <si>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</si>
  <si>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</si>
  <si>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</si>
  <si>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</si>
  <si>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</si>
  <si>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</si>
  <si>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</si>
  <si>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</si>
  <si>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</si>
  <si>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</si>
  <si>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</si>
  <si>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</si>
  <si>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</si>
  <si>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</si>
  <si>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</si>
  <si>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</si>
  <si>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</si>
  <si>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</si>
  <si>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</si>
  <si>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</si>
  <si>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</si>
  <si>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</si>
  <si>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</si>
  <si>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</si>
  <si>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</si>
  <si>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</si>
  <si>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</si>
  <si>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</si>
  <si>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</si>
  <si>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</si>
  <si>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</si>
  <si>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</si>
  <si>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</si>
  <si>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</si>
  <si>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</si>
  <si>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</si>
  <si>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</si>
  <si>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</si>
  <si>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</si>
  <si>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</si>
  <si>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</si>
  <si>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</si>
  <si>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</si>
  <si>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</si>
  <si>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</si>
  <si>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</si>
  <si>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</si>
  <si>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</si>
  <si>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</si>
  <si>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</si>
  <si>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</si>
  <si>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</si>
  <si>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</si>
  <si>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</si>
  <si>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</si>
  <si>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</si>
  <si>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</si>
  <si>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</si>
  <si>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</si>
  <si>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</si>
  <si>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</si>
  <si>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</si>
  <si>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</si>
  <si>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</si>
  <si>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</si>
  <si>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</si>
  <si>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</si>
  <si>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</si>
  <si>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</si>
  <si>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</si>
  <si>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</si>
  <si>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</si>
  <si>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</si>
  <si>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</si>
  <si>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</si>
  <si>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</si>
  <si>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</si>
  <si>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</si>
  <si>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</si>
  <si>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</si>
  <si>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</si>
  <si>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</si>
  <si>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</si>
  <si>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</si>
  <si>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</si>
  <si>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</si>
  <si>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</si>
  <si>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</si>
  <si>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</si>
  <si>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</si>
  <si>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</si>
  <si>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</si>
  <si>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</si>
  <si>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</si>
  <si>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</si>
  <si>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</si>
  <si>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</si>
  <si>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</si>
  <si>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</si>
  <si>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</si>
  <si>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</si>
  <si>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</si>
  <si>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</si>
  <si>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</si>
  <si>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</si>
  <si>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</si>
  <si>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</si>
  <si>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</si>
  <si>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</si>
  <si>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</si>
  <si>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</si>
  <si>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</si>
  <si>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</si>
  <si>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</si>
  <si>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</si>
  <si>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</si>
  <si>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</si>
  <si>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</si>
  <si>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</si>
  <si>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</si>
  <si>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</si>
  <si>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</si>
  <si>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</si>
  <si>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</si>
  <si>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</si>
  <si>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</si>
  <si>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</si>
  <si>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</si>
  <si>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</si>
  <si>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</si>
  <si>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</si>
  <si>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</si>
  <si>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</si>
  <si>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</si>
  <si>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</si>
  <si>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</si>
  <si>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</si>
  <si>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</si>
  <si>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</si>
  <si>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</si>
  <si>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</si>
  <si>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</si>
  <si>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</si>
  <si>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</si>
  <si>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</si>
  <si>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</si>
  <si>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</si>
  <si>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</si>
  <si>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</si>
  <si>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</si>
  <si>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</si>
  <si>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</si>
  <si>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</si>
  <si>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</si>
  <si>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</si>
  <si>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</si>
  <si>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</si>
  <si>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</si>
  <si>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</si>
  <si>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</si>
  <si>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</si>
  <si>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</si>
  <si>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</si>
  <si>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</si>
  <si>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</si>
  <si>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</si>
  <si>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</si>
  <si>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</si>
  <si>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</si>
  <si>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</si>
  <si>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</si>
  <si>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</si>
  <si>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</si>
  <si>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</si>
  <si>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</si>
  <si>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</si>
  <si>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</si>
  <si>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</si>
  <si>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</si>
  <si>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</si>
  <si>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</si>
  <si>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</si>
  <si>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</si>
  <si>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</si>
  <si>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</si>
  <si>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</si>
  <si>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</si>
  <si>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</si>
  <si>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</si>
  <si>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</si>
  <si>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</si>
  <si>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</si>
  <si>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</si>
  <si>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</si>
  <si>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</si>
  <si>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</si>
  <si>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</si>
  <si>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</si>
  <si>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</si>
  <si>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</si>
  <si>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</si>
  <si>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</si>
  <si>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</si>
  <si>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</si>
  <si>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</si>
  <si>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</si>
  <si>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</si>
  <si>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</si>
  <si>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</si>
  <si>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</si>
  <si>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</si>
  <si>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</si>
  <si>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</si>
  <si>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</si>
  <si>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</si>
  <si>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</si>
  <si>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</si>
  <si>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</si>
  <si>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</si>
  <si>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</si>
  <si>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</si>
  <si>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</si>
  <si>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</si>
  <si>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</si>
  <si>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</si>
  <si>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</si>
  <si>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</si>
  <si>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</si>
  <si>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</si>
  <si>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</si>
  <si>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</si>
  <si>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</si>
  <si>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</si>
  <si>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</si>
  <si>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</si>
  <si>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</si>
  <si>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</si>
  <si>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</si>
  <si>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</si>
  <si>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</si>
  <si>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</si>
  <si>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</si>
  <si>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</si>
  <si>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</si>
  <si>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</si>
  <si>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</si>
  <si>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</si>
  <si>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</si>
  <si>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</si>
  <si>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</si>
  <si>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</si>
  <si>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</si>
  <si>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</si>
  <si>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</si>
  <si>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</si>
  <si>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</si>
  <si>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</si>
  <si>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</si>
  <si>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</si>
  <si>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</si>
  <si>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</si>
  <si>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</si>
  <si>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</si>
  <si>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</si>
  <si>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</si>
  <si>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</si>
  <si>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</si>
  <si>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</si>
  <si>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</si>
  <si>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</si>
  <si>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</si>
  <si>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</si>
  <si>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</si>
  <si>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</si>
  <si>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</si>
  <si>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</si>
  <si>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</si>
  <si>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</si>
  <si>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</si>
  <si>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</si>
  <si>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</si>
  <si>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</si>
  <si>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</si>
  <si>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</si>
  <si>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</si>
  <si>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</si>
  <si>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</si>
  <si>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</si>
  <si>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</si>
  <si>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</si>
  <si>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</si>
  <si>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</si>
  <si>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</si>
  <si>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</si>
  <si>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</si>
  <si>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</si>
  <si>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</si>
  <si>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</si>
  <si>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</si>
  <si>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</si>
  <si>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</si>
  <si>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</si>
  <si>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</si>
  <si>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</si>
  <si>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</si>
  <si>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</si>
  <si>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</si>
  <si>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</si>
  <si>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</si>
  <si>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</si>
  <si>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</si>
  <si>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</si>
  <si>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</si>
  <si>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</si>
  <si>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</si>
  <si>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</si>
  <si>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</si>
  <si>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</si>
  <si>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</si>
  <si>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</si>
  <si>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</si>
  <si>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</si>
  <si>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</si>
  <si>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</si>
  <si>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</si>
  <si>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</si>
  <si>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</si>
  <si>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</si>
  <si>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</si>
  <si>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</si>
  <si>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</si>
  <si>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</si>
  <si>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</si>
  <si>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</si>
  <si>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</si>
  <si>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</si>
  <si>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</si>
  <si>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</si>
  <si>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</si>
  <si>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</si>
  <si>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</si>
  <si>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</si>
  <si>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</si>
  <si>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</si>
  <si>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</si>
  <si>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</si>
  <si>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</si>
  <si>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</si>
  <si>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</si>
  <si>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</si>
  <si>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</si>
  <si>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</si>
  <si>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</si>
  <si>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</si>
  <si>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</si>
  <si>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</si>
  <si>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</si>
  <si>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</si>
  <si>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</si>
  <si>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</si>
  <si>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</si>
  <si>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</si>
  <si>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</si>
  <si>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 xml:space="preserve"> План</t>
  </si>
  <si>
    <t>план</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</si>
  <si>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</si>
  <si>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</si>
  <si>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</si>
  <si>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</si>
  <si>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</si>
  <si>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</si>
  <si>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</si>
  <si>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Год раскрытия информации: 2021 год</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</si>
  <si>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</si>
  <si>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</si>
  <si>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</si>
  <si>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</si>
  <si>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</si>
  <si>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</si>
  <si>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</si>
  <si>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</si>
  <si>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</si>
  <si>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</si>
  <si>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</si>
  <si>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</si>
  <si>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</si>
  <si>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</si>
  <si>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</si>
  <si>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</si>
  <si>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</si>
  <si>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</si>
  <si>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</si>
  <si>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</si>
  <si>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</si>
  <si>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</si>
  <si>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</si>
  <si>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</si>
  <si>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</si>
  <si>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</si>
  <si>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</si>
  <si>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</si>
  <si>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</si>
  <si>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</si>
  <si>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</si>
  <si>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</si>
  <si>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</si>
  <si>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</si>
  <si>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</si>
  <si>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</si>
  <si>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</si>
  <si>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</si>
  <si>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факт</t>
  </si>
  <si>
    <t xml:space="preserve"> факт 2019</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</si>
  <si>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</si>
  <si>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</si>
  <si>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</si>
  <si>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</si>
  <si>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</si>
  <si>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</si>
  <si>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</si>
  <si>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</si>
  <si>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</si>
  <si>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</si>
  <si>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</si>
  <si>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</si>
  <si>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</si>
  <si>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</si>
  <si>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</si>
  <si>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</si>
  <si>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</si>
  <si>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 xml:space="preserve"> по состоянию на 01.01.2021</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</si>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</sst>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54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3" xfId="2" applyFont="1" applyFill="1" applyBorder="1" applyAlignment="1">
      <alignment horizontal="justify"/>
    </xf>
    <xf numFmtId="0" fontId="36" fillId="0" borderId="23" xfId="2" applyFont="1" applyFill="1" applyBorder="1" applyAlignment="1">
      <alignment horizontal="justify"/>
    </xf>
    <xf numFmtId="0" fontId="36" fillId="0" borderId="24" xfId="2" applyFont="1" applyFill="1" applyBorder="1" applyAlignment="1">
      <alignment horizontal="justify"/>
    </xf>
    <xf numFmtId="0" fontId="37" fillId="0" borderId="23" xfId="2" applyFont="1" applyFill="1" applyBorder="1" applyAlignment="1">
      <alignment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6" fillId="0" borderId="23" xfId="2" applyFont="1" applyFill="1" applyBorder="1" applyAlignment="1">
      <alignment horizontal="justify" vertical="top" wrapText="1"/>
    </xf>
    <xf numFmtId="0" fontId="36" fillId="0" borderId="24" xfId="2" applyFont="1" applyFill="1" applyBorder="1" applyAlignment="1">
      <alignment vertical="top" wrapText="1"/>
    </xf>
    <xf numFmtId="0" fontId="36" fillId="0" borderId="23" xfId="2" applyFont="1" applyFill="1" applyBorder="1" applyAlignment="1">
      <alignment vertical="top" wrapText="1"/>
    </xf>
    <xf numFmtId="0" fontId="36" fillId="0" borderId="27" xfId="2" applyFont="1" applyFill="1" applyBorder="1" applyAlignment="1">
      <alignment vertical="top" wrapText="1"/>
    </xf>
    <xf numFmtId="0" fontId="36" fillId="0" borderId="25"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3" xfId="2" applyFont="1" applyFill="1" applyBorder="1" applyAlignment="1">
      <alignment horizontal="justify" vertical="top" wrapText="1"/>
    </xf>
    <xf numFmtId="0" fontId="36" fillId="0" borderId="28" xfId="2" quotePrefix="1" applyFont="1" applyFill="1" applyBorder="1" applyAlignment="1">
      <alignment horizontal="justify" vertical="top" wrapText="1"/>
    </xf>
    <xf numFmtId="0" fontId="36" fillId="0" borderId="29" xfId="2" applyFont="1" applyFill="1" applyBorder="1" applyAlignment="1">
      <alignment horizontal="justify" vertical="top" wrapText="1"/>
    </xf>
    <xf numFmtId="0" fontId="36" fillId="0" borderId="28" xfId="2" applyFont="1" applyFill="1" applyBorder="1" applyAlignment="1">
      <alignment vertical="top" wrapText="1"/>
    </xf>
    <xf numFmtId="0" fontId="37" fillId="0" borderId="24" xfId="2" applyFont="1" applyFill="1" applyBorder="1" applyAlignment="1">
      <alignment horizontal="left" vertical="center" wrapText="1"/>
    </xf>
    <xf numFmtId="0" fontId="36" fillId="0" borderId="28" xfId="2" applyFont="1" applyFill="1" applyBorder="1" applyAlignment="1">
      <alignment horizontal="justify" vertical="top" wrapText="1"/>
    </xf>
    <xf numFmtId="0" fontId="37" fillId="0" borderId="24" xfId="2" applyFont="1" applyFill="1" applyBorder="1" applyAlignment="1">
      <alignment horizontal="center" vertical="center" wrapText="1"/>
    </xf>
    <xf numFmtId="0" fontId="36" fillId="0" borderId="25"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3" xfId="2" applyNumberFormat="1" applyFont="1" applyFill="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Fill="1" applyBorder="1" applyAlignment="1">
      <alignment horizontal="justify" vertical="top" wrapText="1"/>
    </xf>
    <xf numFmtId="10" fontId="36" fillId="0" borderId="29"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6" xfId="2" applyFont="1" applyFill="1" applyBorder="1" applyAlignment="1">
      <alignment horizontal="left" vertical="center" wrapText="1"/>
    </xf>
    <xf numFmtId="4" fontId="36" fillId="0" borderId="23" xfId="2" applyNumberFormat="1" applyFont="1" applyFill="1" applyBorder="1" applyAlignment="1">
      <alignment horizontal="justify" vertical="top" wrapText="1"/>
    </xf>
    <xf numFmtId="0" fontId="36" fillId="0" borderId="23"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4"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8" xfId="2" applyNumberFormat="1" applyFont="1" applyFill="1" applyBorder="1" applyAlignment="1">
      <alignment horizontal="justify" vertical="top" wrapText="1"/>
    </xf>
    <xf numFmtId="4" fontId="38" fillId="0" borderId="30" xfId="62" applyNumberFormat="1" applyFont="1" applyFill="1" applyBorder="1" applyAlignment="1">
      <alignment horizontal="left" vertical="center" wrapText="1"/>
    </xf>
    <xf numFmtId="0" fontId="36" fillId="0" borderId="23" xfId="2" applyFont="1" applyFill="1" applyBorder="1" applyAlignment="1">
      <alignment horizontal="left" vertical="top" wrapText="1"/>
    </xf>
    <xf numFmtId="0" fontId="36" fillId="0" borderId="28"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9" fontId="2" fillId="0" borderId="1" xfId="68" applyFont="1" applyBorder="1" applyAlignment="1">
      <alignment horizontal="left" vertical="center"/>
    </xf>
    <xf numFmtId="174"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73" fillId="0" borderId="23" xfId="128" applyFill="1" applyBorder="1" applyAlignment="1">
      <alignment horizontal="justify"/>
    </xf>
    <xf numFmtId="2" fontId="11" fillId="0" borderId="1" xfId="1" applyNumberFormat="1" applyFont="1" applyFill="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9"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Fill="1" applyBorder="1" applyAlignment="1">
      <alignment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4" xfId="2" applyFont="1" applyFill="1" applyBorder="1" applyAlignment="1">
      <alignment horizontal="left" vertical="top" wrapText="1"/>
    </xf>
    <xf numFmtId="0" fontId="36" fillId="0" borderId="27" xfId="2" applyFont="1" applyFill="1" applyBorder="1" applyAlignment="1">
      <alignment horizontal="left" vertical="top" wrapText="1"/>
    </xf>
    <xf numFmtId="0" fontId="36" fillId="0" borderId="25"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C51" sqref="C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6" t="s">
        <v>600</v>
      </c>
      <c r="B5" s="406"/>
      <c r="C5" s="406"/>
      <c r="D5" s="108"/>
      <c r="E5" s="108"/>
      <c r="F5" s="108"/>
      <c r="G5" s="108"/>
      <c r="H5" s="108"/>
      <c r="I5" s="108"/>
      <c r="J5" s="108"/>
    </row>
    <row r="6" spans="1:22" s="11" customFormat="1" ht="18.75" x14ac:dyDescent="0.3">
      <c r="A6" s="16"/>
      <c r="F6" s="15"/>
      <c r="G6" s="15"/>
      <c r="H6" s="14"/>
    </row>
    <row r="7" spans="1:22" s="11" customFormat="1" ht="18.75" x14ac:dyDescent="0.2">
      <c r="A7" s="410" t="s">
        <v>7</v>
      </c>
      <c r="B7" s="410"/>
      <c r="C7" s="41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3" t="s">
        <v>566</v>
      </c>
      <c r="B9" s="413"/>
      <c r="C9" s="413"/>
      <c r="D9" s="7"/>
      <c r="E9" s="7"/>
      <c r="F9" s="7"/>
      <c r="G9" s="7"/>
      <c r="H9" s="7"/>
      <c r="I9" s="12"/>
      <c r="J9" s="12"/>
      <c r="K9" s="12"/>
      <c r="L9" s="12"/>
      <c r="M9" s="12"/>
      <c r="N9" s="12"/>
      <c r="O9" s="12"/>
      <c r="P9" s="12"/>
      <c r="Q9" s="12"/>
      <c r="R9" s="12"/>
      <c r="S9" s="12"/>
      <c r="T9" s="12"/>
      <c r="U9" s="12"/>
      <c r="V9" s="12"/>
    </row>
    <row r="10" spans="1:22" s="11" customFormat="1" ht="18.75" x14ac:dyDescent="0.2">
      <c r="A10" s="407" t="s">
        <v>6</v>
      </c>
      <c r="B10" s="407"/>
      <c r="C10" s="40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1" t="s">
        <v>599</v>
      </c>
      <c r="B12" s="411"/>
      <c r="C12" s="411"/>
      <c r="D12" s="7"/>
      <c r="E12" s="7"/>
      <c r="F12" s="7"/>
      <c r="G12" s="7"/>
      <c r="H12" s="7"/>
      <c r="I12" s="12"/>
      <c r="J12" s="12"/>
      <c r="K12" s="12"/>
      <c r="L12" s="12"/>
      <c r="M12" s="12"/>
      <c r="N12" s="12"/>
      <c r="O12" s="12"/>
      <c r="P12" s="12"/>
      <c r="Q12" s="12"/>
      <c r="R12" s="12"/>
      <c r="S12" s="12"/>
      <c r="T12" s="12"/>
      <c r="U12" s="12"/>
      <c r="V12" s="12"/>
    </row>
    <row r="13" spans="1:22" s="11" customFormat="1" ht="18.75" x14ac:dyDescent="0.2">
      <c r="A13" s="407" t="s">
        <v>5</v>
      </c>
      <c r="B13" s="407"/>
      <c r="C13" s="40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12" t="s">
        <v>596</v>
      </c>
      <c r="B15" s="412"/>
      <c r="C15" s="412"/>
      <c r="D15" s="7"/>
      <c r="E15" s="7"/>
      <c r="F15" s="7"/>
      <c r="G15" s="7"/>
      <c r="H15" s="7"/>
      <c r="I15" s="7"/>
      <c r="J15" s="7"/>
      <c r="K15" s="7"/>
      <c r="L15" s="7"/>
      <c r="M15" s="7"/>
      <c r="N15" s="7"/>
      <c r="O15" s="7"/>
      <c r="P15" s="7"/>
      <c r="Q15" s="7"/>
      <c r="R15" s="7"/>
      <c r="S15" s="7"/>
      <c r="T15" s="7"/>
      <c r="U15" s="7"/>
      <c r="V15" s="7"/>
    </row>
    <row r="16" spans="1:22" s="3" customFormat="1" ht="15" customHeight="1" x14ac:dyDescent="0.2">
      <c r="A16" s="407" t="s">
        <v>4</v>
      </c>
      <c r="B16" s="407"/>
      <c r="C16" s="4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8" t="s">
        <v>407</v>
      </c>
      <c r="B18" s="409"/>
      <c r="C18" s="4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444</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3"/>
      <c r="B24" s="404"/>
      <c r="C24" s="405"/>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6" t="s">
        <v>357</v>
      </c>
      <c r="C25" s="25" t="s">
        <v>542</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6" t="s">
        <v>72</v>
      </c>
      <c r="C26" s="25" t="s">
        <v>422</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6" t="s">
        <v>71</v>
      </c>
      <c r="C27" s="25" t="s">
        <v>580</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6" t="s">
        <v>358</v>
      </c>
      <c r="C28" s="25" t="s">
        <v>435</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6" t="s">
        <v>359</v>
      </c>
      <c r="C29" s="25" t="s">
        <v>435</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6" t="s">
        <v>360</v>
      </c>
      <c r="C30" s="25" t="s">
        <v>435</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6" t="s">
        <v>361</v>
      </c>
      <c r="C31" s="25" t="s">
        <v>581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6" t="s">
        <v>362</v>
      </c>
      <c r="C32" s="25" t="s">
        <v>582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6" t="s">
        <v>363</v>
      </c>
      <c r="C33" s="106" t="s">
        <v>552</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376</v>
      </c>
      <c r="B34" s="30" t="s">
        <v>364</v>
      </c>
      <c r="C34" s="20" t="s">
        <v>552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365</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3"/>
      <c r="B39" s="404"/>
      <c r="C39" s="405"/>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391" t="s">
        <v>565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3" t="s">
        <v>551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0"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408</v>
      </c>
      <c r="C44" s="219">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238">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410</v>
      </c>
      <c r="C46" s="2" t="s">
        <v>439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3"/>
      <c r="B47" s="404"/>
      <c r="C47" s="40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19"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19" t="str">
        <f>CONCATENATE(ROUND('6.2. Паспорт фин осв ввод'!AC24,2)," млн.руб.")</f>
        <v>341,66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ввод'!AC30,2)," млн.руб.")</f>
        <v>284,71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A15" sqref="A15:K15"/>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6" t="str">
        <f>'1. паспорт местоположение'!A5:C5</f>
        <v>Год раскрытия информации: 2021 год</v>
      </c>
      <c r="B5" s="406"/>
      <c r="C5" s="406"/>
      <c r="D5" s="406"/>
      <c r="E5" s="406"/>
      <c r="F5" s="406"/>
      <c r="G5" s="406"/>
      <c r="H5" s="406"/>
      <c r="I5" s="406"/>
      <c r="J5" s="406"/>
      <c r="K5" s="406"/>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8" t="s">
        <v>7</v>
      </c>
      <c r="B7" s="418"/>
      <c r="C7" s="418"/>
      <c r="D7" s="418"/>
      <c r="E7" s="418"/>
      <c r="F7" s="418"/>
      <c r="G7" s="418"/>
      <c r="H7" s="418"/>
      <c r="I7" s="418"/>
      <c r="J7" s="418"/>
      <c r="K7" s="418"/>
    </row>
    <row r="8" spans="1:43" ht="18.75" x14ac:dyDescent="0.25">
      <c r="A8" s="418"/>
      <c r="B8" s="418"/>
      <c r="C8" s="418"/>
      <c r="D8" s="418"/>
      <c r="E8" s="418"/>
      <c r="F8" s="418"/>
      <c r="G8" s="418"/>
      <c r="H8" s="418"/>
      <c r="I8" s="418"/>
      <c r="J8" s="418"/>
      <c r="K8" s="418"/>
    </row>
    <row r="9" spans="1:43"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row>
    <row r="10" spans="1:43" x14ac:dyDescent="0.25">
      <c r="A10" s="414" t="s">
        <v>6</v>
      </c>
      <c r="B10" s="414"/>
      <c r="C10" s="414"/>
      <c r="D10" s="414"/>
      <c r="E10" s="414"/>
      <c r="F10" s="414"/>
      <c r="G10" s="414"/>
      <c r="H10" s="414"/>
      <c r="I10" s="414"/>
      <c r="J10" s="414"/>
      <c r="K10" s="414"/>
    </row>
    <row r="11" spans="1:43" ht="18.75" x14ac:dyDescent="0.25">
      <c r="A11" s="418"/>
      <c r="B11" s="418"/>
      <c r="C11" s="418"/>
      <c r="D11" s="418"/>
      <c r="E11" s="418"/>
      <c r="F11" s="418"/>
      <c r="G11" s="418"/>
      <c r="H11" s="418"/>
      <c r="I11" s="418"/>
      <c r="J11" s="418"/>
      <c r="K11" s="418"/>
    </row>
    <row r="12" spans="1:43" x14ac:dyDescent="0.25">
      <c r="A12" s="413" t="str">
        <f>'1. паспорт местоположение'!A12:C12</f>
        <v>J 19-02</v>
      </c>
      <c r="B12" s="413"/>
      <c r="C12" s="413"/>
      <c r="D12" s="413"/>
      <c r="E12" s="413"/>
      <c r="F12" s="413"/>
      <c r="G12" s="413"/>
      <c r="H12" s="413"/>
      <c r="I12" s="413"/>
      <c r="J12" s="413"/>
      <c r="K12" s="413"/>
    </row>
    <row r="13" spans="1:43" x14ac:dyDescent="0.25">
      <c r="A13" s="414" t="s">
        <v>5</v>
      </c>
      <c r="B13" s="414"/>
      <c r="C13" s="414"/>
      <c r="D13" s="414"/>
      <c r="E13" s="414"/>
      <c r="F13" s="414"/>
      <c r="G13" s="414"/>
      <c r="H13" s="414"/>
      <c r="I13" s="414"/>
      <c r="J13" s="414"/>
      <c r="K13" s="414"/>
    </row>
    <row r="14" spans="1:43" ht="18.75" x14ac:dyDescent="0.25">
      <c r="A14" s="419"/>
      <c r="B14" s="419"/>
      <c r="C14" s="419"/>
      <c r="D14" s="419"/>
      <c r="E14" s="419"/>
      <c r="F14" s="419"/>
      <c r="G14" s="419"/>
      <c r="H14" s="419"/>
      <c r="I14" s="419"/>
      <c r="J14" s="419"/>
      <c r="K14" s="419"/>
    </row>
    <row r="15" spans="1:43" x14ac:dyDescent="0.25">
      <c r="A15"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3"/>
      <c r="C15" s="413"/>
      <c r="D15" s="413"/>
      <c r="E15" s="413"/>
      <c r="F15" s="413"/>
      <c r="G15" s="413"/>
      <c r="H15" s="413"/>
      <c r="I15" s="413"/>
      <c r="J15" s="413"/>
      <c r="K15" s="413"/>
    </row>
    <row r="16" spans="1:43" x14ac:dyDescent="0.25">
      <c r="A16" s="407" t="s">
        <v>4</v>
      </c>
      <c r="B16" s="407"/>
      <c r="C16" s="407"/>
      <c r="D16" s="407"/>
      <c r="E16" s="407"/>
      <c r="F16" s="407"/>
      <c r="G16" s="407"/>
      <c r="H16" s="407"/>
      <c r="I16" s="407"/>
      <c r="J16" s="407"/>
      <c r="K16" s="407"/>
    </row>
    <row r="17" spans="1:11" ht="15.75" customHeight="1" x14ac:dyDescent="0.25"/>
    <row r="18" spans="1:11" x14ac:dyDescent="0.25">
      <c r="K18" s="70"/>
    </row>
    <row r="19" spans="1:11" ht="15.75" customHeight="1" x14ac:dyDescent="0.25">
      <c r="A19" s="494" t="s">
        <v>391</v>
      </c>
      <c r="B19" s="494"/>
      <c r="C19" s="494"/>
      <c r="D19" s="494"/>
      <c r="E19" s="494"/>
      <c r="F19" s="494"/>
      <c r="G19" s="494"/>
      <c r="H19" s="494"/>
      <c r="I19" s="494"/>
      <c r="J19" s="494"/>
      <c r="K19" s="494"/>
    </row>
    <row r="20" spans="1:11" x14ac:dyDescent="0.25">
      <c r="A20" s="48"/>
      <c r="B20" s="48"/>
      <c r="C20" s="69"/>
      <c r="D20" s="69"/>
      <c r="E20" s="69"/>
      <c r="F20" s="69"/>
      <c r="G20" s="69"/>
      <c r="H20" s="69"/>
      <c r="I20" s="69"/>
      <c r="J20" s="69"/>
      <c r="K20" s="69"/>
    </row>
    <row r="21" spans="1:11" ht="28.5" customHeight="1" x14ac:dyDescent="0.25">
      <c r="A21" s="495" t="s">
        <v>199</v>
      </c>
      <c r="B21" s="495" t="s">
        <v>487</v>
      </c>
      <c r="C21" s="495" t="s">
        <v>351</v>
      </c>
      <c r="D21" s="495"/>
      <c r="E21" s="495"/>
      <c r="F21" s="495"/>
      <c r="G21" s="495"/>
      <c r="H21" s="495"/>
      <c r="I21" s="496" t="s">
        <v>198</v>
      </c>
      <c r="J21" s="497" t="s">
        <v>352</v>
      </c>
      <c r="K21" s="495" t="s">
        <v>197</v>
      </c>
    </row>
    <row r="22" spans="1:11" ht="58.5" customHeight="1" x14ac:dyDescent="0.25">
      <c r="A22" s="495"/>
      <c r="B22" s="495"/>
      <c r="C22" s="500" t="s">
        <v>592</v>
      </c>
      <c r="D22" s="500"/>
      <c r="E22" s="463" t="s">
        <v>9</v>
      </c>
      <c r="F22" s="463"/>
      <c r="G22" s="463" t="s">
        <v>540</v>
      </c>
      <c r="H22" s="463"/>
      <c r="I22" s="496"/>
      <c r="J22" s="498"/>
      <c r="K22" s="495"/>
    </row>
    <row r="23" spans="1:11" ht="31.5" x14ac:dyDescent="0.25">
      <c r="A23" s="495"/>
      <c r="B23" s="495"/>
      <c r="C23" s="240" t="s">
        <v>196</v>
      </c>
      <c r="D23" s="240" t="s">
        <v>195</v>
      </c>
      <c r="E23" s="204" t="s">
        <v>196</v>
      </c>
      <c r="F23" s="204" t="s">
        <v>195</v>
      </c>
      <c r="G23" s="204" t="s">
        <v>196</v>
      </c>
      <c r="H23" s="204" t="s">
        <v>195</v>
      </c>
      <c r="I23" s="496"/>
      <c r="J23" s="499"/>
      <c r="K23" s="495"/>
    </row>
    <row r="24" spans="1:11" x14ac:dyDescent="0.25">
      <c r="A24" s="205">
        <v>1</v>
      </c>
      <c r="B24" s="205">
        <v>2</v>
      </c>
      <c r="C24" s="240">
        <v>3</v>
      </c>
      <c r="D24" s="240">
        <v>4</v>
      </c>
      <c r="E24" s="204">
        <v>5</v>
      </c>
      <c r="F24" s="204">
        <v>6</v>
      </c>
      <c r="G24" s="204">
        <v>7</v>
      </c>
      <c r="H24" s="204">
        <v>8</v>
      </c>
      <c r="I24" s="204">
        <v>9</v>
      </c>
      <c r="J24" s="204">
        <v>10</v>
      </c>
      <c r="K24" s="204">
        <v>11</v>
      </c>
    </row>
    <row r="25" spans="1:11" s="51" customFormat="1" x14ac:dyDescent="0.25">
      <c r="A25" s="209">
        <v>1</v>
      </c>
      <c r="B25" s="210" t="s">
        <v>194</v>
      </c>
      <c r="C25" s="241"/>
      <c r="D25" s="241"/>
      <c r="E25" s="220"/>
      <c r="F25" s="220"/>
      <c r="G25" s="220"/>
      <c r="H25" s="220"/>
      <c r="I25" s="220"/>
      <c r="J25" s="200"/>
      <c r="K25" s="201"/>
    </row>
    <row r="26" spans="1:11" s="51" customFormat="1" ht="31.5" x14ac:dyDescent="0.25">
      <c r="A26" s="209" t="s">
        <v>488</v>
      </c>
      <c r="B26" s="213" t="s">
        <v>489</v>
      </c>
      <c r="C26" s="241" t="s">
        <v>542</v>
      </c>
      <c r="D26" s="241" t="s">
        <v>542</v>
      </c>
      <c r="E26" s="221">
        <v>42859</v>
      </c>
      <c r="F26" s="221">
        <v>42859</v>
      </c>
      <c r="G26" s="241"/>
      <c r="H26" s="241" t="s">
        <v>642</v>
      </c>
      <c r="I26" s="222"/>
      <c r="J26" s="200"/>
      <c r="K26" s="201"/>
    </row>
    <row r="27" spans="1:11" s="51" customFormat="1" ht="31.5" x14ac:dyDescent="0.25">
      <c r="A27" s="209" t="s">
        <v>490</v>
      </c>
      <c r="B27" s="213" t="s">
        <v>491</v>
      </c>
      <c r="C27" s="241" t="s">
        <v>542</v>
      </c>
      <c r="D27" s="241" t="s">
        <v>542</v>
      </c>
      <c r="E27" s="221">
        <v>42807</v>
      </c>
      <c r="F27" s="221">
        <v>42807</v>
      </c>
      <c r="G27" s="241"/>
      <c r="H27" s="241" t="s">
        <v>641</v>
      </c>
      <c r="I27" s="222"/>
      <c r="J27" s="200"/>
      <c r="K27" s="201"/>
    </row>
    <row r="28" spans="1:11" s="51" customFormat="1" ht="63" x14ac:dyDescent="0.25">
      <c r="A28" s="209" t="s">
        <v>493</v>
      </c>
      <c r="B28" s="213" t="s">
        <v>492</v>
      </c>
      <c r="C28" s="241" t="s">
        <v>542</v>
      </c>
      <c r="D28" s="241" t="s">
        <v>542</v>
      </c>
      <c r="E28" s="221" t="s">
        <v>435</v>
      </c>
      <c r="F28" s="221" t="s">
        <v>435</v>
      </c>
      <c r="G28" s="241" t="s">
        <v>435</v>
      </c>
      <c r="H28" s="241" t="s">
        <v>435</v>
      </c>
      <c r="I28" s="222"/>
      <c r="J28" s="200"/>
      <c r="K28" s="201"/>
    </row>
    <row r="29" spans="1:11" s="51" customFormat="1" ht="31.5" x14ac:dyDescent="0.25">
      <c r="A29" s="209" t="s">
        <v>495</v>
      </c>
      <c r="B29" s="213" t="s">
        <v>494</v>
      </c>
      <c r="C29" s="241" t="s">
        <v>542</v>
      </c>
      <c r="D29" s="241" t="s">
        <v>542</v>
      </c>
      <c r="E29" s="221" t="s">
        <v>435</v>
      </c>
      <c r="F29" s="221" t="s">
        <v>435</v>
      </c>
      <c r="G29" s="241" t="s">
        <v>435</v>
      </c>
      <c r="H29" s="241" t="s">
        <v>435</v>
      </c>
      <c r="I29" s="222"/>
      <c r="J29" s="200"/>
      <c r="K29" s="201"/>
    </row>
    <row r="30" spans="1:11" s="51" customFormat="1" ht="31.5" x14ac:dyDescent="0.25">
      <c r="A30" s="209" t="s">
        <v>497</v>
      </c>
      <c r="B30" s="213" t="s">
        <v>496</v>
      </c>
      <c r="C30" s="241" t="s">
        <v>542</v>
      </c>
      <c r="D30" s="241" t="s">
        <v>542</v>
      </c>
      <c r="E30" s="221" t="s">
        <v>435</v>
      </c>
      <c r="F30" s="221" t="s">
        <v>435</v>
      </c>
      <c r="G30" s="241" t="s">
        <v>435</v>
      </c>
      <c r="H30" s="241" t="s">
        <v>435</v>
      </c>
      <c r="I30" s="222"/>
      <c r="J30" s="200"/>
      <c r="K30" s="201"/>
    </row>
    <row r="31" spans="1:11" s="51" customFormat="1" ht="31.5" x14ac:dyDescent="0.25">
      <c r="A31" s="209" t="s">
        <v>499</v>
      </c>
      <c r="B31" s="213" t="s">
        <v>498</v>
      </c>
      <c r="C31" s="241" t="s">
        <v>542</v>
      </c>
      <c r="D31" s="241" t="s">
        <v>542</v>
      </c>
      <c r="E31" s="221">
        <v>41806</v>
      </c>
      <c r="F31" s="221">
        <v>41806</v>
      </c>
      <c r="G31" s="241">
        <v>43678</v>
      </c>
      <c r="H31" s="241">
        <v>43687</v>
      </c>
      <c r="I31" s="222"/>
      <c r="J31" s="200"/>
      <c r="K31" s="201"/>
    </row>
    <row r="32" spans="1:11" ht="31.5" x14ac:dyDescent="0.25">
      <c r="A32" s="209" t="s">
        <v>501</v>
      </c>
      <c r="B32" s="213" t="s">
        <v>500</v>
      </c>
      <c r="C32" s="241" t="s">
        <v>542</v>
      </c>
      <c r="D32" s="241" t="s">
        <v>542</v>
      </c>
      <c r="E32" s="221">
        <v>42597</v>
      </c>
      <c r="F32" s="221">
        <v>42597</v>
      </c>
      <c r="G32" s="241">
        <v>43738</v>
      </c>
      <c r="H32" s="241">
        <v>43743</v>
      </c>
      <c r="I32" s="222"/>
      <c r="J32" s="200"/>
      <c r="K32" s="201"/>
    </row>
    <row r="33" spans="1:11" ht="47.25" x14ac:dyDescent="0.25">
      <c r="A33" s="209" t="s">
        <v>503</v>
      </c>
      <c r="B33" s="213" t="s">
        <v>502</v>
      </c>
      <c r="C33" s="241" t="s">
        <v>542</v>
      </c>
      <c r="D33" s="241" t="s">
        <v>542</v>
      </c>
      <c r="E33" s="221">
        <v>42720</v>
      </c>
      <c r="F33" s="221">
        <v>42720</v>
      </c>
      <c r="G33" s="241" t="s">
        <v>569</v>
      </c>
      <c r="H33" s="241" t="s">
        <v>569</v>
      </c>
      <c r="I33" s="222"/>
      <c r="J33" s="200"/>
      <c r="K33" s="201"/>
    </row>
    <row r="34" spans="1:11" ht="63" x14ac:dyDescent="0.25">
      <c r="A34" s="209" t="s">
        <v>505</v>
      </c>
      <c r="B34" s="213" t="s">
        <v>504</v>
      </c>
      <c r="C34" s="241" t="s">
        <v>542</v>
      </c>
      <c r="D34" s="241" t="s">
        <v>542</v>
      </c>
      <c r="E34" s="221" t="s">
        <v>435</v>
      </c>
      <c r="F34" s="221" t="s">
        <v>435</v>
      </c>
      <c r="G34" s="241" t="s">
        <v>570</v>
      </c>
      <c r="H34" s="241" t="s">
        <v>570</v>
      </c>
      <c r="I34" s="222"/>
      <c r="J34" s="202"/>
      <c r="K34" s="202"/>
    </row>
    <row r="35" spans="1:11" ht="31.5" x14ac:dyDescent="0.25">
      <c r="A35" s="209" t="s">
        <v>506</v>
      </c>
      <c r="B35" s="213" t="s">
        <v>193</v>
      </c>
      <c r="C35" s="241" t="s">
        <v>542</v>
      </c>
      <c r="D35" s="241" t="s">
        <v>542</v>
      </c>
      <c r="E35" s="221">
        <v>42731</v>
      </c>
      <c r="F35" s="221">
        <v>42731</v>
      </c>
      <c r="G35" s="241">
        <v>43743</v>
      </c>
      <c r="H35" s="241">
        <v>44140</v>
      </c>
      <c r="I35" s="222"/>
      <c r="J35" s="202"/>
      <c r="K35" s="202"/>
    </row>
    <row r="36" spans="1:11" ht="31.5" x14ac:dyDescent="0.25">
      <c r="A36" s="209" t="s">
        <v>508</v>
      </c>
      <c r="B36" s="213" t="s">
        <v>507</v>
      </c>
      <c r="C36" s="241" t="s">
        <v>542</v>
      </c>
      <c r="D36" s="241" t="s">
        <v>542</v>
      </c>
      <c r="E36" s="221">
        <v>42993</v>
      </c>
      <c r="F36" s="221">
        <v>42993</v>
      </c>
      <c r="G36" s="241" t="s">
        <v>569</v>
      </c>
      <c r="H36" s="241" t="s">
        <v>569</v>
      </c>
      <c r="I36" s="222"/>
      <c r="J36" s="212"/>
      <c r="K36" s="201"/>
    </row>
    <row r="37" spans="1:11" x14ac:dyDescent="0.25">
      <c r="A37" s="209" t="s">
        <v>509</v>
      </c>
      <c r="B37" s="213" t="s">
        <v>192</v>
      </c>
      <c r="C37" s="241" t="s">
        <v>542</v>
      </c>
      <c r="D37" s="241" t="s">
        <v>542</v>
      </c>
      <c r="E37" s="221">
        <v>43054</v>
      </c>
      <c r="F37" s="221">
        <v>43305</v>
      </c>
      <c r="G37" s="241">
        <v>43774</v>
      </c>
      <c r="H37" s="241">
        <v>43830</v>
      </c>
      <c r="I37" s="222"/>
      <c r="J37" s="203"/>
      <c r="K37" s="201"/>
    </row>
    <row r="38" spans="1:11" x14ac:dyDescent="0.25">
      <c r="A38" s="211" t="s">
        <v>510</v>
      </c>
      <c r="B38" s="214" t="s">
        <v>191</v>
      </c>
      <c r="C38" s="241" t="s">
        <v>542</v>
      </c>
      <c r="D38" s="241" t="s">
        <v>542</v>
      </c>
      <c r="E38" s="221"/>
      <c r="F38" s="221"/>
      <c r="G38" s="241"/>
      <c r="H38" s="241"/>
      <c r="I38" s="222"/>
      <c r="J38" s="201"/>
      <c r="K38" s="201"/>
    </row>
    <row r="39" spans="1:11" ht="63" x14ac:dyDescent="0.25">
      <c r="A39" s="209" t="s">
        <v>512</v>
      </c>
      <c r="B39" s="213" t="s">
        <v>511</v>
      </c>
      <c r="C39" s="241" t="s">
        <v>542</v>
      </c>
      <c r="D39" s="241" t="s">
        <v>542</v>
      </c>
      <c r="E39" s="221">
        <v>42843</v>
      </c>
      <c r="F39" s="221">
        <v>42843</v>
      </c>
      <c r="G39" s="241">
        <v>43840</v>
      </c>
      <c r="H39" s="241">
        <v>43845</v>
      </c>
      <c r="I39" s="222"/>
      <c r="J39" s="201"/>
      <c r="K39" s="201"/>
    </row>
    <row r="40" spans="1:11" x14ac:dyDescent="0.25">
      <c r="A40" s="209" t="s">
        <v>514</v>
      </c>
      <c r="B40" s="213" t="s">
        <v>513</v>
      </c>
      <c r="C40" s="241" t="s">
        <v>542</v>
      </c>
      <c r="D40" s="241" t="s">
        <v>542</v>
      </c>
      <c r="E40" s="221">
        <v>43038</v>
      </c>
      <c r="F40" s="221">
        <v>43038</v>
      </c>
      <c r="G40" s="241">
        <v>43952</v>
      </c>
      <c r="H40" s="241">
        <v>45229</v>
      </c>
      <c r="I40" s="222"/>
      <c r="J40" s="201"/>
      <c r="K40" s="201"/>
    </row>
    <row r="41" spans="1:11" ht="47.25" x14ac:dyDescent="0.25">
      <c r="A41" s="209" t="s">
        <v>516</v>
      </c>
      <c r="B41" s="214" t="s">
        <v>515</v>
      </c>
      <c r="C41" s="241" t="s">
        <v>542</v>
      </c>
      <c r="D41" s="241" t="s">
        <v>542</v>
      </c>
      <c r="E41" s="221"/>
      <c r="F41" s="221"/>
      <c r="G41" s="241"/>
      <c r="H41" s="241"/>
      <c r="I41" s="222"/>
      <c r="J41" s="201"/>
      <c r="K41" s="201"/>
    </row>
    <row r="42" spans="1:11" ht="31.5" x14ac:dyDescent="0.25">
      <c r="A42" s="209" t="s">
        <v>518</v>
      </c>
      <c r="B42" s="213" t="s">
        <v>517</v>
      </c>
      <c r="C42" s="241" t="s">
        <v>542</v>
      </c>
      <c r="D42" s="241" t="s">
        <v>542</v>
      </c>
      <c r="E42" s="221">
        <v>43070</v>
      </c>
      <c r="F42" s="221">
        <v>43097</v>
      </c>
      <c r="G42" s="241">
        <v>43967</v>
      </c>
      <c r="H42" s="241">
        <v>43997</v>
      </c>
      <c r="I42" s="222"/>
      <c r="J42" s="201"/>
      <c r="K42" s="201"/>
    </row>
    <row r="43" spans="1:11" x14ac:dyDescent="0.25">
      <c r="A43" s="209" t="s">
        <v>519</v>
      </c>
      <c r="B43" s="213" t="s">
        <v>190</v>
      </c>
      <c r="C43" s="241" t="s">
        <v>542</v>
      </c>
      <c r="D43" s="241" t="s">
        <v>542</v>
      </c>
      <c r="E43" s="221">
        <v>43054</v>
      </c>
      <c r="F43" s="221">
        <v>43218</v>
      </c>
      <c r="G43" s="242">
        <v>44713</v>
      </c>
      <c r="H43" s="242">
        <v>45229</v>
      </c>
      <c r="I43" s="222"/>
      <c r="J43" s="201"/>
      <c r="K43" s="201"/>
    </row>
    <row r="44" spans="1:11" x14ac:dyDescent="0.25">
      <c r="A44" s="209" t="s">
        <v>520</v>
      </c>
      <c r="B44" s="213" t="s">
        <v>189</v>
      </c>
      <c r="C44" s="241" t="s">
        <v>542</v>
      </c>
      <c r="D44" s="241" t="s">
        <v>542</v>
      </c>
      <c r="E44" s="221">
        <v>43084</v>
      </c>
      <c r="F44" s="221">
        <v>43266</v>
      </c>
      <c r="G44" s="242">
        <v>44713</v>
      </c>
      <c r="H44" s="242">
        <v>45413</v>
      </c>
      <c r="I44" s="222"/>
      <c r="J44" s="201"/>
      <c r="K44" s="201"/>
    </row>
    <row r="45" spans="1:11" ht="78.75" x14ac:dyDescent="0.25">
      <c r="A45" s="209" t="s">
        <v>522</v>
      </c>
      <c r="B45" s="213" t="s">
        <v>521</v>
      </c>
      <c r="C45" s="241" t="s">
        <v>542</v>
      </c>
      <c r="D45" s="241" t="s">
        <v>542</v>
      </c>
      <c r="E45" s="221">
        <v>43343</v>
      </c>
      <c r="F45" s="221">
        <v>43343</v>
      </c>
      <c r="G45" s="242">
        <v>45413</v>
      </c>
      <c r="H45" s="242">
        <v>45442</v>
      </c>
      <c r="I45" s="222"/>
      <c r="J45" s="201"/>
      <c r="K45" s="201"/>
    </row>
    <row r="46" spans="1:11" ht="157.5" x14ac:dyDescent="0.25">
      <c r="A46" s="209" t="s">
        <v>524</v>
      </c>
      <c r="B46" s="213" t="s">
        <v>523</v>
      </c>
      <c r="C46" s="241" t="s">
        <v>542</v>
      </c>
      <c r="D46" s="241" t="s">
        <v>542</v>
      </c>
      <c r="E46" s="221">
        <v>43319</v>
      </c>
      <c r="F46" s="221">
        <v>43319</v>
      </c>
      <c r="G46" s="242" t="s">
        <v>435</v>
      </c>
      <c r="H46" s="242" t="s">
        <v>435</v>
      </c>
      <c r="I46" s="222"/>
      <c r="J46" s="201"/>
      <c r="K46" s="201"/>
    </row>
    <row r="47" spans="1:11" x14ac:dyDescent="0.25">
      <c r="A47" s="209" t="s">
        <v>535</v>
      </c>
      <c r="B47" s="213" t="s">
        <v>188</v>
      </c>
      <c r="C47" s="241" t="s">
        <v>542</v>
      </c>
      <c r="D47" s="241" t="s">
        <v>542</v>
      </c>
      <c r="E47" s="221">
        <v>43220</v>
      </c>
      <c r="F47" s="221">
        <v>43318</v>
      </c>
      <c r="G47" s="243">
        <v>45413</v>
      </c>
      <c r="H47" s="242">
        <v>45474</v>
      </c>
      <c r="I47" s="222"/>
      <c r="J47" s="201"/>
      <c r="K47" s="201"/>
    </row>
    <row r="48" spans="1:11" ht="31.5" x14ac:dyDescent="0.25">
      <c r="A48" s="209" t="s">
        <v>525</v>
      </c>
      <c r="B48" s="214" t="s">
        <v>187</v>
      </c>
      <c r="C48" s="241" t="s">
        <v>542</v>
      </c>
      <c r="D48" s="241" t="s">
        <v>542</v>
      </c>
      <c r="E48" s="221"/>
      <c r="F48" s="221"/>
      <c r="G48" s="241"/>
      <c r="H48" s="241"/>
      <c r="I48" s="222"/>
      <c r="J48" s="201"/>
      <c r="K48" s="201"/>
    </row>
    <row r="49" spans="1:11" ht="31.5" x14ac:dyDescent="0.25">
      <c r="A49" s="209" t="s">
        <v>536</v>
      </c>
      <c r="B49" s="213" t="s">
        <v>186</v>
      </c>
      <c r="C49" s="241" t="s">
        <v>542</v>
      </c>
      <c r="D49" s="241" t="s">
        <v>542</v>
      </c>
      <c r="E49" s="221">
        <v>43318</v>
      </c>
      <c r="F49" s="221">
        <v>43320</v>
      </c>
      <c r="G49" s="241">
        <v>45474</v>
      </c>
      <c r="H49" s="241">
        <v>45478</v>
      </c>
      <c r="I49" s="222"/>
      <c r="J49" s="201"/>
      <c r="K49" s="201"/>
    </row>
    <row r="50" spans="1:11" ht="78.75" x14ac:dyDescent="0.25">
      <c r="A50" s="211" t="s">
        <v>527</v>
      </c>
      <c r="B50" s="213" t="s">
        <v>526</v>
      </c>
      <c r="C50" s="241" t="s">
        <v>542</v>
      </c>
      <c r="D50" s="241" t="s">
        <v>542</v>
      </c>
      <c r="E50" s="221">
        <v>43343</v>
      </c>
      <c r="F50" s="221">
        <v>43343</v>
      </c>
      <c r="G50" s="241"/>
      <c r="H50" s="241"/>
      <c r="I50" s="222"/>
      <c r="J50" s="201"/>
      <c r="K50" s="201"/>
    </row>
    <row r="51" spans="1:11" ht="63" x14ac:dyDescent="0.25">
      <c r="A51" s="209" t="s">
        <v>529</v>
      </c>
      <c r="B51" s="213" t="s">
        <v>528</v>
      </c>
      <c r="C51" s="241" t="s">
        <v>542</v>
      </c>
      <c r="D51" s="241" t="s">
        <v>542</v>
      </c>
      <c r="E51" s="221">
        <v>43343</v>
      </c>
      <c r="F51" s="221">
        <v>43343</v>
      </c>
      <c r="G51" s="241">
        <v>45488</v>
      </c>
      <c r="H51" s="241">
        <v>45519</v>
      </c>
      <c r="I51" s="222"/>
      <c r="J51" s="201"/>
      <c r="K51" s="201"/>
    </row>
    <row r="52" spans="1:11" ht="63" x14ac:dyDescent="0.25">
      <c r="A52" s="209" t="s">
        <v>530</v>
      </c>
      <c r="B52" s="213" t="s">
        <v>185</v>
      </c>
      <c r="C52" s="241" t="s">
        <v>542</v>
      </c>
      <c r="D52" s="241" t="s">
        <v>542</v>
      </c>
      <c r="E52" s="221"/>
      <c r="F52" s="221"/>
      <c r="G52" s="241" t="s">
        <v>435</v>
      </c>
      <c r="H52" s="241" t="s">
        <v>435</v>
      </c>
      <c r="I52" s="222"/>
      <c r="J52" s="201"/>
      <c r="K52" s="201"/>
    </row>
    <row r="53" spans="1:11" ht="31.5" x14ac:dyDescent="0.25">
      <c r="A53" s="209" t="s">
        <v>532</v>
      </c>
      <c r="B53" s="213" t="s">
        <v>531</v>
      </c>
      <c r="C53" s="241" t="s">
        <v>542</v>
      </c>
      <c r="D53" s="241" t="s">
        <v>542</v>
      </c>
      <c r="E53" s="221">
        <v>43343</v>
      </c>
      <c r="F53" s="221">
        <v>43343</v>
      </c>
      <c r="G53" s="244">
        <v>45520</v>
      </c>
      <c r="H53" s="241">
        <v>45524</v>
      </c>
      <c r="I53" s="222"/>
      <c r="J53" s="201"/>
      <c r="K53" s="201"/>
    </row>
    <row r="54" spans="1:11" ht="31.5" x14ac:dyDescent="0.25">
      <c r="A54" s="209" t="s">
        <v>537</v>
      </c>
      <c r="B54" s="213" t="s">
        <v>184</v>
      </c>
      <c r="C54" s="241" t="s">
        <v>542</v>
      </c>
      <c r="D54" s="241" t="s">
        <v>542</v>
      </c>
      <c r="E54" s="221">
        <v>43353</v>
      </c>
      <c r="F54" s="221">
        <v>43353</v>
      </c>
      <c r="G54" s="244">
        <v>45519</v>
      </c>
      <c r="H54" s="241"/>
      <c r="I54" s="222"/>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M24" sqref="M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7.5703125" style="44" customWidth="1"/>
    <col min="7" max="7" width="15.85546875" style="44" customWidth="1"/>
    <col min="8" max="15" width="9.28515625" style="44" customWidth="1"/>
    <col min="16" max="16" width="10" style="44" customWidth="1"/>
    <col min="17" max="17" width="8" style="44" customWidth="1"/>
    <col min="18" max="19" width="8.5703125" style="44" customWidth="1"/>
    <col min="20" max="20" width="10.42578125" style="44" customWidth="1"/>
    <col min="21" max="21" width="8" style="44" customWidth="1"/>
    <col min="22" max="23" width="8.5703125" style="44" customWidth="1"/>
    <col min="24" max="24" width="9" style="44" customWidth="1"/>
    <col min="25" max="25" width="8"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98" t="s">
        <v>66</v>
      </c>
    </row>
    <row r="2" spans="1:29" ht="18.75" x14ac:dyDescent="0.3">
      <c r="AC2" s="399" t="s">
        <v>8</v>
      </c>
    </row>
    <row r="3" spans="1:29" ht="18.75" x14ac:dyDescent="0.3">
      <c r="AC3" s="399" t="s">
        <v>65</v>
      </c>
    </row>
    <row r="4" spans="1:29" ht="18.75" customHeight="1" x14ac:dyDescent="0.25">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row>
    <row r="5" spans="1:29" ht="18.75" x14ac:dyDescent="0.3">
      <c r="AC5" s="399"/>
    </row>
    <row r="6" spans="1:29" ht="18.75" x14ac:dyDescent="0.25">
      <c r="A6" s="502" t="s">
        <v>7</v>
      </c>
      <c r="B6" s="502"/>
      <c r="C6" s="502"/>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row>
    <row r="7" spans="1:29" ht="18.75" x14ac:dyDescent="0.25">
      <c r="A7" s="400"/>
      <c r="B7" s="400"/>
      <c r="C7" s="400"/>
      <c r="D7" s="400"/>
      <c r="E7" s="400"/>
      <c r="F7" s="400"/>
      <c r="G7" s="400"/>
      <c r="H7" s="215"/>
      <c r="I7" s="215"/>
      <c r="J7" s="215"/>
      <c r="K7" s="215"/>
      <c r="L7" s="215"/>
      <c r="M7" s="215"/>
      <c r="N7" s="215"/>
      <c r="O7" s="215"/>
      <c r="P7" s="215"/>
      <c r="Q7" s="215"/>
      <c r="R7" s="215"/>
      <c r="S7" s="215"/>
      <c r="T7" s="215"/>
      <c r="U7" s="215"/>
      <c r="V7" s="215"/>
      <c r="W7" s="215"/>
      <c r="X7" s="215"/>
      <c r="Y7" s="215"/>
      <c r="Z7" s="215"/>
      <c r="AA7" s="215"/>
      <c r="AB7" s="215"/>
      <c r="AC7" s="215"/>
    </row>
    <row r="8" spans="1:29" x14ac:dyDescent="0.25">
      <c r="A8" s="503" t="s">
        <v>566</v>
      </c>
      <c r="B8" s="503"/>
      <c r="C8" s="503"/>
      <c r="D8" s="503"/>
      <c r="E8" s="503"/>
      <c r="F8" s="503"/>
      <c r="G8" s="503"/>
      <c r="H8" s="503"/>
      <c r="I8" s="503"/>
      <c r="J8" s="503"/>
      <c r="K8" s="503"/>
      <c r="L8" s="503"/>
      <c r="M8" s="503"/>
      <c r="N8" s="503"/>
      <c r="O8" s="503"/>
      <c r="P8" s="503"/>
      <c r="Q8" s="503"/>
      <c r="R8" s="503"/>
      <c r="S8" s="503"/>
      <c r="T8" s="503"/>
      <c r="U8" s="503"/>
      <c r="V8" s="503"/>
      <c r="W8" s="503"/>
      <c r="X8" s="503"/>
      <c r="Y8" s="503"/>
      <c r="Z8" s="503"/>
      <c r="AA8" s="503"/>
      <c r="AB8" s="503"/>
      <c r="AC8" s="503"/>
    </row>
    <row r="9" spans="1:29" ht="18.75" customHeight="1"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row>
    <row r="10" spans="1:29" ht="18.75" x14ac:dyDescent="0.25">
      <c r="A10" s="400"/>
      <c r="B10" s="400"/>
      <c r="C10" s="400"/>
      <c r="D10" s="400"/>
      <c r="E10" s="400"/>
      <c r="F10" s="400"/>
      <c r="G10" s="400"/>
      <c r="H10" s="215"/>
      <c r="I10" s="215"/>
      <c r="J10" s="215"/>
      <c r="K10" s="215"/>
      <c r="L10" s="215"/>
      <c r="M10" s="215"/>
      <c r="N10" s="215"/>
      <c r="O10" s="215"/>
      <c r="P10" s="215"/>
      <c r="Q10" s="215"/>
      <c r="R10" s="215"/>
      <c r="S10" s="215"/>
      <c r="T10" s="215"/>
      <c r="U10" s="215"/>
      <c r="V10" s="215"/>
      <c r="W10" s="215"/>
      <c r="X10" s="215"/>
      <c r="Y10" s="215"/>
      <c r="Z10" s="215"/>
      <c r="AA10" s="215"/>
      <c r="AB10" s="215"/>
      <c r="AC10" s="215"/>
    </row>
    <row r="11" spans="1:29" x14ac:dyDescent="0.25">
      <c r="A11" s="503" t="str">
        <f>'1. паспорт местоположение'!A12:C12</f>
        <v>J 19-02</v>
      </c>
      <c r="B11" s="503"/>
      <c r="C11" s="503"/>
      <c r="D11" s="503"/>
      <c r="E11" s="503"/>
      <c r="F11" s="503"/>
      <c r="G11" s="503"/>
      <c r="H11" s="503"/>
      <c r="I11" s="503"/>
      <c r="J11" s="503"/>
      <c r="K11" s="503"/>
      <c r="L11" s="503"/>
      <c r="M11" s="503"/>
      <c r="N11" s="503"/>
      <c r="O11" s="503"/>
      <c r="P11" s="503"/>
      <c r="Q11" s="503"/>
      <c r="R11" s="503"/>
      <c r="S11" s="503"/>
      <c r="T11" s="503"/>
      <c r="U11" s="503"/>
      <c r="V11" s="503"/>
      <c r="W11" s="503"/>
      <c r="X11" s="503"/>
      <c r="Y11" s="503"/>
      <c r="Z11" s="503"/>
      <c r="AA11" s="503"/>
      <c r="AB11" s="503"/>
      <c r="AC11" s="503"/>
    </row>
    <row r="12" spans="1:29"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0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row>
    <row r="15" spans="1:29" ht="15.75" customHeight="1"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P17" s="239"/>
    </row>
    <row r="18" spans="1:32" ht="48" customHeight="1" x14ac:dyDescent="0.25">
      <c r="A18" s="472" t="s">
        <v>392</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row>
    <row r="19" spans="1:32" ht="49.5" hidden="1" customHeight="1" x14ac:dyDescent="0.25">
      <c r="E19" s="64" t="s">
        <v>574</v>
      </c>
      <c r="F19" s="64" t="s">
        <v>575</v>
      </c>
      <c r="G19" s="64" t="s">
        <v>576</v>
      </c>
      <c r="H19" s="44" t="s">
        <v>577</v>
      </c>
      <c r="L19" s="44" t="s">
        <v>578</v>
      </c>
      <c r="P19" s="44" t="s">
        <v>579</v>
      </c>
    </row>
    <row r="20" spans="1:32" ht="33" customHeight="1" x14ac:dyDescent="0.25">
      <c r="A20" s="468" t="s">
        <v>183</v>
      </c>
      <c r="B20" s="468" t="s">
        <v>182</v>
      </c>
      <c r="C20" s="463" t="s">
        <v>181</v>
      </c>
      <c r="D20" s="463"/>
      <c r="E20" s="505" t="s">
        <v>180</v>
      </c>
      <c r="F20" s="505"/>
      <c r="G20" s="468" t="s">
        <v>640</v>
      </c>
      <c r="H20" s="474">
        <v>2020</v>
      </c>
      <c r="I20" s="475"/>
      <c r="J20" s="475"/>
      <c r="K20" s="506"/>
      <c r="L20" s="474">
        <v>2021</v>
      </c>
      <c r="M20" s="475"/>
      <c r="N20" s="475"/>
      <c r="O20" s="506"/>
      <c r="P20" s="474">
        <v>2022</v>
      </c>
      <c r="Q20" s="475"/>
      <c r="R20" s="475"/>
      <c r="S20" s="506"/>
      <c r="T20" s="474">
        <v>2023</v>
      </c>
      <c r="U20" s="475"/>
      <c r="V20" s="475"/>
      <c r="W20" s="506"/>
      <c r="X20" s="474">
        <v>2024</v>
      </c>
      <c r="Y20" s="475"/>
      <c r="Z20" s="475"/>
      <c r="AA20" s="475"/>
      <c r="AB20" s="473" t="s">
        <v>179</v>
      </c>
      <c r="AC20" s="473"/>
      <c r="AD20" s="401"/>
      <c r="AE20" s="401"/>
      <c r="AF20" s="401"/>
    </row>
    <row r="21" spans="1:32" ht="99.75" customHeight="1" x14ac:dyDescent="0.25">
      <c r="A21" s="469"/>
      <c r="B21" s="469"/>
      <c r="C21" s="463"/>
      <c r="D21" s="463"/>
      <c r="E21" s="505"/>
      <c r="F21" s="505"/>
      <c r="G21" s="469"/>
      <c r="H21" s="463" t="s">
        <v>2</v>
      </c>
      <c r="I21" s="463"/>
      <c r="J21" s="463" t="s">
        <v>639</v>
      </c>
      <c r="K21" s="463"/>
      <c r="L21" s="463" t="s">
        <v>2</v>
      </c>
      <c r="M21" s="463"/>
      <c r="N21" s="463" t="s">
        <v>540</v>
      </c>
      <c r="O21" s="463"/>
      <c r="P21" s="463" t="s">
        <v>2</v>
      </c>
      <c r="Q21" s="463"/>
      <c r="R21" s="463" t="s">
        <v>178</v>
      </c>
      <c r="S21" s="463"/>
      <c r="T21" s="463" t="s">
        <v>2</v>
      </c>
      <c r="U21" s="463"/>
      <c r="V21" s="463" t="s">
        <v>178</v>
      </c>
      <c r="W21" s="463"/>
      <c r="X21" s="463" t="s">
        <v>2</v>
      </c>
      <c r="Y21" s="463"/>
      <c r="Z21" s="463" t="s">
        <v>178</v>
      </c>
      <c r="AA21" s="463"/>
      <c r="AB21" s="473"/>
      <c r="AC21" s="473"/>
    </row>
    <row r="22" spans="1:32" ht="89.25" customHeight="1" x14ac:dyDescent="0.25">
      <c r="A22" s="470"/>
      <c r="B22" s="470"/>
      <c r="C22" s="395" t="s">
        <v>2</v>
      </c>
      <c r="D22" s="395" t="s">
        <v>178</v>
      </c>
      <c r="E22" s="64" t="s">
        <v>567</v>
      </c>
      <c r="F22" s="64" t="s">
        <v>658</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395" t="s">
        <v>591</v>
      </c>
      <c r="AC22" s="395" t="s">
        <v>541</v>
      </c>
    </row>
    <row r="23" spans="1:32" ht="19.5" customHeight="1" x14ac:dyDescent="0.25">
      <c r="A23" s="396">
        <v>1</v>
      </c>
      <c r="B23" s="396">
        <v>2</v>
      </c>
      <c r="C23" s="396">
        <v>3</v>
      </c>
      <c r="D23" s="396">
        <v>4</v>
      </c>
      <c r="E23" s="396">
        <v>5</v>
      </c>
      <c r="F23" s="396">
        <v>6</v>
      </c>
      <c r="G23" s="396">
        <v>7</v>
      </c>
      <c r="H23" s="396">
        <v>8</v>
      </c>
      <c r="I23" s="396">
        <v>9</v>
      </c>
      <c r="J23" s="396">
        <v>10</v>
      </c>
      <c r="K23" s="396">
        <v>11</v>
      </c>
      <c r="L23" s="396">
        <v>12</v>
      </c>
      <c r="M23" s="396">
        <v>13</v>
      </c>
      <c r="N23" s="396">
        <v>14</v>
      </c>
      <c r="O23" s="396">
        <v>15</v>
      </c>
      <c r="P23" s="396">
        <v>16</v>
      </c>
      <c r="Q23" s="396">
        <v>17</v>
      </c>
      <c r="R23" s="396">
        <v>18</v>
      </c>
      <c r="S23" s="396">
        <v>19</v>
      </c>
      <c r="T23" s="396">
        <v>20</v>
      </c>
      <c r="U23" s="396">
        <v>21</v>
      </c>
      <c r="V23" s="396">
        <v>22</v>
      </c>
      <c r="W23" s="396">
        <v>23</v>
      </c>
      <c r="X23" s="396">
        <v>24</v>
      </c>
      <c r="Y23" s="396">
        <v>25</v>
      </c>
      <c r="Z23" s="396">
        <v>26</v>
      </c>
      <c r="AA23" s="396">
        <v>27</v>
      </c>
      <c r="AB23" s="396">
        <v>28</v>
      </c>
      <c r="AC23" s="396">
        <v>29</v>
      </c>
    </row>
    <row r="24" spans="1:32" ht="47.25" customHeight="1" x14ac:dyDescent="0.25">
      <c r="A24" s="60">
        <v>1</v>
      </c>
      <c r="B24" s="59" t="s">
        <v>177</v>
      </c>
      <c r="C24" s="120" t="s">
        <v>542</v>
      </c>
      <c r="D24" s="120">
        <f>SUM(D25:D29)</f>
        <v>341.65587945394435</v>
      </c>
      <c r="E24" s="120">
        <v>334.15587945394429</v>
      </c>
      <c r="F24" s="120">
        <v>334.15587945394429</v>
      </c>
      <c r="G24" s="120">
        <v>0</v>
      </c>
      <c r="H24" s="120" t="s">
        <v>542</v>
      </c>
      <c r="I24" s="120" t="s">
        <v>542</v>
      </c>
      <c r="J24" s="120">
        <v>0</v>
      </c>
      <c r="K24" s="120" t="s">
        <v>542</v>
      </c>
      <c r="L24" s="120" t="s">
        <v>542</v>
      </c>
      <c r="M24" s="120" t="s">
        <v>542</v>
      </c>
      <c r="N24" s="120">
        <f>SUM(N25:N29)</f>
        <v>3</v>
      </c>
      <c r="O24" s="120">
        <v>0</v>
      </c>
      <c r="P24" s="120" t="s">
        <v>542</v>
      </c>
      <c r="Q24" s="120" t="s">
        <v>542</v>
      </c>
      <c r="R24" s="120">
        <v>108.97796</v>
      </c>
      <c r="S24" s="120">
        <v>0</v>
      </c>
      <c r="T24" s="120" t="s">
        <v>542</v>
      </c>
      <c r="U24" s="120" t="s">
        <v>542</v>
      </c>
      <c r="V24" s="120">
        <v>96.805458884757812</v>
      </c>
      <c r="W24" s="120">
        <v>0</v>
      </c>
      <c r="X24" s="120" t="s">
        <v>542</v>
      </c>
      <c r="Y24" s="120" t="s">
        <v>542</v>
      </c>
      <c r="Z24" s="120">
        <f>D24-J24-N24-R24-V24</f>
        <v>132.87246056918656</v>
      </c>
      <c r="AA24" s="120">
        <v>0</v>
      </c>
      <c r="AB24" s="120" t="s">
        <v>542</v>
      </c>
      <c r="AC24" s="120">
        <f>SUM(Z24,V24,R24,N24,J24)</f>
        <v>341.65587945394435</v>
      </c>
    </row>
    <row r="25" spans="1:32" ht="24" customHeight="1" x14ac:dyDescent="0.25">
      <c r="A25" s="57" t="s">
        <v>176</v>
      </c>
      <c r="B25" s="33" t="s">
        <v>175</v>
      </c>
      <c r="C25" s="120" t="s">
        <v>542</v>
      </c>
      <c r="D25" s="120">
        <v>0</v>
      </c>
      <c r="E25" s="120">
        <v>0</v>
      </c>
      <c r="F25" s="120">
        <v>0</v>
      </c>
      <c r="G25" s="122">
        <v>0</v>
      </c>
      <c r="H25" s="122" t="s">
        <v>542</v>
      </c>
      <c r="I25" s="122" t="s">
        <v>542</v>
      </c>
      <c r="J25" s="120">
        <v>0</v>
      </c>
      <c r="K25" s="122" t="s">
        <v>542</v>
      </c>
      <c r="L25" s="122" t="s">
        <v>542</v>
      </c>
      <c r="M25" s="122" t="s">
        <v>542</v>
      </c>
      <c r="N25" s="120">
        <v>0</v>
      </c>
      <c r="O25" s="122">
        <v>0</v>
      </c>
      <c r="P25" s="122" t="s">
        <v>542</v>
      </c>
      <c r="Q25" s="122" t="s">
        <v>542</v>
      </c>
      <c r="R25" s="120">
        <v>0</v>
      </c>
      <c r="S25" s="120">
        <v>0</v>
      </c>
      <c r="T25" s="122" t="s">
        <v>542</v>
      </c>
      <c r="U25" s="122" t="s">
        <v>542</v>
      </c>
      <c r="V25" s="120">
        <v>0</v>
      </c>
      <c r="W25" s="120">
        <v>0</v>
      </c>
      <c r="X25" s="122" t="s">
        <v>542</v>
      </c>
      <c r="Y25" s="122" t="s">
        <v>542</v>
      </c>
      <c r="Z25" s="120">
        <f t="shared" ref="Z25:Z64" si="0">D25-J25-N25-R25-V25</f>
        <v>0</v>
      </c>
      <c r="AA25" s="120">
        <v>0</v>
      </c>
      <c r="AB25" s="120" t="s">
        <v>542</v>
      </c>
      <c r="AC25" s="120">
        <f t="shared" ref="AC25:AC64" si="1">SUM(Z25,V25,R25,N25,J25)</f>
        <v>0</v>
      </c>
    </row>
    <row r="26" spans="1:32" x14ac:dyDescent="0.25">
      <c r="A26" s="57" t="s">
        <v>174</v>
      </c>
      <c r="B26" s="33" t="s">
        <v>173</v>
      </c>
      <c r="C26" s="120" t="s">
        <v>542</v>
      </c>
      <c r="D26" s="120">
        <v>0</v>
      </c>
      <c r="E26" s="120">
        <v>0</v>
      </c>
      <c r="F26" s="120">
        <v>0</v>
      </c>
      <c r="G26" s="122">
        <v>0</v>
      </c>
      <c r="H26" s="122" t="s">
        <v>542</v>
      </c>
      <c r="I26" s="122" t="s">
        <v>542</v>
      </c>
      <c r="J26" s="120">
        <v>0</v>
      </c>
      <c r="K26" s="122" t="s">
        <v>542</v>
      </c>
      <c r="L26" s="122" t="s">
        <v>542</v>
      </c>
      <c r="M26" s="122" t="s">
        <v>542</v>
      </c>
      <c r="N26" s="120">
        <v>0</v>
      </c>
      <c r="O26" s="122">
        <v>0</v>
      </c>
      <c r="P26" s="122" t="s">
        <v>542</v>
      </c>
      <c r="Q26" s="122" t="s">
        <v>542</v>
      </c>
      <c r="R26" s="120">
        <v>0</v>
      </c>
      <c r="S26" s="120">
        <v>0</v>
      </c>
      <c r="T26" s="122" t="s">
        <v>542</v>
      </c>
      <c r="U26" s="122" t="s">
        <v>542</v>
      </c>
      <c r="V26" s="120">
        <v>0</v>
      </c>
      <c r="W26" s="120">
        <v>0</v>
      </c>
      <c r="X26" s="122" t="s">
        <v>542</v>
      </c>
      <c r="Y26" s="122" t="s">
        <v>542</v>
      </c>
      <c r="Z26" s="120">
        <f t="shared" si="0"/>
        <v>0</v>
      </c>
      <c r="AA26" s="120">
        <v>0</v>
      </c>
      <c r="AB26" s="120" t="s">
        <v>542</v>
      </c>
      <c r="AC26" s="120">
        <f t="shared" si="1"/>
        <v>0</v>
      </c>
    </row>
    <row r="27" spans="1:32" ht="31.5" x14ac:dyDescent="0.25">
      <c r="A27" s="57" t="s">
        <v>172</v>
      </c>
      <c r="B27" s="33" t="s">
        <v>356</v>
      </c>
      <c r="C27" s="120" t="s">
        <v>542</v>
      </c>
      <c r="D27" s="120">
        <f>D31*1.2</f>
        <v>7.5</v>
      </c>
      <c r="E27" s="120">
        <v>0</v>
      </c>
      <c r="F27" s="120">
        <v>0</v>
      </c>
      <c r="G27" s="122">
        <v>0</v>
      </c>
      <c r="H27" s="122" t="s">
        <v>542</v>
      </c>
      <c r="I27" s="122" t="s">
        <v>542</v>
      </c>
      <c r="J27" s="120">
        <v>0</v>
      </c>
      <c r="K27" s="122" t="s">
        <v>542</v>
      </c>
      <c r="L27" s="122" t="s">
        <v>542</v>
      </c>
      <c r="M27" s="122" t="s">
        <v>542</v>
      </c>
      <c r="N27" s="120">
        <f>N30*1.2</f>
        <v>3</v>
      </c>
      <c r="O27" s="122">
        <v>0</v>
      </c>
      <c r="P27" s="122" t="s">
        <v>542</v>
      </c>
      <c r="Q27" s="122" t="s">
        <v>542</v>
      </c>
      <c r="R27" s="120">
        <v>0</v>
      </c>
      <c r="S27" s="120">
        <v>0</v>
      </c>
      <c r="T27" s="122" t="s">
        <v>542</v>
      </c>
      <c r="U27" s="122" t="s">
        <v>542</v>
      </c>
      <c r="V27" s="120">
        <v>0</v>
      </c>
      <c r="W27" s="120">
        <v>0</v>
      </c>
      <c r="X27" s="122" t="s">
        <v>542</v>
      </c>
      <c r="Y27" s="122" t="s">
        <v>542</v>
      </c>
      <c r="Z27" s="120">
        <f t="shared" si="0"/>
        <v>4.5</v>
      </c>
      <c r="AA27" s="120">
        <v>0</v>
      </c>
      <c r="AB27" s="120" t="s">
        <v>542</v>
      </c>
      <c r="AC27" s="120">
        <f t="shared" si="1"/>
        <v>7.5</v>
      </c>
    </row>
    <row r="28" spans="1:32" x14ac:dyDescent="0.25">
      <c r="A28" s="57" t="s">
        <v>171</v>
      </c>
      <c r="B28" s="33" t="s">
        <v>543</v>
      </c>
      <c r="C28" s="120" t="s">
        <v>542</v>
      </c>
      <c r="D28" s="120">
        <f>D30*1.2-D27</f>
        <v>334.15587945394435</v>
      </c>
      <c r="E28" s="120">
        <v>334.15587945394429</v>
      </c>
      <c r="F28" s="120">
        <v>334.15587945394429</v>
      </c>
      <c r="G28" s="122">
        <v>0</v>
      </c>
      <c r="H28" s="122" t="s">
        <v>542</v>
      </c>
      <c r="I28" s="122" t="s">
        <v>542</v>
      </c>
      <c r="J28" s="120">
        <v>0</v>
      </c>
      <c r="K28" s="122" t="s">
        <v>542</v>
      </c>
      <c r="L28" s="122" t="s">
        <v>542</v>
      </c>
      <c r="M28" s="122" t="s">
        <v>542</v>
      </c>
      <c r="N28" s="120">
        <v>0</v>
      </c>
      <c r="O28" s="122">
        <v>0</v>
      </c>
      <c r="P28" s="122" t="s">
        <v>542</v>
      </c>
      <c r="Q28" s="122" t="s">
        <v>542</v>
      </c>
      <c r="R28" s="120">
        <v>108.97796</v>
      </c>
      <c r="S28" s="120">
        <v>0</v>
      </c>
      <c r="T28" s="122" t="s">
        <v>542</v>
      </c>
      <c r="U28" s="122" t="s">
        <v>542</v>
      </c>
      <c r="V28" s="120">
        <v>96.805458884757812</v>
      </c>
      <c r="W28" s="120">
        <v>0</v>
      </c>
      <c r="X28" s="122" t="s">
        <v>542</v>
      </c>
      <c r="Y28" s="122" t="s">
        <v>542</v>
      </c>
      <c r="Z28" s="120">
        <f t="shared" si="0"/>
        <v>128.37246056918656</v>
      </c>
      <c r="AA28" s="120">
        <v>0</v>
      </c>
      <c r="AB28" s="120" t="s">
        <v>542</v>
      </c>
      <c r="AC28" s="120">
        <f>SUM(Z28,V28,R28,N28,J28)</f>
        <v>334.15587945394435</v>
      </c>
    </row>
    <row r="29" spans="1:32" x14ac:dyDescent="0.25">
      <c r="A29" s="57" t="s">
        <v>169</v>
      </c>
      <c r="B29" s="61" t="s">
        <v>168</v>
      </c>
      <c r="C29" s="120" t="s">
        <v>542</v>
      </c>
      <c r="D29" s="120">
        <v>0</v>
      </c>
      <c r="E29" s="120">
        <v>0</v>
      </c>
      <c r="F29" s="120">
        <v>0</v>
      </c>
      <c r="G29" s="122">
        <v>0</v>
      </c>
      <c r="H29" s="122" t="s">
        <v>542</v>
      </c>
      <c r="I29" s="122" t="s">
        <v>542</v>
      </c>
      <c r="J29" s="120">
        <v>0</v>
      </c>
      <c r="K29" s="122" t="s">
        <v>542</v>
      </c>
      <c r="L29" s="122" t="s">
        <v>542</v>
      </c>
      <c r="M29" s="122" t="s">
        <v>542</v>
      </c>
      <c r="N29" s="120">
        <v>0</v>
      </c>
      <c r="O29" s="122">
        <v>0</v>
      </c>
      <c r="P29" s="122" t="s">
        <v>542</v>
      </c>
      <c r="Q29" s="122" t="s">
        <v>542</v>
      </c>
      <c r="R29" s="120">
        <v>0</v>
      </c>
      <c r="S29" s="120">
        <v>0</v>
      </c>
      <c r="T29" s="122" t="s">
        <v>542</v>
      </c>
      <c r="U29" s="122" t="s">
        <v>542</v>
      </c>
      <c r="V29" s="120">
        <v>0</v>
      </c>
      <c r="W29" s="120">
        <v>0</v>
      </c>
      <c r="X29" s="120" t="s">
        <v>542</v>
      </c>
      <c r="Y29" s="122" t="s">
        <v>542</v>
      </c>
      <c r="Z29" s="120">
        <f t="shared" si="0"/>
        <v>0</v>
      </c>
      <c r="AA29" s="120">
        <v>0</v>
      </c>
      <c r="AB29" s="120" t="s">
        <v>542</v>
      </c>
      <c r="AC29" s="120">
        <f t="shared" si="1"/>
        <v>0</v>
      </c>
    </row>
    <row r="30" spans="1:32" s="402" customFormat="1" ht="47.25" x14ac:dyDescent="0.25">
      <c r="A30" s="60" t="s">
        <v>61</v>
      </c>
      <c r="B30" s="59" t="s">
        <v>167</v>
      </c>
      <c r="C30" s="120" t="s">
        <v>542</v>
      </c>
      <c r="D30" s="120">
        <v>284.71323287828699</v>
      </c>
      <c r="E30" s="120">
        <f>278.463232878287+E31</f>
        <v>284.71323287828699</v>
      </c>
      <c r="F30" s="120">
        <f>278.463232878287+F31</f>
        <v>284.71323287828699</v>
      </c>
      <c r="G30" s="120">
        <v>0</v>
      </c>
      <c r="H30" s="120" t="s">
        <v>542</v>
      </c>
      <c r="I30" s="120" t="s">
        <v>542</v>
      </c>
      <c r="J30" s="120">
        <v>0</v>
      </c>
      <c r="K30" s="120" t="s">
        <v>542</v>
      </c>
      <c r="L30" s="120" t="s">
        <v>542</v>
      </c>
      <c r="M30" s="120" t="s">
        <v>542</v>
      </c>
      <c r="N30" s="120">
        <f>SUM(N31:N35)</f>
        <v>2.5</v>
      </c>
      <c r="O30" s="120">
        <v>0</v>
      </c>
      <c r="P30" s="120" t="s">
        <v>542</v>
      </c>
      <c r="Q30" s="120" t="s">
        <v>542</v>
      </c>
      <c r="R30" s="120">
        <v>90.814966666666663</v>
      </c>
      <c r="S30" s="120">
        <v>0</v>
      </c>
      <c r="T30" s="120" t="s">
        <v>542</v>
      </c>
      <c r="U30" s="120" t="s">
        <v>542</v>
      </c>
      <c r="V30" s="120">
        <v>80.671215737298184</v>
      </c>
      <c r="W30" s="120">
        <v>0</v>
      </c>
      <c r="X30" s="120" t="s">
        <v>542</v>
      </c>
      <c r="Y30" s="120" t="s">
        <v>542</v>
      </c>
      <c r="Z30" s="120">
        <v>110.72705047432214</v>
      </c>
      <c r="AA30" s="120">
        <v>0</v>
      </c>
      <c r="AB30" s="120" t="s">
        <v>542</v>
      </c>
      <c r="AC30" s="120">
        <f>SUM(Z30,V30,R30,N30,J30)</f>
        <v>284.71323287828699</v>
      </c>
    </row>
    <row r="31" spans="1:32" x14ac:dyDescent="0.25">
      <c r="A31" s="60" t="s">
        <v>166</v>
      </c>
      <c r="B31" s="33" t="s">
        <v>165</v>
      </c>
      <c r="C31" s="120" t="s">
        <v>542</v>
      </c>
      <c r="D31" s="120">
        <f>7.5/1.2</f>
        <v>6.25</v>
      </c>
      <c r="E31" s="120">
        <f>7.5/1.2</f>
        <v>6.25</v>
      </c>
      <c r="F31" s="120">
        <f>7.5/1.2</f>
        <v>6.25</v>
      </c>
      <c r="G31" s="122">
        <v>0</v>
      </c>
      <c r="H31" s="122" t="s">
        <v>542</v>
      </c>
      <c r="I31" s="122" t="s">
        <v>542</v>
      </c>
      <c r="J31" s="120">
        <v>0</v>
      </c>
      <c r="K31" s="122" t="s">
        <v>542</v>
      </c>
      <c r="L31" s="122" t="s">
        <v>542</v>
      </c>
      <c r="M31" s="122" t="s">
        <v>542</v>
      </c>
      <c r="N31" s="120">
        <v>2.5</v>
      </c>
      <c r="O31" s="122">
        <v>0</v>
      </c>
      <c r="P31" s="122" t="s">
        <v>542</v>
      </c>
      <c r="Q31" s="122" t="s">
        <v>542</v>
      </c>
      <c r="R31" s="120">
        <v>0</v>
      </c>
      <c r="S31" s="120">
        <v>0</v>
      </c>
      <c r="T31" s="122" t="s">
        <v>542</v>
      </c>
      <c r="U31" s="122" t="s">
        <v>542</v>
      </c>
      <c r="V31" s="120">
        <v>0</v>
      </c>
      <c r="W31" s="120">
        <v>0</v>
      </c>
      <c r="X31" s="122" t="s">
        <v>542</v>
      </c>
      <c r="Y31" s="122" t="s">
        <v>542</v>
      </c>
      <c r="Z31" s="120">
        <f t="shared" si="0"/>
        <v>3.75</v>
      </c>
      <c r="AA31" s="120">
        <v>0</v>
      </c>
      <c r="AB31" s="120" t="s">
        <v>542</v>
      </c>
      <c r="AC31" s="120">
        <f t="shared" si="1"/>
        <v>6.25</v>
      </c>
    </row>
    <row r="32" spans="1:32" ht="31.5" x14ac:dyDescent="0.25">
      <c r="A32" s="60" t="s">
        <v>164</v>
      </c>
      <c r="B32" s="33" t="s">
        <v>163</v>
      </c>
      <c r="C32" s="120" t="s">
        <v>542</v>
      </c>
      <c r="D32" s="120">
        <v>66.938218036960507</v>
      </c>
      <c r="E32" s="120">
        <v>66.938218036960507</v>
      </c>
      <c r="F32" s="120">
        <v>66.938218036960507</v>
      </c>
      <c r="G32" s="122">
        <v>0</v>
      </c>
      <c r="H32" s="122" t="s">
        <v>542</v>
      </c>
      <c r="I32" s="122" t="s">
        <v>542</v>
      </c>
      <c r="J32" s="120">
        <v>0</v>
      </c>
      <c r="K32" s="122" t="s">
        <v>542</v>
      </c>
      <c r="L32" s="122" t="s">
        <v>542</v>
      </c>
      <c r="M32" s="122" t="s">
        <v>542</v>
      </c>
      <c r="N32" s="120">
        <v>0</v>
      </c>
      <c r="O32" s="122">
        <v>0</v>
      </c>
      <c r="P32" s="122" t="s">
        <v>542</v>
      </c>
      <c r="Q32" s="122" t="s">
        <v>542</v>
      </c>
      <c r="R32" s="120">
        <v>20.354633333333336</v>
      </c>
      <c r="S32" s="120">
        <v>0</v>
      </c>
      <c r="T32" s="122" t="s">
        <v>542</v>
      </c>
      <c r="U32" s="122" t="s">
        <v>542</v>
      </c>
      <c r="V32" s="120">
        <v>13.791333333333322</v>
      </c>
      <c r="W32" s="120">
        <v>0</v>
      </c>
      <c r="X32" s="122" t="s">
        <v>542</v>
      </c>
      <c r="Y32" s="122" t="s">
        <v>542</v>
      </c>
      <c r="Z32" s="120">
        <f t="shared" si="0"/>
        <v>32.792251370293847</v>
      </c>
      <c r="AA32" s="120">
        <v>0</v>
      </c>
      <c r="AB32" s="120" t="s">
        <v>542</v>
      </c>
      <c r="AC32" s="120">
        <f t="shared" si="1"/>
        <v>66.938218036960507</v>
      </c>
    </row>
    <row r="33" spans="1:29" x14ac:dyDescent="0.25">
      <c r="A33" s="60" t="s">
        <v>162</v>
      </c>
      <c r="B33" s="33" t="s">
        <v>161</v>
      </c>
      <c r="C33" s="120" t="s">
        <v>542</v>
      </c>
      <c r="D33" s="120">
        <v>198.43246577069488</v>
      </c>
      <c r="E33" s="120">
        <v>198.43246577069488</v>
      </c>
      <c r="F33" s="120">
        <v>198.43246577069488</v>
      </c>
      <c r="G33" s="122">
        <v>0</v>
      </c>
      <c r="H33" s="122" t="s">
        <v>542</v>
      </c>
      <c r="I33" s="122" t="s">
        <v>542</v>
      </c>
      <c r="J33" s="120">
        <v>0</v>
      </c>
      <c r="K33" s="122" t="s">
        <v>542</v>
      </c>
      <c r="L33" s="122" t="s">
        <v>542</v>
      </c>
      <c r="M33" s="122" t="s">
        <v>542</v>
      </c>
      <c r="N33" s="120">
        <v>0</v>
      </c>
      <c r="O33" s="122">
        <v>0</v>
      </c>
      <c r="P33" s="122" t="s">
        <v>542</v>
      </c>
      <c r="Q33" s="122" t="s">
        <v>542</v>
      </c>
      <c r="R33" s="120">
        <v>66.143999999999991</v>
      </c>
      <c r="S33" s="120">
        <v>0</v>
      </c>
      <c r="T33" s="122" t="s">
        <v>542</v>
      </c>
      <c r="U33" s="122" t="s">
        <v>542</v>
      </c>
      <c r="V33" s="120">
        <v>65.42</v>
      </c>
      <c r="W33" s="120">
        <v>0</v>
      </c>
      <c r="X33" s="122" t="s">
        <v>542</v>
      </c>
      <c r="Y33" s="122" t="s">
        <v>542</v>
      </c>
      <c r="Z33" s="120">
        <f t="shared" si="0"/>
        <v>66.868465770694868</v>
      </c>
      <c r="AA33" s="120">
        <v>0</v>
      </c>
      <c r="AB33" s="120" t="s">
        <v>542</v>
      </c>
      <c r="AC33" s="120">
        <f t="shared" si="1"/>
        <v>198.43246577069488</v>
      </c>
    </row>
    <row r="34" spans="1:29" x14ac:dyDescent="0.25">
      <c r="A34" s="60" t="s">
        <v>160</v>
      </c>
      <c r="B34" s="33" t="s">
        <v>159</v>
      </c>
      <c r="C34" s="120" t="s">
        <v>542</v>
      </c>
      <c r="D34" s="120">
        <v>13.09254907063152</v>
      </c>
      <c r="E34" s="120">
        <v>13.09254907063152</v>
      </c>
      <c r="F34" s="120">
        <v>13.09254907063152</v>
      </c>
      <c r="G34" s="122">
        <v>0</v>
      </c>
      <c r="H34" s="122" t="s">
        <v>542</v>
      </c>
      <c r="I34" s="122" t="s">
        <v>542</v>
      </c>
      <c r="J34" s="120">
        <v>0</v>
      </c>
      <c r="K34" s="122" t="s">
        <v>542</v>
      </c>
      <c r="L34" s="122" t="s">
        <v>542</v>
      </c>
      <c r="M34" s="122" t="s">
        <v>542</v>
      </c>
      <c r="N34" s="120">
        <v>0</v>
      </c>
      <c r="O34" s="122">
        <v>0</v>
      </c>
      <c r="P34" s="122" t="s">
        <v>542</v>
      </c>
      <c r="Q34" s="122" t="s">
        <v>542</v>
      </c>
      <c r="R34" s="120">
        <v>4.3163333333333336</v>
      </c>
      <c r="S34" s="120">
        <v>0</v>
      </c>
      <c r="T34" s="122" t="s">
        <v>542</v>
      </c>
      <c r="U34" s="122" t="s">
        <v>542</v>
      </c>
      <c r="V34" s="120">
        <v>1.4598824039648539</v>
      </c>
      <c r="W34" s="120">
        <v>0</v>
      </c>
      <c r="X34" s="122" t="s">
        <v>542</v>
      </c>
      <c r="Y34" s="122" t="s">
        <v>542</v>
      </c>
      <c r="Z34" s="120">
        <f t="shared" si="0"/>
        <v>7.3163333333333336</v>
      </c>
      <c r="AA34" s="120">
        <v>0</v>
      </c>
      <c r="AB34" s="120" t="s">
        <v>542</v>
      </c>
      <c r="AC34" s="120">
        <f t="shared" si="1"/>
        <v>13.09254907063152</v>
      </c>
    </row>
    <row r="35" spans="1:29" s="402" customFormat="1" ht="31.5" x14ac:dyDescent="0.25">
      <c r="A35" s="60" t="s">
        <v>60</v>
      </c>
      <c r="B35" s="59" t="s">
        <v>158</v>
      </c>
      <c r="C35" s="120" t="s">
        <v>542</v>
      </c>
      <c r="D35" s="120">
        <v>0</v>
      </c>
      <c r="E35" s="120">
        <v>0</v>
      </c>
      <c r="F35" s="120">
        <v>0</v>
      </c>
      <c r="G35" s="122">
        <v>0</v>
      </c>
      <c r="H35" s="120" t="s">
        <v>542</v>
      </c>
      <c r="I35" s="120" t="s">
        <v>542</v>
      </c>
      <c r="J35" s="120">
        <v>0</v>
      </c>
      <c r="K35" s="120" t="s">
        <v>542</v>
      </c>
      <c r="L35" s="120" t="s">
        <v>542</v>
      </c>
      <c r="M35" s="120" t="s">
        <v>542</v>
      </c>
      <c r="N35" s="120">
        <v>0</v>
      </c>
      <c r="O35" s="120">
        <v>0</v>
      </c>
      <c r="P35" s="120" t="s">
        <v>542</v>
      </c>
      <c r="Q35" s="120" t="s">
        <v>542</v>
      </c>
      <c r="R35" s="120">
        <v>0</v>
      </c>
      <c r="S35" s="120">
        <v>0</v>
      </c>
      <c r="T35" s="120" t="s">
        <v>542</v>
      </c>
      <c r="U35" s="120" t="s">
        <v>542</v>
      </c>
      <c r="V35" s="120">
        <v>0</v>
      </c>
      <c r="W35" s="120">
        <v>0</v>
      </c>
      <c r="X35" s="120" t="s">
        <v>542</v>
      </c>
      <c r="Y35" s="120" t="s">
        <v>542</v>
      </c>
      <c r="Z35" s="120">
        <f t="shared" si="0"/>
        <v>0</v>
      </c>
      <c r="AA35" s="120">
        <v>0</v>
      </c>
      <c r="AB35" s="120" t="s">
        <v>542</v>
      </c>
      <c r="AC35" s="120">
        <f t="shared" si="1"/>
        <v>0</v>
      </c>
    </row>
    <row r="36" spans="1:29" ht="31.5" x14ac:dyDescent="0.25">
      <c r="A36" s="57" t="s">
        <v>157</v>
      </c>
      <c r="B36" s="216" t="s">
        <v>156</v>
      </c>
      <c r="C36" s="120" t="s">
        <v>542</v>
      </c>
      <c r="D36" s="120">
        <v>0</v>
      </c>
      <c r="E36" s="120">
        <v>0</v>
      </c>
      <c r="F36" s="120">
        <v>0</v>
      </c>
      <c r="G36" s="122">
        <v>0</v>
      </c>
      <c r="H36" s="122" t="s">
        <v>542</v>
      </c>
      <c r="I36" s="122" t="s">
        <v>542</v>
      </c>
      <c r="J36" s="120">
        <v>0</v>
      </c>
      <c r="K36" s="122" t="s">
        <v>542</v>
      </c>
      <c r="L36" s="122" t="s">
        <v>542</v>
      </c>
      <c r="M36" s="122" t="s">
        <v>542</v>
      </c>
      <c r="N36" s="120">
        <v>0</v>
      </c>
      <c r="O36" s="122">
        <v>0</v>
      </c>
      <c r="P36" s="122" t="s">
        <v>542</v>
      </c>
      <c r="Q36" s="122" t="s">
        <v>542</v>
      </c>
      <c r="R36" s="120">
        <v>0</v>
      </c>
      <c r="S36" s="120">
        <v>0</v>
      </c>
      <c r="T36" s="122" t="s">
        <v>542</v>
      </c>
      <c r="U36" s="122" t="s">
        <v>542</v>
      </c>
      <c r="V36" s="120">
        <v>0</v>
      </c>
      <c r="W36" s="120">
        <v>0</v>
      </c>
      <c r="X36" s="122" t="s">
        <v>542</v>
      </c>
      <c r="Y36" s="122" t="s">
        <v>542</v>
      </c>
      <c r="Z36" s="120">
        <f t="shared" si="0"/>
        <v>0</v>
      </c>
      <c r="AA36" s="120">
        <v>0</v>
      </c>
      <c r="AB36" s="120" t="s">
        <v>542</v>
      </c>
      <c r="AC36" s="120">
        <f t="shared" si="1"/>
        <v>0</v>
      </c>
    </row>
    <row r="37" spans="1:29" x14ac:dyDescent="0.25">
      <c r="A37" s="57" t="s">
        <v>155</v>
      </c>
      <c r="B37" s="216" t="s">
        <v>145</v>
      </c>
      <c r="C37" s="120" t="s">
        <v>542</v>
      </c>
      <c r="D37" s="120">
        <v>32</v>
      </c>
      <c r="E37" s="120">
        <v>32</v>
      </c>
      <c r="F37" s="120">
        <v>32</v>
      </c>
      <c r="G37" s="122">
        <v>0</v>
      </c>
      <c r="H37" s="122" t="s">
        <v>542</v>
      </c>
      <c r="I37" s="122" t="s">
        <v>542</v>
      </c>
      <c r="J37" s="120">
        <v>0</v>
      </c>
      <c r="K37" s="122" t="s">
        <v>542</v>
      </c>
      <c r="L37" s="122" t="s">
        <v>542</v>
      </c>
      <c r="M37" s="122" t="s">
        <v>542</v>
      </c>
      <c r="N37" s="120">
        <v>0</v>
      </c>
      <c r="O37" s="122">
        <v>0</v>
      </c>
      <c r="P37" s="122" t="s">
        <v>542</v>
      </c>
      <c r="Q37" s="122" t="s">
        <v>542</v>
      </c>
      <c r="R37" s="120">
        <v>0</v>
      </c>
      <c r="S37" s="120">
        <v>0</v>
      </c>
      <c r="T37" s="122" t="s">
        <v>542</v>
      </c>
      <c r="U37" s="122" t="s">
        <v>542</v>
      </c>
      <c r="V37" s="120">
        <v>0</v>
      </c>
      <c r="W37" s="120">
        <v>0</v>
      </c>
      <c r="X37" s="122" t="s">
        <v>542</v>
      </c>
      <c r="Y37" s="122" t="s">
        <v>542</v>
      </c>
      <c r="Z37" s="120">
        <f t="shared" si="0"/>
        <v>32</v>
      </c>
      <c r="AA37" s="120">
        <v>0</v>
      </c>
      <c r="AB37" s="120" t="s">
        <v>542</v>
      </c>
      <c r="AC37" s="120">
        <f t="shared" si="1"/>
        <v>32</v>
      </c>
    </row>
    <row r="38" spans="1:29" x14ac:dyDescent="0.25">
      <c r="A38" s="57" t="s">
        <v>154</v>
      </c>
      <c r="B38" s="216" t="s">
        <v>143</v>
      </c>
      <c r="C38" s="120" t="s">
        <v>542</v>
      </c>
      <c r="D38" s="120">
        <v>0</v>
      </c>
      <c r="E38" s="120">
        <v>0</v>
      </c>
      <c r="F38" s="120">
        <v>0</v>
      </c>
      <c r="G38" s="122">
        <v>0</v>
      </c>
      <c r="H38" s="122" t="s">
        <v>542</v>
      </c>
      <c r="I38" s="122" t="s">
        <v>542</v>
      </c>
      <c r="J38" s="120">
        <v>0</v>
      </c>
      <c r="K38" s="122" t="s">
        <v>542</v>
      </c>
      <c r="L38" s="122" t="s">
        <v>542</v>
      </c>
      <c r="M38" s="122" t="s">
        <v>542</v>
      </c>
      <c r="N38" s="120">
        <v>0</v>
      </c>
      <c r="O38" s="122">
        <v>0</v>
      </c>
      <c r="P38" s="122" t="s">
        <v>542</v>
      </c>
      <c r="Q38" s="122" t="s">
        <v>542</v>
      </c>
      <c r="R38" s="120">
        <v>0</v>
      </c>
      <c r="S38" s="120">
        <v>0</v>
      </c>
      <c r="T38" s="122" t="s">
        <v>542</v>
      </c>
      <c r="U38" s="122" t="s">
        <v>542</v>
      </c>
      <c r="V38" s="120">
        <v>0</v>
      </c>
      <c r="W38" s="120">
        <v>0</v>
      </c>
      <c r="X38" s="122" t="s">
        <v>542</v>
      </c>
      <c r="Y38" s="122" t="s">
        <v>542</v>
      </c>
      <c r="Z38" s="120">
        <f t="shared" si="0"/>
        <v>0</v>
      </c>
      <c r="AA38" s="120">
        <v>0</v>
      </c>
      <c r="AB38" s="120" t="s">
        <v>542</v>
      </c>
      <c r="AC38" s="120">
        <f t="shared" si="1"/>
        <v>0</v>
      </c>
    </row>
    <row r="39" spans="1:29" ht="31.5" x14ac:dyDescent="0.25">
      <c r="A39" s="57" t="s">
        <v>153</v>
      </c>
      <c r="B39" s="33" t="s">
        <v>141</v>
      </c>
      <c r="C39" s="120" t="s">
        <v>542</v>
      </c>
      <c r="D39" s="120">
        <v>0</v>
      </c>
      <c r="E39" s="120">
        <v>0</v>
      </c>
      <c r="F39" s="120">
        <v>0</v>
      </c>
      <c r="G39" s="122">
        <v>0</v>
      </c>
      <c r="H39" s="122" t="s">
        <v>542</v>
      </c>
      <c r="I39" s="122" t="s">
        <v>542</v>
      </c>
      <c r="J39" s="120">
        <v>0</v>
      </c>
      <c r="K39" s="122" t="s">
        <v>542</v>
      </c>
      <c r="L39" s="122" t="s">
        <v>542</v>
      </c>
      <c r="M39" s="122" t="s">
        <v>542</v>
      </c>
      <c r="N39" s="120">
        <v>0</v>
      </c>
      <c r="O39" s="122">
        <v>0</v>
      </c>
      <c r="P39" s="122" t="s">
        <v>542</v>
      </c>
      <c r="Q39" s="122" t="s">
        <v>542</v>
      </c>
      <c r="R39" s="120">
        <v>0</v>
      </c>
      <c r="S39" s="120">
        <v>0</v>
      </c>
      <c r="T39" s="122" t="s">
        <v>542</v>
      </c>
      <c r="U39" s="122" t="s">
        <v>542</v>
      </c>
      <c r="V39" s="120">
        <v>0</v>
      </c>
      <c r="W39" s="120">
        <v>0</v>
      </c>
      <c r="X39" s="122" t="s">
        <v>542</v>
      </c>
      <c r="Y39" s="122" t="s">
        <v>542</v>
      </c>
      <c r="Z39" s="120">
        <f t="shared" si="0"/>
        <v>0</v>
      </c>
      <c r="AA39" s="120">
        <v>0</v>
      </c>
      <c r="AB39" s="120" t="s">
        <v>542</v>
      </c>
      <c r="AC39" s="120">
        <f t="shared" si="1"/>
        <v>0</v>
      </c>
    </row>
    <row r="40" spans="1:29" ht="31.5" x14ac:dyDescent="0.25">
      <c r="A40" s="57" t="s">
        <v>152</v>
      </c>
      <c r="B40" s="33" t="s">
        <v>139</v>
      </c>
      <c r="C40" s="120" t="s">
        <v>542</v>
      </c>
      <c r="D40" s="120">
        <v>0</v>
      </c>
      <c r="E40" s="120">
        <v>0</v>
      </c>
      <c r="F40" s="120">
        <v>0</v>
      </c>
      <c r="G40" s="122">
        <v>0</v>
      </c>
      <c r="H40" s="122" t="s">
        <v>542</v>
      </c>
      <c r="I40" s="122" t="s">
        <v>542</v>
      </c>
      <c r="J40" s="120">
        <v>0</v>
      </c>
      <c r="K40" s="122" t="s">
        <v>542</v>
      </c>
      <c r="L40" s="122" t="s">
        <v>542</v>
      </c>
      <c r="M40" s="122" t="s">
        <v>542</v>
      </c>
      <c r="N40" s="120">
        <v>0</v>
      </c>
      <c r="O40" s="122">
        <v>0</v>
      </c>
      <c r="P40" s="122" t="s">
        <v>542</v>
      </c>
      <c r="Q40" s="122" t="s">
        <v>542</v>
      </c>
      <c r="R40" s="120">
        <v>0</v>
      </c>
      <c r="S40" s="120">
        <v>0</v>
      </c>
      <c r="T40" s="122" t="s">
        <v>542</v>
      </c>
      <c r="U40" s="122" t="s">
        <v>542</v>
      </c>
      <c r="V40" s="120">
        <v>0</v>
      </c>
      <c r="W40" s="120">
        <v>0</v>
      </c>
      <c r="X40" s="122" t="s">
        <v>542</v>
      </c>
      <c r="Y40" s="122" t="s">
        <v>542</v>
      </c>
      <c r="Z40" s="120">
        <f t="shared" si="0"/>
        <v>0</v>
      </c>
      <c r="AA40" s="120">
        <v>0</v>
      </c>
      <c r="AB40" s="120" t="s">
        <v>542</v>
      </c>
      <c r="AC40" s="120">
        <f t="shared" si="1"/>
        <v>0</v>
      </c>
    </row>
    <row r="41" spans="1:29" x14ac:dyDescent="0.25">
      <c r="A41" s="57" t="s">
        <v>151</v>
      </c>
      <c r="B41" s="33" t="s">
        <v>137</v>
      </c>
      <c r="C41" s="120" t="s">
        <v>542</v>
      </c>
      <c r="D41" s="120">
        <v>0</v>
      </c>
      <c r="E41" s="120">
        <v>0</v>
      </c>
      <c r="F41" s="120">
        <v>0</v>
      </c>
      <c r="G41" s="122">
        <v>0</v>
      </c>
      <c r="H41" s="122" t="s">
        <v>542</v>
      </c>
      <c r="I41" s="122" t="s">
        <v>542</v>
      </c>
      <c r="J41" s="120">
        <v>0</v>
      </c>
      <c r="K41" s="122" t="s">
        <v>542</v>
      </c>
      <c r="L41" s="122" t="s">
        <v>542</v>
      </c>
      <c r="M41" s="122" t="s">
        <v>542</v>
      </c>
      <c r="N41" s="120">
        <v>0</v>
      </c>
      <c r="O41" s="122">
        <v>0</v>
      </c>
      <c r="P41" s="122" t="s">
        <v>542</v>
      </c>
      <c r="Q41" s="122" t="s">
        <v>542</v>
      </c>
      <c r="R41" s="120">
        <v>0</v>
      </c>
      <c r="S41" s="120">
        <v>0</v>
      </c>
      <c r="T41" s="122" t="s">
        <v>542</v>
      </c>
      <c r="U41" s="122" t="s">
        <v>542</v>
      </c>
      <c r="V41" s="120">
        <v>0</v>
      </c>
      <c r="W41" s="120">
        <v>0</v>
      </c>
      <c r="X41" s="122" t="s">
        <v>542</v>
      </c>
      <c r="Y41" s="122" t="s">
        <v>542</v>
      </c>
      <c r="Z41" s="120">
        <f t="shared" si="0"/>
        <v>0</v>
      </c>
      <c r="AA41" s="120">
        <v>0</v>
      </c>
      <c r="AB41" s="120" t="s">
        <v>542</v>
      </c>
      <c r="AC41" s="120">
        <f t="shared" si="1"/>
        <v>0</v>
      </c>
    </row>
    <row r="42" spans="1:29" ht="18.75" x14ac:dyDescent="0.25">
      <c r="A42" s="57" t="s">
        <v>150</v>
      </c>
      <c r="B42" s="216" t="s">
        <v>557</v>
      </c>
      <c r="C42" s="120" t="s">
        <v>542</v>
      </c>
      <c r="D42" s="120">
        <v>20</v>
      </c>
      <c r="E42" s="120">
        <v>20</v>
      </c>
      <c r="F42" s="120">
        <v>20</v>
      </c>
      <c r="G42" s="122">
        <v>0</v>
      </c>
      <c r="H42" s="122" t="s">
        <v>542</v>
      </c>
      <c r="I42" s="122" t="s">
        <v>542</v>
      </c>
      <c r="J42" s="120">
        <v>0</v>
      </c>
      <c r="K42" s="122" t="s">
        <v>542</v>
      </c>
      <c r="L42" s="122" t="s">
        <v>542</v>
      </c>
      <c r="M42" s="122" t="s">
        <v>542</v>
      </c>
      <c r="N42" s="120">
        <v>0</v>
      </c>
      <c r="O42" s="122">
        <v>0</v>
      </c>
      <c r="P42" s="122" t="s">
        <v>542</v>
      </c>
      <c r="Q42" s="122" t="s">
        <v>542</v>
      </c>
      <c r="R42" s="120">
        <v>0</v>
      </c>
      <c r="S42" s="120">
        <v>0</v>
      </c>
      <c r="T42" s="122" t="s">
        <v>542</v>
      </c>
      <c r="U42" s="122" t="s">
        <v>542</v>
      </c>
      <c r="V42" s="120">
        <v>0</v>
      </c>
      <c r="W42" s="120">
        <v>0</v>
      </c>
      <c r="X42" s="122" t="s">
        <v>542</v>
      </c>
      <c r="Y42" s="122" t="s">
        <v>542</v>
      </c>
      <c r="Z42" s="120">
        <f t="shared" si="0"/>
        <v>20</v>
      </c>
      <c r="AA42" s="120">
        <v>0</v>
      </c>
      <c r="AB42" s="120" t="s">
        <v>542</v>
      </c>
      <c r="AC42" s="120">
        <f t="shared" si="1"/>
        <v>20</v>
      </c>
    </row>
    <row r="43" spans="1:29" s="402" customFormat="1" x14ac:dyDescent="0.25">
      <c r="A43" s="60" t="s">
        <v>59</v>
      </c>
      <c r="B43" s="59" t="s">
        <v>149</v>
      </c>
      <c r="C43" s="120" t="s">
        <v>542</v>
      </c>
      <c r="D43" s="120">
        <v>0</v>
      </c>
      <c r="E43" s="120">
        <v>0</v>
      </c>
      <c r="F43" s="120">
        <v>0</v>
      </c>
      <c r="G43" s="122">
        <v>0</v>
      </c>
      <c r="H43" s="120" t="s">
        <v>542</v>
      </c>
      <c r="I43" s="120" t="s">
        <v>542</v>
      </c>
      <c r="J43" s="120">
        <v>0</v>
      </c>
      <c r="K43" s="120" t="s">
        <v>542</v>
      </c>
      <c r="L43" s="120" t="s">
        <v>542</v>
      </c>
      <c r="M43" s="120" t="s">
        <v>542</v>
      </c>
      <c r="N43" s="120">
        <v>0</v>
      </c>
      <c r="O43" s="120">
        <v>0</v>
      </c>
      <c r="P43" s="120" t="s">
        <v>542</v>
      </c>
      <c r="Q43" s="120" t="s">
        <v>542</v>
      </c>
      <c r="R43" s="120">
        <v>0</v>
      </c>
      <c r="S43" s="120">
        <v>0</v>
      </c>
      <c r="T43" s="122" t="s">
        <v>542</v>
      </c>
      <c r="U43" s="120" t="s">
        <v>542</v>
      </c>
      <c r="V43" s="120">
        <v>0</v>
      </c>
      <c r="W43" s="120">
        <v>0</v>
      </c>
      <c r="X43" s="122" t="s">
        <v>542</v>
      </c>
      <c r="Y43" s="120" t="s">
        <v>542</v>
      </c>
      <c r="Z43" s="120">
        <f t="shared" si="0"/>
        <v>0</v>
      </c>
      <c r="AA43" s="120">
        <v>0</v>
      </c>
      <c r="AB43" s="120" t="s">
        <v>542</v>
      </c>
      <c r="AC43" s="120">
        <f t="shared" si="1"/>
        <v>0</v>
      </c>
    </row>
    <row r="44" spans="1:29" x14ac:dyDescent="0.25">
      <c r="A44" s="57" t="s">
        <v>148</v>
      </c>
      <c r="B44" s="33" t="s">
        <v>147</v>
      </c>
      <c r="C44" s="120" t="s">
        <v>542</v>
      </c>
      <c r="D44" s="120">
        <v>0</v>
      </c>
      <c r="E44" s="120">
        <v>0</v>
      </c>
      <c r="F44" s="120">
        <v>0</v>
      </c>
      <c r="G44" s="122">
        <v>0</v>
      </c>
      <c r="H44" s="122" t="s">
        <v>542</v>
      </c>
      <c r="I44" s="122" t="s">
        <v>542</v>
      </c>
      <c r="J44" s="120">
        <v>0</v>
      </c>
      <c r="K44" s="122" t="s">
        <v>542</v>
      </c>
      <c r="L44" s="122" t="s">
        <v>542</v>
      </c>
      <c r="M44" s="122" t="s">
        <v>542</v>
      </c>
      <c r="N44" s="120">
        <v>0</v>
      </c>
      <c r="O44" s="122">
        <v>0</v>
      </c>
      <c r="P44" s="122" t="s">
        <v>542</v>
      </c>
      <c r="Q44" s="122" t="s">
        <v>542</v>
      </c>
      <c r="R44" s="120">
        <v>0</v>
      </c>
      <c r="S44" s="120">
        <v>0</v>
      </c>
      <c r="T44" s="122" t="s">
        <v>542</v>
      </c>
      <c r="U44" s="122" t="s">
        <v>542</v>
      </c>
      <c r="V44" s="120">
        <v>0</v>
      </c>
      <c r="W44" s="120">
        <v>0</v>
      </c>
      <c r="X44" s="122" t="s">
        <v>542</v>
      </c>
      <c r="Y44" s="122" t="s">
        <v>542</v>
      </c>
      <c r="Z44" s="120">
        <f t="shared" si="0"/>
        <v>0</v>
      </c>
      <c r="AA44" s="120">
        <v>0</v>
      </c>
      <c r="AB44" s="120" t="s">
        <v>542</v>
      </c>
      <c r="AC44" s="120">
        <f t="shared" si="1"/>
        <v>0</v>
      </c>
    </row>
    <row r="45" spans="1:29" x14ac:dyDescent="0.25">
      <c r="A45" s="57" t="s">
        <v>146</v>
      </c>
      <c r="B45" s="33" t="s">
        <v>145</v>
      </c>
      <c r="C45" s="120" t="s">
        <v>542</v>
      </c>
      <c r="D45" s="120">
        <v>32</v>
      </c>
      <c r="E45" s="120">
        <v>32</v>
      </c>
      <c r="F45" s="120">
        <v>32</v>
      </c>
      <c r="G45" s="122">
        <v>0</v>
      </c>
      <c r="H45" s="122" t="s">
        <v>542</v>
      </c>
      <c r="I45" s="122" t="s">
        <v>542</v>
      </c>
      <c r="J45" s="120">
        <v>0</v>
      </c>
      <c r="K45" s="122" t="s">
        <v>542</v>
      </c>
      <c r="L45" s="122" t="s">
        <v>542</v>
      </c>
      <c r="M45" s="122" t="s">
        <v>542</v>
      </c>
      <c r="N45" s="120">
        <v>0</v>
      </c>
      <c r="O45" s="122">
        <v>0</v>
      </c>
      <c r="P45" s="122" t="s">
        <v>542</v>
      </c>
      <c r="Q45" s="122" t="s">
        <v>542</v>
      </c>
      <c r="R45" s="120">
        <v>0</v>
      </c>
      <c r="S45" s="120">
        <v>0</v>
      </c>
      <c r="T45" s="122" t="s">
        <v>542</v>
      </c>
      <c r="U45" s="122" t="s">
        <v>542</v>
      </c>
      <c r="V45" s="120">
        <v>0</v>
      </c>
      <c r="W45" s="120">
        <v>0</v>
      </c>
      <c r="X45" s="122" t="s">
        <v>542</v>
      </c>
      <c r="Y45" s="122" t="s">
        <v>542</v>
      </c>
      <c r="Z45" s="120">
        <f t="shared" si="0"/>
        <v>32</v>
      </c>
      <c r="AA45" s="120">
        <v>0</v>
      </c>
      <c r="AB45" s="120" t="s">
        <v>542</v>
      </c>
      <c r="AC45" s="120">
        <f t="shared" si="1"/>
        <v>32</v>
      </c>
    </row>
    <row r="46" spans="1:29" x14ac:dyDescent="0.25">
      <c r="A46" s="57" t="s">
        <v>144</v>
      </c>
      <c r="B46" s="33" t="s">
        <v>143</v>
      </c>
      <c r="C46" s="120" t="s">
        <v>542</v>
      </c>
      <c r="D46" s="120">
        <v>0</v>
      </c>
      <c r="E46" s="120">
        <v>0</v>
      </c>
      <c r="F46" s="120">
        <v>0</v>
      </c>
      <c r="G46" s="122">
        <v>0</v>
      </c>
      <c r="H46" s="122" t="s">
        <v>542</v>
      </c>
      <c r="I46" s="122" t="s">
        <v>542</v>
      </c>
      <c r="J46" s="120">
        <v>0</v>
      </c>
      <c r="K46" s="122" t="s">
        <v>542</v>
      </c>
      <c r="L46" s="122" t="s">
        <v>542</v>
      </c>
      <c r="M46" s="122" t="s">
        <v>542</v>
      </c>
      <c r="N46" s="120">
        <v>0</v>
      </c>
      <c r="O46" s="122">
        <v>0</v>
      </c>
      <c r="P46" s="122" t="s">
        <v>542</v>
      </c>
      <c r="Q46" s="122" t="s">
        <v>542</v>
      </c>
      <c r="R46" s="120">
        <v>0</v>
      </c>
      <c r="S46" s="120">
        <v>0</v>
      </c>
      <c r="T46" s="122" t="s">
        <v>542</v>
      </c>
      <c r="U46" s="122" t="s">
        <v>542</v>
      </c>
      <c r="V46" s="120">
        <v>0</v>
      </c>
      <c r="W46" s="120">
        <v>0</v>
      </c>
      <c r="X46" s="122" t="s">
        <v>542</v>
      </c>
      <c r="Y46" s="122" t="s">
        <v>542</v>
      </c>
      <c r="Z46" s="120">
        <f t="shared" si="0"/>
        <v>0</v>
      </c>
      <c r="AA46" s="120">
        <v>0</v>
      </c>
      <c r="AB46" s="120" t="s">
        <v>542</v>
      </c>
      <c r="AC46" s="120">
        <f t="shared" si="1"/>
        <v>0</v>
      </c>
    </row>
    <row r="47" spans="1:29" ht="31.5" x14ac:dyDescent="0.25">
      <c r="A47" s="57" t="s">
        <v>142</v>
      </c>
      <c r="B47" s="33" t="s">
        <v>141</v>
      </c>
      <c r="C47" s="120" t="s">
        <v>542</v>
      </c>
      <c r="D47" s="120">
        <v>0</v>
      </c>
      <c r="E47" s="120">
        <v>0</v>
      </c>
      <c r="F47" s="120">
        <v>0</v>
      </c>
      <c r="G47" s="122">
        <v>0</v>
      </c>
      <c r="H47" s="122" t="s">
        <v>542</v>
      </c>
      <c r="I47" s="122" t="s">
        <v>542</v>
      </c>
      <c r="J47" s="120">
        <v>0</v>
      </c>
      <c r="K47" s="122" t="s">
        <v>542</v>
      </c>
      <c r="L47" s="122" t="s">
        <v>542</v>
      </c>
      <c r="M47" s="122" t="s">
        <v>542</v>
      </c>
      <c r="N47" s="120">
        <v>0</v>
      </c>
      <c r="O47" s="122">
        <v>0</v>
      </c>
      <c r="P47" s="122" t="s">
        <v>542</v>
      </c>
      <c r="Q47" s="122" t="s">
        <v>542</v>
      </c>
      <c r="R47" s="120">
        <v>0</v>
      </c>
      <c r="S47" s="120">
        <v>0</v>
      </c>
      <c r="T47" s="122" t="s">
        <v>542</v>
      </c>
      <c r="U47" s="122" t="s">
        <v>542</v>
      </c>
      <c r="V47" s="120">
        <v>0</v>
      </c>
      <c r="W47" s="120">
        <v>0</v>
      </c>
      <c r="X47" s="122" t="s">
        <v>542</v>
      </c>
      <c r="Y47" s="122" t="s">
        <v>542</v>
      </c>
      <c r="Z47" s="120">
        <f t="shared" si="0"/>
        <v>0</v>
      </c>
      <c r="AA47" s="120">
        <v>0</v>
      </c>
      <c r="AB47" s="120" t="s">
        <v>542</v>
      </c>
      <c r="AC47" s="120">
        <f t="shared" si="1"/>
        <v>0</v>
      </c>
    </row>
    <row r="48" spans="1:29" ht="31.5" x14ac:dyDescent="0.25">
      <c r="A48" s="57" t="s">
        <v>140</v>
      </c>
      <c r="B48" s="33" t="s">
        <v>139</v>
      </c>
      <c r="C48" s="120" t="s">
        <v>542</v>
      </c>
      <c r="D48" s="120">
        <v>0</v>
      </c>
      <c r="E48" s="120">
        <v>0</v>
      </c>
      <c r="F48" s="120">
        <v>0</v>
      </c>
      <c r="G48" s="122">
        <v>0</v>
      </c>
      <c r="H48" s="122" t="s">
        <v>542</v>
      </c>
      <c r="I48" s="122" t="s">
        <v>542</v>
      </c>
      <c r="J48" s="120">
        <v>0</v>
      </c>
      <c r="K48" s="122" t="s">
        <v>542</v>
      </c>
      <c r="L48" s="122" t="s">
        <v>542</v>
      </c>
      <c r="M48" s="122" t="s">
        <v>542</v>
      </c>
      <c r="N48" s="120">
        <v>0</v>
      </c>
      <c r="O48" s="122">
        <v>0</v>
      </c>
      <c r="P48" s="122" t="s">
        <v>542</v>
      </c>
      <c r="Q48" s="122" t="s">
        <v>542</v>
      </c>
      <c r="R48" s="120">
        <v>0</v>
      </c>
      <c r="S48" s="120">
        <v>0</v>
      </c>
      <c r="T48" s="122" t="s">
        <v>542</v>
      </c>
      <c r="U48" s="122" t="s">
        <v>542</v>
      </c>
      <c r="V48" s="120">
        <v>0</v>
      </c>
      <c r="W48" s="120">
        <v>0</v>
      </c>
      <c r="X48" s="122" t="s">
        <v>542</v>
      </c>
      <c r="Y48" s="122" t="s">
        <v>542</v>
      </c>
      <c r="Z48" s="120">
        <f t="shared" si="0"/>
        <v>0</v>
      </c>
      <c r="AA48" s="120">
        <v>0</v>
      </c>
      <c r="AB48" s="120" t="s">
        <v>542</v>
      </c>
      <c r="AC48" s="120">
        <f t="shared" si="1"/>
        <v>0</v>
      </c>
    </row>
    <row r="49" spans="1:29" x14ac:dyDescent="0.25">
      <c r="A49" s="57" t="s">
        <v>138</v>
      </c>
      <c r="B49" s="33" t="s">
        <v>137</v>
      </c>
      <c r="C49" s="120" t="s">
        <v>542</v>
      </c>
      <c r="D49" s="120">
        <v>0</v>
      </c>
      <c r="E49" s="120">
        <v>0</v>
      </c>
      <c r="F49" s="120">
        <v>0</v>
      </c>
      <c r="G49" s="122">
        <v>0</v>
      </c>
      <c r="H49" s="122" t="s">
        <v>542</v>
      </c>
      <c r="I49" s="122" t="s">
        <v>542</v>
      </c>
      <c r="J49" s="120">
        <v>0</v>
      </c>
      <c r="K49" s="122" t="s">
        <v>542</v>
      </c>
      <c r="L49" s="122" t="s">
        <v>542</v>
      </c>
      <c r="M49" s="122" t="s">
        <v>542</v>
      </c>
      <c r="N49" s="120">
        <v>0</v>
      </c>
      <c r="O49" s="122">
        <v>0</v>
      </c>
      <c r="P49" s="122" t="s">
        <v>542</v>
      </c>
      <c r="Q49" s="122" t="s">
        <v>542</v>
      </c>
      <c r="R49" s="120">
        <v>0</v>
      </c>
      <c r="S49" s="120">
        <v>0</v>
      </c>
      <c r="T49" s="122" t="s">
        <v>542</v>
      </c>
      <c r="U49" s="122" t="s">
        <v>542</v>
      </c>
      <c r="V49" s="120">
        <v>0</v>
      </c>
      <c r="W49" s="120">
        <v>0</v>
      </c>
      <c r="X49" s="122" t="s">
        <v>542</v>
      </c>
      <c r="Y49" s="122" t="s">
        <v>542</v>
      </c>
      <c r="Z49" s="120">
        <f t="shared" si="0"/>
        <v>0</v>
      </c>
      <c r="AA49" s="120">
        <v>0</v>
      </c>
      <c r="AB49" s="120" t="s">
        <v>542</v>
      </c>
      <c r="AC49" s="120">
        <f t="shared" si="1"/>
        <v>0</v>
      </c>
    </row>
    <row r="50" spans="1:29" ht="18.75" x14ac:dyDescent="0.25">
      <c r="A50" s="57" t="s">
        <v>136</v>
      </c>
      <c r="B50" s="216" t="s">
        <v>557</v>
      </c>
      <c r="C50" s="120" t="s">
        <v>542</v>
      </c>
      <c r="D50" s="120">
        <v>20</v>
      </c>
      <c r="E50" s="120">
        <v>20</v>
      </c>
      <c r="F50" s="120">
        <v>20</v>
      </c>
      <c r="G50" s="122">
        <v>0</v>
      </c>
      <c r="H50" s="122" t="s">
        <v>542</v>
      </c>
      <c r="I50" s="122" t="s">
        <v>542</v>
      </c>
      <c r="J50" s="120">
        <v>0</v>
      </c>
      <c r="K50" s="122" t="s">
        <v>542</v>
      </c>
      <c r="L50" s="122" t="s">
        <v>542</v>
      </c>
      <c r="M50" s="122" t="s">
        <v>542</v>
      </c>
      <c r="N50" s="120">
        <v>0</v>
      </c>
      <c r="O50" s="122">
        <v>0</v>
      </c>
      <c r="P50" s="122" t="s">
        <v>542</v>
      </c>
      <c r="Q50" s="122" t="s">
        <v>542</v>
      </c>
      <c r="R50" s="120">
        <v>0</v>
      </c>
      <c r="S50" s="120">
        <v>0</v>
      </c>
      <c r="T50" s="122" t="s">
        <v>542</v>
      </c>
      <c r="U50" s="122" t="s">
        <v>542</v>
      </c>
      <c r="V50" s="120">
        <v>0</v>
      </c>
      <c r="W50" s="120">
        <v>0</v>
      </c>
      <c r="X50" s="122" t="s">
        <v>542</v>
      </c>
      <c r="Y50" s="122" t="s">
        <v>542</v>
      </c>
      <c r="Z50" s="120">
        <f t="shared" si="0"/>
        <v>20</v>
      </c>
      <c r="AA50" s="120">
        <v>0</v>
      </c>
      <c r="AB50" s="120" t="s">
        <v>542</v>
      </c>
      <c r="AC50" s="120">
        <f t="shared" si="1"/>
        <v>20</v>
      </c>
    </row>
    <row r="51" spans="1:29" s="402" customFormat="1" ht="35.25" customHeight="1" x14ac:dyDescent="0.25">
      <c r="A51" s="60" t="s">
        <v>57</v>
      </c>
      <c r="B51" s="59" t="s">
        <v>135</v>
      </c>
      <c r="C51" s="120" t="s">
        <v>542</v>
      </c>
      <c r="D51" s="120">
        <v>0</v>
      </c>
      <c r="E51" s="120">
        <v>0</v>
      </c>
      <c r="F51" s="120">
        <v>0</v>
      </c>
      <c r="G51" s="122">
        <v>0</v>
      </c>
      <c r="H51" s="120" t="s">
        <v>542</v>
      </c>
      <c r="I51" s="120" t="s">
        <v>542</v>
      </c>
      <c r="J51" s="120">
        <v>0</v>
      </c>
      <c r="K51" s="120" t="s">
        <v>542</v>
      </c>
      <c r="L51" s="120" t="s">
        <v>542</v>
      </c>
      <c r="M51" s="120" t="s">
        <v>542</v>
      </c>
      <c r="N51" s="120">
        <v>0</v>
      </c>
      <c r="O51" s="120">
        <v>0</v>
      </c>
      <c r="P51" s="120" t="s">
        <v>542</v>
      </c>
      <c r="Q51" s="120" t="s">
        <v>542</v>
      </c>
      <c r="R51" s="120">
        <v>0</v>
      </c>
      <c r="S51" s="120">
        <v>0</v>
      </c>
      <c r="T51" s="122" t="s">
        <v>542</v>
      </c>
      <c r="U51" s="120" t="s">
        <v>542</v>
      </c>
      <c r="V51" s="120">
        <v>0</v>
      </c>
      <c r="W51" s="120">
        <v>0</v>
      </c>
      <c r="X51" s="122" t="s">
        <v>542</v>
      </c>
      <c r="Y51" s="120" t="s">
        <v>542</v>
      </c>
      <c r="Z51" s="120">
        <f t="shared" si="0"/>
        <v>0</v>
      </c>
      <c r="AA51" s="120">
        <v>0</v>
      </c>
      <c r="AB51" s="120" t="s">
        <v>542</v>
      </c>
      <c r="AC51" s="120">
        <f t="shared" si="1"/>
        <v>0</v>
      </c>
    </row>
    <row r="52" spans="1:29" x14ac:dyDescent="0.25">
      <c r="A52" s="57" t="s">
        <v>134</v>
      </c>
      <c r="B52" s="33" t="s">
        <v>133</v>
      </c>
      <c r="C52" s="120" t="s">
        <v>542</v>
      </c>
      <c r="D52" s="120">
        <v>278.46323287828693</v>
      </c>
      <c r="E52" s="120">
        <v>278.46323287828693</v>
      </c>
      <c r="F52" s="120">
        <v>278.46323287828693</v>
      </c>
      <c r="G52" s="122">
        <v>0</v>
      </c>
      <c r="H52" s="122" t="s">
        <v>542</v>
      </c>
      <c r="I52" s="122" t="s">
        <v>542</v>
      </c>
      <c r="J52" s="120">
        <v>0</v>
      </c>
      <c r="K52" s="122" t="s">
        <v>542</v>
      </c>
      <c r="L52" s="122" t="s">
        <v>542</v>
      </c>
      <c r="M52" s="122" t="s">
        <v>542</v>
      </c>
      <c r="N52" s="120">
        <v>0</v>
      </c>
      <c r="O52" s="122">
        <v>0</v>
      </c>
      <c r="P52" s="122" t="s">
        <v>542</v>
      </c>
      <c r="Q52" s="122" t="s">
        <v>542</v>
      </c>
      <c r="R52" s="120">
        <v>0</v>
      </c>
      <c r="S52" s="120">
        <v>0</v>
      </c>
      <c r="T52" s="122" t="s">
        <v>542</v>
      </c>
      <c r="U52" s="122" t="s">
        <v>542</v>
      </c>
      <c r="V52" s="120">
        <v>0</v>
      </c>
      <c r="W52" s="120">
        <v>0</v>
      </c>
      <c r="X52" s="122" t="s">
        <v>542</v>
      </c>
      <c r="Y52" s="122" t="s">
        <v>542</v>
      </c>
      <c r="Z52" s="120">
        <f t="shared" si="0"/>
        <v>278.46323287828693</v>
      </c>
      <c r="AA52" s="120">
        <v>0</v>
      </c>
      <c r="AB52" s="120" t="s">
        <v>542</v>
      </c>
      <c r="AC52" s="120">
        <f t="shared" si="1"/>
        <v>278.46323287828693</v>
      </c>
    </row>
    <row r="53" spans="1:29" x14ac:dyDescent="0.25">
      <c r="A53" s="57" t="s">
        <v>132</v>
      </c>
      <c r="B53" s="33" t="s">
        <v>126</v>
      </c>
      <c r="C53" s="120" t="s">
        <v>542</v>
      </c>
      <c r="D53" s="120">
        <v>0</v>
      </c>
      <c r="E53" s="120">
        <v>0</v>
      </c>
      <c r="F53" s="120">
        <v>0</v>
      </c>
      <c r="G53" s="122">
        <v>0</v>
      </c>
      <c r="H53" s="122" t="s">
        <v>542</v>
      </c>
      <c r="I53" s="122" t="s">
        <v>542</v>
      </c>
      <c r="J53" s="120">
        <v>0</v>
      </c>
      <c r="K53" s="122" t="s">
        <v>542</v>
      </c>
      <c r="L53" s="122" t="s">
        <v>542</v>
      </c>
      <c r="M53" s="122" t="s">
        <v>542</v>
      </c>
      <c r="N53" s="120">
        <v>0</v>
      </c>
      <c r="O53" s="122">
        <v>0</v>
      </c>
      <c r="P53" s="122" t="s">
        <v>542</v>
      </c>
      <c r="Q53" s="122" t="s">
        <v>542</v>
      </c>
      <c r="R53" s="120">
        <v>0</v>
      </c>
      <c r="S53" s="120">
        <v>0</v>
      </c>
      <c r="T53" s="122" t="s">
        <v>542</v>
      </c>
      <c r="U53" s="122" t="s">
        <v>542</v>
      </c>
      <c r="V53" s="120">
        <v>0</v>
      </c>
      <c r="W53" s="120">
        <v>0</v>
      </c>
      <c r="X53" s="122" t="s">
        <v>542</v>
      </c>
      <c r="Y53" s="122" t="s">
        <v>542</v>
      </c>
      <c r="Z53" s="120">
        <f t="shared" si="0"/>
        <v>0</v>
      </c>
      <c r="AA53" s="120">
        <v>0</v>
      </c>
      <c r="AB53" s="120" t="s">
        <v>542</v>
      </c>
      <c r="AC53" s="120">
        <f t="shared" si="1"/>
        <v>0</v>
      </c>
    </row>
    <row r="54" spans="1:29" x14ac:dyDescent="0.25">
      <c r="A54" s="57" t="s">
        <v>131</v>
      </c>
      <c r="B54" s="216" t="s">
        <v>125</v>
      </c>
      <c r="C54" s="120" t="s">
        <v>542</v>
      </c>
      <c r="D54" s="120">
        <v>32</v>
      </c>
      <c r="E54" s="120">
        <v>32</v>
      </c>
      <c r="F54" s="120">
        <v>32</v>
      </c>
      <c r="G54" s="122">
        <v>0</v>
      </c>
      <c r="H54" s="122" t="s">
        <v>542</v>
      </c>
      <c r="I54" s="122" t="s">
        <v>542</v>
      </c>
      <c r="J54" s="120">
        <v>0</v>
      </c>
      <c r="K54" s="122" t="s">
        <v>542</v>
      </c>
      <c r="L54" s="122" t="s">
        <v>542</v>
      </c>
      <c r="M54" s="122" t="s">
        <v>542</v>
      </c>
      <c r="N54" s="120">
        <v>0</v>
      </c>
      <c r="O54" s="122">
        <v>0</v>
      </c>
      <c r="P54" s="122" t="s">
        <v>542</v>
      </c>
      <c r="Q54" s="122" t="s">
        <v>542</v>
      </c>
      <c r="R54" s="120">
        <v>0</v>
      </c>
      <c r="S54" s="120">
        <v>0</v>
      </c>
      <c r="T54" s="122" t="s">
        <v>542</v>
      </c>
      <c r="U54" s="122" t="s">
        <v>542</v>
      </c>
      <c r="V54" s="120">
        <v>0</v>
      </c>
      <c r="W54" s="120">
        <v>0</v>
      </c>
      <c r="X54" s="122" t="s">
        <v>542</v>
      </c>
      <c r="Y54" s="122" t="s">
        <v>542</v>
      </c>
      <c r="Z54" s="120">
        <f t="shared" si="0"/>
        <v>32</v>
      </c>
      <c r="AA54" s="120">
        <v>0</v>
      </c>
      <c r="AB54" s="120" t="s">
        <v>542</v>
      </c>
      <c r="AC54" s="120">
        <f t="shared" si="1"/>
        <v>32</v>
      </c>
    </row>
    <row r="55" spans="1:29" x14ac:dyDescent="0.25">
      <c r="A55" s="57" t="s">
        <v>130</v>
      </c>
      <c r="B55" s="216" t="s">
        <v>124</v>
      </c>
      <c r="C55" s="120" t="s">
        <v>542</v>
      </c>
      <c r="D55" s="120">
        <v>0</v>
      </c>
      <c r="E55" s="120">
        <v>0</v>
      </c>
      <c r="F55" s="120">
        <v>0</v>
      </c>
      <c r="G55" s="122">
        <v>0</v>
      </c>
      <c r="H55" s="122" t="s">
        <v>542</v>
      </c>
      <c r="I55" s="122" t="s">
        <v>542</v>
      </c>
      <c r="J55" s="120">
        <v>0</v>
      </c>
      <c r="K55" s="122" t="s">
        <v>542</v>
      </c>
      <c r="L55" s="122" t="s">
        <v>542</v>
      </c>
      <c r="M55" s="122" t="s">
        <v>542</v>
      </c>
      <c r="N55" s="120">
        <v>0</v>
      </c>
      <c r="O55" s="122">
        <v>0</v>
      </c>
      <c r="P55" s="122" t="s">
        <v>542</v>
      </c>
      <c r="Q55" s="122" t="s">
        <v>542</v>
      </c>
      <c r="R55" s="120">
        <v>0</v>
      </c>
      <c r="S55" s="120">
        <v>0</v>
      </c>
      <c r="T55" s="122" t="s">
        <v>542</v>
      </c>
      <c r="U55" s="122" t="s">
        <v>542</v>
      </c>
      <c r="V55" s="120">
        <v>0</v>
      </c>
      <c r="W55" s="120">
        <v>0</v>
      </c>
      <c r="X55" s="122" t="s">
        <v>542</v>
      </c>
      <c r="Y55" s="122" t="s">
        <v>542</v>
      </c>
      <c r="Z55" s="120">
        <f t="shared" si="0"/>
        <v>0</v>
      </c>
      <c r="AA55" s="120">
        <v>0</v>
      </c>
      <c r="AB55" s="120" t="s">
        <v>542</v>
      </c>
      <c r="AC55" s="120">
        <f t="shared" si="1"/>
        <v>0</v>
      </c>
    </row>
    <row r="56" spans="1:29" x14ac:dyDescent="0.25">
      <c r="A56" s="57" t="s">
        <v>129</v>
      </c>
      <c r="B56" s="216" t="s">
        <v>123</v>
      </c>
      <c r="C56" s="120" t="s">
        <v>542</v>
      </c>
      <c r="D56" s="120">
        <v>0</v>
      </c>
      <c r="E56" s="120">
        <v>0</v>
      </c>
      <c r="F56" s="120">
        <v>0</v>
      </c>
      <c r="G56" s="122">
        <v>0</v>
      </c>
      <c r="H56" s="122" t="s">
        <v>542</v>
      </c>
      <c r="I56" s="122" t="s">
        <v>542</v>
      </c>
      <c r="J56" s="120">
        <v>0</v>
      </c>
      <c r="K56" s="122" t="s">
        <v>542</v>
      </c>
      <c r="L56" s="122" t="s">
        <v>542</v>
      </c>
      <c r="M56" s="122" t="s">
        <v>542</v>
      </c>
      <c r="N56" s="120">
        <v>0</v>
      </c>
      <c r="O56" s="122">
        <v>0</v>
      </c>
      <c r="P56" s="122" t="s">
        <v>542</v>
      </c>
      <c r="Q56" s="122" t="s">
        <v>542</v>
      </c>
      <c r="R56" s="120">
        <v>0</v>
      </c>
      <c r="S56" s="120">
        <v>0</v>
      </c>
      <c r="T56" s="122" t="s">
        <v>542</v>
      </c>
      <c r="U56" s="122" t="s">
        <v>542</v>
      </c>
      <c r="V56" s="120">
        <v>0</v>
      </c>
      <c r="W56" s="120">
        <v>0</v>
      </c>
      <c r="X56" s="122" t="s">
        <v>542</v>
      </c>
      <c r="Y56" s="122" t="s">
        <v>542</v>
      </c>
      <c r="Z56" s="120">
        <f t="shared" si="0"/>
        <v>0</v>
      </c>
      <c r="AA56" s="120">
        <v>0</v>
      </c>
      <c r="AB56" s="120" t="s">
        <v>542</v>
      </c>
      <c r="AC56" s="120">
        <f t="shared" si="1"/>
        <v>0</v>
      </c>
    </row>
    <row r="57" spans="1:29" ht="18.75" x14ac:dyDescent="0.25">
      <c r="A57" s="57" t="s">
        <v>128</v>
      </c>
      <c r="B57" s="216" t="s">
        <v>557</v>
      </c>
      <c r="C57" s="120" t="s">
        <v>542</v>
      </c>
      <c r="D57" s="120">
        <v>20</v>
      </c>
      <c r="E57" s="120">
        <v>20</v>
      </c>
      <c r="F57" s="120">
        <v>20</v>
      </c>
      <c r="G57" s="122">
        <v>0</v>
      </c>
      <c r="H57" s="122" t="s">
        <v>542</v>
      </c>
      <c r="I57" s="122" t="s">
        <v>542</v>
      </c>
      <c r="J57" s="120">
        <v>0</v>
      </c>
      <c r="K57" s="122" t="s">
        <v>542</v>
      </c>
      <c r="L57" s="122" t="s">
        <v>542</v>
      </c>
      <c r="M57" s="122" t="s">
        <v>542</v>
      </c>
      <c r="N57" s="120">
        <v>0</v>
      </c>
      <c r="O57" s="122">
        <v>0</v>
      </c>
      <c r="P57" s="122" t="s">
        <v>542</v>
      </c>
      <c r="Q57" s="122" t="s">
        <v>542</v>
      </c>
      <c r="R57" s="120">
        <v>0</v>
      </c>
      <c r="S57" s="120">
        <v>0</v>
      </c>
      <c r="T57" s="122" t="s">
        <v>542</v>
      </c>
      <c r="U57" s="122" t="s">
        <v>542</v>
      </c>
      <c r="V57" s="120">
        <v>0</v>
      </c>
      <c r="W57" s="120">
        <v>0</v>
      </c>
      <c r="X57" s="122" t="s">
        <v>542</v>
      </c>
      <c r="Y57" s="122" t="s">
        <v>542</v>
      </c>
      <c r="Z57" s="120">
        <f t="shared" si="0"/>
        <v>20</v>
      </c>
      <c r="AA57" s="120">
        <v>0</v>
      </c>
      <c r="AB57" s="120" t="s">
        <v>542</v>
      </c>
      <c r="AC57" s="120">
        <f t="shared" si="1"/>
        <v>20</v>
      </c>
    </row>
    <row r="58" spans="1:29" s="402" customFormat="1" ht="36.75" customHeight="1" x14ac:dyDescent="0.25">
      <c r="A58" s="60" t="s">
        <v>56</v>
      </c>
      <c r="B58" s="217" t="s">
        <v>207</v>
      </c>
      <c r="C58" s="120" t="s">
        <v>542</v>
      </c>
      <c r="D58" s="120">
        <v>0</v>
      </c>
      <c r="E58" s="120">
        <v>0</v>
      </c>
      <c r="F58" s="120">
        <v>0</v>
      </c>
      <c r="G58" s="122">
        <v>0</v>
      </c>
      <c r="H58" s="120" t="s">
        <v>542</v>
      </c>
      <c r="I58" s="120" t="s">
        <v>542</v>
      </c>
      <c r="J58" s="120">
        <v>0</v>
      </c>
      <c r="K58" s="120" t="s">
        <v>542</v>
      </c>
      <c r="L58" s="120" t="s">
        <v>542</v>
      </c>
      <c r="M58" s="120" t="s">
        <v>542</v>
      </c>
      <c r="N58" s="120">
        <v>0</v>
      </c>
      <c r="O58" s="120">
        <v>0</v>
      </c>
      <c r="P58" s="120" t="s">
        <v>542</v>
      </c>
      <c r="Q58" s="120" t="s">
        <v>542</v>
      </c>
      <c r="R58" s="120">
        <v>0</v>
      </c>
      <c r="S58" s="120">
        <v>0</v>
      </c>
      <c r="T58" s="122" t="s">
        <v>542</v>
      </c>
      <c r="U58" s="120" t="s">
        <v>542</v>
      </c>
      <c r="V58" s="120">
        <v>0</v>
      </c>
      <c r="W58" s="120">
        <v>0</v>
      </c>
      <c r="X58" s="122" t="s">
        <v>542</v>
      </c>
      <c r="Y58" s="120" t="s">
        <v>542</v>
      </c>
      <c r="Z58" s="120">
        <f>Z52</f>
        <v>278.46323287828693</v>
      </c>
      <c r="AA58" s="120">
        <v>0</v>
      </c>
      <c r="AB58" s="120" t="s">
        <v>542</v>
      </c>
      <c r="AC58" s="120">
        <f t="shared" si="1"/>
        <v>278.46323287828693</v>
      </c>
    </row>
    <row r="59" spans="1:29" s="402" customFormat="1" x14ac:dyDescent="0.25">
      <c r="A59" s="60" t="s">
        <v>54</v>
      </c>
      <c r="B59" s="59" t="s">
        <v>127</v>
      </c>
      <c r="C59" s="120" t="s">
        <v>542</v>
      </c>
      <c r="D59" s="120">
        <v>0</v>
      </c>
      <c r="E59" s="120">
        <v>0</v>
      </c>
      <c r="F59" s="120">
        <v>0</v>
      </c>
      <c r="G59" s="122">
        <v>0</v>
      </c>
      <c r="H59" s="120" t="s">
        <v>542</v>
      </c>
      <c r="I59" s="120" t="s">
        <v>542</v>
      </c>
      <c r="J59" s="120">
        <v>0</v>
      </c>
      <c r="K59" s="120" t="s">
        <v>542</v>
      </c>
      <c r="L59" s="120" t="s">
        <v>542</v>
      </c>
      <c r="M59" s="120" t="s">
        <v>542</v>
      </c>
      <c r="N59" s="120">
        <v>0</v>
      </c>
      <c r="O59" s="120">
        <v>0</v>
      </c>
      <c r="P59" s="120" t="s">
        <v>542</v>
      </c>
      <c r="Q59" s="120" t="s">
        <v>542</v>
      </c>
      <c r="R59" s="120">
        <v>0</v>
      </c>
      <c r="S59" s="120">
        <v>0</v>
      </c>
      <c r="T59" s="122" t="s">
        <v>542</v>
      </c>
      <c r="U59" s="120" t="s">
        <v>542</v>
      </c>
      <c r="V59" s="120">
        <v>0</v>
      </c>
      <c r="W59" s="120">
        <v>0</v>
      </c>
      <c r="X59" s="122" t="s">
        <v>542</v>
      </c>
      <c r="Y59" s="120" t="s">
        <v>542</v>
      </c>
      <c r="Z59" s="120">
        <f t="shared" si="0"/>
        <v>0</v>
      </c>
      <c r="AA59" s="120">
        <v>0</v>
      </c>
      <c r="AB59" s="120" t="s">
        <v>542</v>
      </c>
      <c r="AC59" s="120">
        <f t="shared" si="1"/>
        <v>0</v>
      </c>
    </row>
    <row r="60" spans="1:29" x14ac:dyDescent="0.25">
      <c r="A60" s="57" t="s">
        <v>201</v>
      </c>
      <c r="B60" s="218" t="s">
        <v>147</v>
      </c>
      <c r="C60" s="120" t="s">
        <v>542</v>
      </c>
      <c r="D60" s="120">
        <v>0</v>
      </c>
      <c r="E60" s="120">
        <v>0</v>
      </c>
      <c r="F60" s="120">
        <v>0</v>
      </c>
      <c r="G60" s="122">
        <v>0</v>
      </c>
      <c r="H60" s="122" t="s">
        <v>542</v>
      </c>
      <c r="I60" s="122" t="s">
        <v>542</v>
      </c>
      <c r="J60" s="120">
        <v>0</v>
      </c>
      <c r="K60" s="122" t="s">
        <v>542</v>
      </c>
      <c r="L60" s="122" t="s">
        <v>542</v>
      </c>
      <c r="M60" s="122" t="s">
        <v>542</v>
      </c>
      <c r="N60" s="120">
        <v>0</v>
      </c>
      <c r="O60" s="122">
        <v>0</v>
      </c>
      <c r="P60" s="122" t="s">
        <v>542</v>
      </c>
      <c r="Q60" s="122" t="s">
        <v>542</v>
      </c>
      <c r="R60" s="120">
        <v>0</v>
      </c>
      <c r="S60" s="120">
        <v>0</v>
      </c>
      <c r="T60" s="122" t="s">
        <v>542</v>
      </c>
      <c r="U60" s="122" t="s">
        <v>542</v>
      </c>
      <c r="V60" s="120">
        <v>0</v>
      </c>
      <c r="W60" s="120">
        <v>0</v>
      </c>
      <c r="X60" s="122" t="s">
        <v>542</v>
      </c>
      <c r="Y60" s="122" t="s">
        <v>542</v>
      </c>
      <c r="Z60" s="120">
        <f t="shared" si="0"/>
        <v>0</v>
      </c>
      <c r="AA60" s="120">
        <v>0</v>
      </c>
      <c r="AB60" s="120" t="s">
        <v>542</v>
      </c>
      <c r="AC60" s="120">
        <f t="shared" si="1"/>
        <v>0</v>
      </c>
    </row>
    <row r="61" spans="1:29" x14ac:dyDescent="0.25">
      <c r="A61" s="57" t="s">
        <v>202</v>
      </c>
      <c r="B61" s="218" t="s">
        <v>145</v>
      </c>
      <c r="C61" s="120" t="s">
        <v>542</v>
      </c>
      <c r="D61" s="120">
        <v>0</v>
      </c>
      <c r="E61" s="120">
        <v>0</v>
      </c>
      <c r="F61" s="120">
        <v>0</v>
      </c>
      <c r="G61" s="122">
        <v>0</v>
      </c>
      <c r="H61" s="122" t="s">
        <v>542</v>
      </c>
      <c r="I61" s="122" t="s">
        <v>542</v>
      </c>
      <c r="J61" s="120">
        <v>0</v>
      </c>
      <c r="K61" s="122" t="s">
        <v>542</v>
      </c>
      <c r="L61" s="122" t="s">
        <v>542</v>
      </c>
      <c r="M61" s="122" t="s">
        <v>542</v>
      </c>
      <c r="N61" s="120">
        <v>0</v>
      </c>
      <c r="O61" s="122">
        <v>0</v>
      </c>
      <c r="P61" s="122" t="s">
        <v>542</v>
      </c>
      <c r="Q61" s="122" t="s">
        <v>542</v>
      </c>
      <c r="R61" s="120">
        <v>0</v>
      </c>
      <c r="S61" s="120">
        <v>0</v>
      </c>
      <c r="T61" s="122" t="s">
        <v>542</v>
      </c>
      <c r="U61" s="122" t="s">
        <v>542</v>
      </c>
      <c r="V61" s="120">
        <v>0</v>
      </c>
      <c r="W61" s="120">
        <v>0</v>
      </c>
      <c r="X61" s="122" t="s">
        <v>542</v>
      </c>
      <c r="Y61" s="122" t="s">
        <v>542</v>
      </c>
      <c r="Z61" s="120">
        <f t="shared" si="0"/>
        <v>0</v>
      </c>
      <c r="AA61" s="120">
        <v>0</v>
      </c>
      <c r="AB61" s="120" t="s">
        <v>542</v>
      </c>
      <c r="AC61" s="120">
        <f t="shared" si="1"/>
        <v>0</v>
      </c>
    </row>
    <row r="62" spans="1:29" x14ac:dyDescent="0.25">
      <c r="A62" s="57" t="s">
        <v>203</v>
      </c>
      <c r="B62" s="218" t="s">
        <v>143</v>
      </c>
      <c r="C62" s="120" t="s">
        <v>542</v>
      </c>
      <c r="D62" s="120">
        <v>0</v>
      </c>
      <c r="E62" s="120">
        <v>0</v>
      </c>
      <c r="F62" s="120">
        <v>0</v>
      </c>
      <c r="G62" s="122">
        <v>0</v>
      </c>
      <c r="H62" s="122" t="s">
        <v>542</v>
      </c>
      <c r="I62" s="122" t="s">
        <v>542</v>
      </c>
      <c r="J62" s="120">
        <v>0</v>
      </c>
      <c r="K62" s="122" t="s">
        <v>542</v>
      </c>
      <c r="L62" s="122" t="s">
        <v>542</v>
      </c>
      <c r="M62" s="122" t="s">
        <v>542</v>
      </c>
      <c r="N62" s="120">
        <v>0</v>
      </c>
      <c r="O62" s="122">
        <v>0</v>
      </c>
      <c r="P62" s="122" t="s">
        <v>542</v>
      </c>
      <c r="Q62" s="122" t="s">
        <v>542</v>
      </c>
      <c r="R62" s="120">
        <v>0</v>
      </c>
      <c r="S62" s="120">
        <v>0</v>
      </c>
      <c r="T62" s="122" t="s">
        <v>542</v>
      </c>
      <c r="U62" s="122" t="s">
        <v>542</v>
      </c>
      <c r="V62" s="120">
        <v>0</v>
      </c>
      <c r="W62" s="120">
        <v>0</v>
      </c>
      <c r="X62" s="122" t="s">
        <v>542</v>
      </c>
      <c r="Y62" s="122" t="s">
        <v>542</v>
      </c>
      <c r="Z62" s="120">
        <f t="shared" si="0"/>
        <v>0</v>
      </c>
      <c r="AA62" s="120">
        <v>0</v>
      </c>
      <c r="AB62" s="120" t="s">
        <v>542</v>
      </c>
      <c r="AC62" s="120">
        <f t="shared" si="1"/>
        <v>0</v>
      </c>
    </row>
    <row r="63" spans="1:29" x14ac:dyDescent="0.25">
      <c r="A63" s="57" t="s">
        <v>204</v>
      </c>
      <c r="B63" s="218" t="s">
        <v>206</v>
      </c>
      <c r="C63" s="120" t="s">
        <v>542</v>
      </c>
      <c r="D63" s="120">
        <v>0</v>
      </c>
      <c r="E63" s="120">
        <v>0</v>
      </c>
      <c r="F63" s="120">
        <v>0</v>
      </c>
      <c r="G63" s="122">
        <v>0</v>
      </c>
      <c r="H63" s="122" t="s">
        <v>542</v>
      </c>
      <c r="I63" s="122" t="s">
        <v>542</v>
      </c>
      <c r="J63" s="120">
        <v>0</v>
      </c>
      <c r="K63" s="122" t="s">
        <v>542</v>
      </c>
      <c r="L63" s="122" t="s">
        <v>542</v>
      </c>
      <c r="M63" s="122" t="s">
        <v>542</v>
      </c>
      <c r="N63" s="120">
        <v>0</v>
      </c>
      <c r="O63" s="122">
        <v>0</v>
      </c>
      <c r="P63" s="122" t="s">
        <v>542</v>
      </c>
      <c r="Q63" s="122" t="s">
        <v>542</v>
      </c>
      <c r="R63" s="120">
        <v>0</v>
      </c>
      <c r="S63" s="120">
        <v>0</v>
      </c>
      <c r="T63" s="122" t="s">
        <v>542</v>
      </c>
      <c r="U63" s="122" t="s">
        <v>542</v>
      </c>
      <c r="V63" s="120">
        <v>0</v>
      </c>
      <c r="W63" s="120">
        <v>0</v>
      </c>
      <c r="X63" s="122" t="s">
        <v>542</v>
      </c>
      <c r="Y63" s="122" t="s">
        <v>542</v>
      </c>
      <c r="Z63" s="120">
        <f t="shared" si="0"/>
        <v>0</v>
      </c>
      <c r="AA63" s="120">
        <v>0</v>
      </c>
      <c r="AB63" s="120" t="s">
        <v>542</v>
      </c>
      <c r="AC63" s="120">
        <f t="shared" si="1"/>
        <v>0</v>
      </c>
    </row>
    <row r="64" spans="1:29" ht="18.75" x14ac:dyDescent="0.25">
      <c r="A64" s="57" t="s">
        <v>205</v>
      </c>
      <c r="B64" s="216" t="s">
        <v>557</v>
      </c>
      <c r="C64" s="120" t="s">
        <v>542</v>
      </c>
      <c r="D64" s="120">
        <v>0</v>
      </c>
      <c r="E64" s="120">
        <v>0</v>
      </c>
      <c r="F64" s="120">
        <v>0</v>
      </c>
      <c r="G64" s="122">
        <v>0</v>
      </c>
      <c r="H64" s="122" t="s">
        <v>542</v>
      </c>
      <c r="I64" s="122" t="s">
        <v>542</v>
      </c>
      <c r="J64" s="120">
        <v>0</v>
      </c>
      <c r="K64" s="122" t="s">
        <v>542</v>
      </c>
      <c r="L64" s="122" t="s">
        <v>542</v>
      </c>
      <c r="M64" s="122" t="s">
        <v>542</v>
      </c>
      <c r="N64" s="120">
        <v>0</v>
      </c>
      <c r="O64" s="122">
        <v>0</v>
      </c>
      <c r="P64" s="122" t="s">
        <v>542</v>
      </c>
      <c r="Q64" s="122" t="s">
        <v>542</v>
      </c>
      <c r="R64" s="120">
        <v>0</v>
      </c>
      <c r="S64" s="120">
        <v>0</v>
      </c>
      <c r="T64" s="122" t="s">
        <v>542</v>
      </c>
      <c r="U64" s="122" t="s">
        <v>542</v>
      </c>
      <c r="V64" s="120">
        <v>0</v>
      </c>
      <c r="W64" s="120">
        <v>0</v>
      </c>
      <c r="X64" s="122" t="s">
        <v>542</v>
      </c>
      <c r="Y64" s="122" t="s">
        <v>542</v>
      </c>
      <c r="Z64" s="120">
        <f t="shared" si="0"/>
        <v>0</v>
      </c>
      <c r="AA64" s="120">
        <v>0</v>
      </c>
      <c r="AB64" s="120" t="s">
        <v>542</v>
      </c>
      <c r="AC64" s="120">
        <f t="shared" si="1"/>
        <v>0</v>
      </c>
    </row>
    <row r="65" spans="1:28" x14ac:dyDescent="0.25">
      <c r="A65" s="53"/>
      <c r="B65" s="54"/>
      <c r="C65" s="54"/>
      <c r="D65" s="54"/>
      <c r="E65" s="54"/>
      <c r="F65" s="54"/>
      <c r="G65" s="54"/>
    </row>
    <row r="66" spans="1:28" ht="54" customHeight="1" x14ac:dyDescent="0.25">
      <c r="B66" s="478"/>
      <c r="C66" s="478"/>
      <c r="D66" s="478"/>
      <c r="E66" s="478"/>
      <c r="F66" s="478"/>
      <c r="G66" s="393"/>
      <c r="H66" s="52"/>
      <c r="I66" s="52"/>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79"/>
      <c r="C68" s="479"/>
      <c r="D68" s="479"/>
      <c r="E68" s="479"/>
      <c r="F68" s="479"/>
      <c r="G68" s="394"/>
    </row>
    <row r="70" spans="1:28" ht="36.75" customHeight="1" x14ac:dyDescent="0.25">
      <c r="B70" s="478"/>
      <c r="C70" s="478"/>
      <c r="D70" s="478"/>
      <c r="E70" s="478"/>
      <c r="F70" s="478"/>
      <c r="G70" s="393"/>
    </row>
    <row r="71" spans="1:28" x14ac:dyDescent="0.25">
      <c r="B71" s="51"/>
      <c r="C71" s="51"/>
      <c r="D71" s="51"/>
      <c r="E71" s="51"/>
      <c r="F71" s="51"/>
    </row>
    <row r="72" spans="1:28" ht="51" customHeight="1" x14ac:dyDescent="0.25">
      <c r="B72" s="478"/>
      <c r="C72" s="478"/>
      <c r="D72" s="478"/>
      <c r="E72" s="478"/>
      <c r="F72" s="478"/>
      <c r="G72" s="393"/>
    </row>
    <row r="73" spans="1:28" ht="32.25" customHeight="1" x14ac:dyDescent="0.25">
      <c r="B73" s="479"/>
      <c r="C73" s="479"/>
      <c r="D73" s="479"/>
      <c r="E73" s="479"/>
      <c r="F73" s="479"/>
      <c r="G73" s="394"/>
    </row>
    <row r="74" spans="1:28" ht="51.75" customHeight="1" x14ac:dyDescent="0.25">
      <c r="B74" s="478"/>
      <c r="C74" s="478"/>
      <c r="D74" s="478"/>
      <c r="E74" s="478"/>
      <c r="F74" s="478"/>
      <c r="G74" s="393"/>
    </row>
    <row r="75" spans="1:28" ht="21.75" customHeight="1" x14ac:dyDescent="0.25">
      <c r="B75" s="476"/>
      <c r="C75" s="476"/>
      <c r="D75" s="476"/>
      <c r="E75" s="476"/>
      <c r="F75" s="476"/>
      <c r="G75" s="397"/>
    </row>
    <row r="76" spans="1:28" ht="23.25" customHeight="1" x14ac:dyDescent="0.25">
      <c r="B76" s="46"/>
      <c r="C76" s="46"/>
      <c r="D76" s="46"/>
      <c r="E76" s="46"/>
      <c r="F76" s="46"/>
    </row>
    <row r="77" spans="1:28" ht="18.75" customHeight="1" x14ac:dyDescent="0.25">
      <c r="B77" s="477"/>
      <c r="C77" s="477"/>
      <c r="D77" s="477"/>
      <c r="E77" s="477"/>
      <c r="F77" s="477"/>
      <c r="G77" s="392"/>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Q24 J25:J64 N25:N64">
    <cfRule type="cellIs" dxfId="36" priority="64" operator="greaterThan">
      <formula>0</formula>
    </cfRule>
  </conditionalFormatting>
  <conditionalFormatting sqref="C31">
    <cfRule type="cellIs" dxfId="35" priority="63" operator="greaterThan">
      <formula>0</formula>
    </cfRule>
  </conditionalFormatting>
  <conditionalFormatting sqref="C31">
    <cfRule type="cellIs" dxfId="34" priority="62" operator="greaterThan">
      <formula>0</formula>
    </cfRule>
  </conditionalFormatting>
  <conditionalFormatting sqref="C31">
    <cfRule type="cellIs" dxfId="33" priority="61" operator="greaterThan">
      <formula>0</formula>
    </cfRule>
  </conditionalFormatting>
  <conditionalFormatting sqref="T24:U24 X24:Y24 M24:Q24 E24:E29 C24:C64 H24:K24 H31:I64 I30 AB24:AB64 H25:I29 J25:K64 M25:N64 E35:E64">
    <cfRule type="cellIs" dxfId="32" priority="60" operator="notEqual">
      <formula>0</formula>
    </cfRule>
  </conditionalFormatting>
  <conditionalFormatting sqref="T24:U24 X24:Y24">
    <cfRule type="cellIs" dxfId="31" priority="59" operator="greaterThan">
      <formula>0</formula>
    </cfRule>
  </conditionalFormatting>
  <conditionalFormatting sqref="T24:U24 X24:Y24">
    <cfRule type="cellIs" dxfId="30" priority="58" operator="greaterThan">
      <formula>0</formula>
    </cfRule>
  </conditionalFormatting>
  <conditionalFormatting sqref="T24:U24 X24:Y24">
    <cfRule type="cellIs" dxfId="29" priority="57" operator="greaterThan">
      <formula>0</formula>
    </cfRule>
  </conditionalFormatting>
  <conditionalFormatting sqref="O25:Q27 X25:Y28 O35:Q64 O34 Q34 U32:U33 O28:O29 Q28:Q29 Y29 X30:Y64 T34:U64 T25:U31 O30:Q33">
    <cfRule type="cellIs" dxfId="28" priority="51" operator="notEqual">
      <formula>0</formula>
    </cfRule>
  </conditionalFormatting>
  <conditionalFormatting sqref="F24:F29 F35:F64">
    <cfRule type="cellIs" dxfId="27" priority="36" operator="notEqual">
      <formula>0</formula>
    </cfRule>
  </conditionalFormatting>
  <conditionalFormatting sqref="G25:G64">
    <cfRule type="cellIs" dxfId="26" priority="28" operator="notEqual">
      <formula>0</formula>
    </cfRule>
  </conditionalFormatting>
  <conditionalFormatting sqref="L24">
    <cfRule type="cellIs" dxfId="25" priority="27" operator="greaterThan">
      <formula>0</formula>
    </cfRule>
  </conditionalFormatting>
  <conditionalFormatting sqref="L24:L28 L35:L64 L31">
    <cfRule type="cellIs" dxfId="24" priority="26" operator="notEqual">
      <formula>0</formula>
    </cfRule>
  </conditionalFormatting>
  <conditionalFormatting sqref="D24:D64">
    <cfRule type="cellIs" dxfId="23" priority="25" operator="greaterThan">
      <formula>0</formula>
    </cfRule>
  </conditionalFormatting>
  <conditionalFormatting sqref="D24:D64">
    <cfRule type="cellIs" dxfId="22" priority="24" operator="notEqual">
      <formula>0</formula>
    </cfRule>
  </conditionalFormatting>
  <conditionalFormatting sqref="G24">
    <cfRule type="cellIs" dxfId="21" priority="23" operator="greaterThan">
      <formula>0</formula>
    </cfRule>
  </conditionalFormatting>
  <conditionalFormatting sqref="G24">
    <cfRule type="cellIs" dxfId="20" priority="22" operator="notEqual">
      <formula>0</formula>
    </cfRule>
  </conditionalFormatting>
  <conditionalFormatting sqref="AC24:AC64">
    <cfRule type="cellIs" dxfId="19" priority="21" operator="notEqual">
      <formula>0</formula>
    </cfRule>
  </conditionalFormatting>
  <conditionalFormatting sqref="C24">
    <cfRule type="cellIs" dxfId="18" priority="20" operator="greaterThan">
      <formula>0</formula>
    </cfRule>
  </conditionalFormatting>
  <conditionalFormatting sqref="P34">
    <cfRule type="cellIs" dxfId="17" priority="18" operator="notEqual">
      <formula>0</formula>
    </cfRule>
  </conditionalFormatting>
  <conditionalFormatting sqref="L32:L33">
    <cfRule type="cellIs" dxfId="16" priority="17" operator="notEqual">
      <formula>0</formula>
    </cfRule>
  </conditionalFormatting>
  <conditionalFormatting sqref="L34">
    <cfRule type="cellIs" dxfId="15" priority="16" operator="notEqual">
      <formula>0</formula>
    </cfRule>
  </conditionalFormatting>
  <conditionalFormatting sqref="T32">
    <cfRule type="cellIs" dxfId="14" priority="15" operator="notEqual">
      <formula>0</formula>
    </cfRule>
  </conditionalFormatting>
  <conditionalFormatting sqref="T33">
    <cfRule type="cellIs" dxfId="13" priority="14" operator="notEqual">
      <formula>0</formula>
    </cfRule>
  </conditionalFormatting>
  <conditionalFormatting sqref="L29">
    <cfRule type="cellIs" dxfId="12" priority="13" operator="notEqual">
      <formula>0</formula>
    </cfRule>
  </conditionalFormatting>
  <conditionalFormatting sqref="P28">
    <cfRule type="cellIs" dxfId="11" priority="12" operator="notEqual">
      <formula>0</formula>
    </cfRule>
  </conditionalFormatting>
  <conditionalFormatting sqref="P29">
    <cfRule type="cellIs" dxfId="10" priority="11" operator="notEqual">
      <formula>0</formula>
    </cfRule>
  </conditionalFormatting>
  <conditionalFormatting sqref="X29">
    <cfRule type="cellIs" dxfId="9" priority="10" operator="notEqual">
      <formula>0</formula>
    </cfRule>
  </conditionalFormatting>
  <conditionalFormatting sqref="X29">
    <cfRule type="cellIs" dxfId="8" priority="9" operator="greaterThan">
      <formula>0</formula>
    </cfRule>
  </conditionalFormatting>
  <conditionalFormatting sqref="X29">
    <cfRule type="cellIs" dxfId="7" priority="8" operator="greaterThan">
      <formula>0</formula>
    </cfRule>
  </conditionalFormatting>
  <conditionalFormatting sqref="X29">
    <cfRule type="cellIs" dxfId="6" priority="7" operator="greaterThan">
      <formula>0</formula>
    </cfRule>
  </conditionalFormatting>
  <conditionalFormatting sqref="L30">
    <cfRule type="cellIs" dxfId="5" priority="6" operator="notEqual">
      <formula>0</formula>
    </cfRule>
  </conditionalFormatting>
  <conditionalFormatting sqref="H30">
    <cfRule type="cellIs" dxfId="4" priority="5" operator="notEqual">
      <formula>0</formula>
    </cfRule>
  </conditionalFormatting>
  <conditionalFormatting sqref="E30:E34">
    <cfRule type="cellIs" dxfId="3" priority="4" operator="greaterThan">
      <formula>0</formula>
    </cfRule>
  </conditionalFormatting>
  <conditionalFormatting sqref="E30:E34">
    <cfRule type="cellIs" dxfId="2" priority="3" operator="notEqual">
      <formula>0</formula>
    </cfRule>
  </conditionalFormatting>
  <conditionalFormatting sqref="F30:F34">
    <cfRule type="cellIs" dxfId="1" priority="2" operator="greaterThan">
      <formula>0</formula>
    </cfRule>
  </conditionalFormatting>
  <conditionalFormatting sqref="F30:F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ht="15.75"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4" t="s">
        <v>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ht="15.75" x14ac:dyDescent="0.25">
      <c r="A12" s="413" t="str">
        <f>'1. паспорт местоположение'!A12:C12</f>
        <v>J 19-02</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4" t="s">
        <v>5</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5.75" x14ac:dyDescent="0.25">
      <c r="A15"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185"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185" customFormat="1" x14ac:dyDescent="0.25">
      <c r="A21" s="507" t="s">
        <v>405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185" customFormat="1" ht="58.5" customHeight="1" x14ac:dyDescent="0.25">
      <c r="A22" s="508" t="s">
        <v>50</v>
      </c>
      <c r="B22" s="514" t="s">
        <v>22</v>
      </c>
      <c r="C22" s="511" t="s">
        <v>49</v>
      </c>
      <c r="D22" s="511" t="s">
        <v>48</v>
      </c>
      <c r="E22" s="517" t="s">
        <v>415</v>
      </c>
      <c r="F22" s="518"/>
      <c r="G22" s="518"/>
      <c r="H22" s="518"/>
      <c r="I22" s="518"/>
      <c r="J22" s="518"/>
      <c r="K22" s="518"/>
      <c r="L22" s="519"/>
      <c r="M22" s="511" t="s">
        <v>47</v>
      </c>
      <c r="N22" s="511" t="s">
        <v>46</v>
      </c>
      <c r="O22" s="511" t="s">
        <v>45</v>
      </c>
      <c r="P22" s="520" t="s">
        <v>228</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185" customFormat="1" ht="64.5" customHeight="1" x14ac:dyDescent="0.25">
      <c r="A23" s="509"/>
      <c r="B23" s="515"/>
      <c r="C23" s="512"/>
      <c r="D23" s="512"/>
      <c r="E23" s="526" t="s">
        <v>21</v>
      </c>
      <c r="F23" s="528" t="s">
        <v>126</v>
      </c>
      <c r="G23" s="528" t="s">
        <v>125</v>
      </c>
      <c r="H23" s="528" t="s">
        <v>124</v>
      </c>
      <c r="I23" s="532" t="s">
        <v>353</v>
      </c>
      <c r="J23" s="532" t="s">
        <v>354</v>
      </c>
      <c r="K23" s="532" t="s">
        <v>355</v>
      </c>
      <c r="L23" s="528" t="s">
        <v>74</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185" customFormat="1" ht="96.75" customHeight="1" x14ac:dyDescent="0.25">
      <c r="A24" s="510"/>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86" t="s">
        <v>11</v>
      </c>
      <c r="AG24" s="186" t="s">
        <v>10</v>
      </c>
      <c r="AH24" s="187" t="s">
        <v>2</v>
      </c>
      <c r="AI24" s="187" t="s">
        <v>9</v>
      </c>
      <c r="AJ24" s="513"/>
      <c r="AK24" s="513"/>
      <c r="AL24" s="513"/>
      <c r="AM24" s="513"/>
      <c r="AN24" s="513"/>
      <c r="AO24" s="513"/>
      <c r="AP24" s="513"/>
      <c r="AQ24" s="523"/>
      <c r="AR24" s="520"/>
      <c r="AS24" s="520"/>
      <c r="AT24" s="520"/>
      <c r="AU24" s="520"/>
      <c r="AV24" s="525"/>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f>'3.1. паспорт Техсостояние ПС'!O25</f>
        <v>32</v>
      </c>
      <c r="H26" s="192"/>
      <c r="I26" s="192"/>
      <c r="J26" s="192"/>
      <c r="K26" s="192"/>
      <c r="L26" s="192"/>
      <c r="M26" s="192" t="s">
        <v>534</v>
      </c>
      <c r="N26" s="192" t="s">
        <v>571</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3"/>
      <c r="AQ26" s="233"/>
      <c r="AR26" s="233"/>
      <c r="AS26" s="233"/>
      <c r="AT26" s="233"/>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49" zoomScale="90" zoomScaleNormal="90" zoomScaleSheetLayoutView="90" workbookViewId="0">
      <selection activeCell="B66" sqref="B6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35" t="str">
        <f>'1. паспорт местоположение'!A5:C5</f>
        <v>Год раскрытия информации: 2021 год</v>
      </c>
      <c r="B5" s="535"/>
      <c r="C5" s="68"/>
      <c r="D5" s="68"/>
      <c r="E5" s="68"/>
      <c r="F5" s="68"/>
      <c r="G5" s="68"/>
      <c r="H5" s="68"/>
    </row>
    <row r="6" spans="1:8" ht="18.75" x14ac:dyDescent="0.3">
      <c r="A6" s="104"/>
      <c r="B6" s="104"/>
      <c r="C6" s="104"/>
      <c r="D6" s="104"/>
      <c r="E6" s="104"/>
      <c r="F6" s="104"/>
      <c r="G6" s="104"/>
      <c r="H6" s="104"/>
    </row>
    <row r="7" spans="1:8" ht="18.75" x14ac:dyDescent="0.25">
      <c r="A7" s="418" t="s">
        <v>7</v>
      </c>
      <c r="B7" s="418"/>
      <c r="C7" s="143"/>
      <c r="D7" s="143"/>
      <c r="E7" s="143"/>
      <c r="F7" s="143"/>
      <c r="G7" s="143"/>
      <c r="H7" s="143"/>
    </row>
    <row r="8" spans="1:8" ht="18.75" x14ac:dyDescent="0.25">
      <c r="A8" s="143"/>
      <c r="B8" s="143"/>
      <c r="C8" s="143"/>
      <c r="D8" s="143"/>
      <c r="E8" s="143"/>
      <c r="F8" s="143"/>
      <c r="G8" s="143"/>
      <c r="H8" s="143"/>
    </row>
    <row r="9" spans="1:8" x14ac:dyDescent="0.25">
      <c r="A9" s="413" t="str">
        <f>'1. паспорт местоположение'!A9:C9</f>
        <v xml:space="preserve">Акционерное общество "Западная энергетическая компания" </v>
      </c>
      <c r="B9" s="413"/>
      <c r="C9" s="145"/>
      <c r="D9" s="145"/>
      <c r="E9" s="145"/>
      <c r="F9" s="145"/>
      <c r="G9" s="145"/>
      <c r="H9" s="145"/>
    </row>
    <row r="10" spans="1:8" x14ac:dyDescent="0.25">
      <c r="A10" s="414" t="s">
        <v>6</v>
      </c>
      <c r="B10" s="414"/>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3" t="str">
        <f>'1. паспорт местоположение'!A12:C12</f>
        <v>J 19-02</v>
      </c>
      <c r="B12" s="413"/>
      <c r="C12" s="145"/>
      <c r="D12" s="145"/>
      <c r="E12" s="145"/>
      <c r="F12" s="145"/>
      <c r="G12" s="145"/>
      <c r="H12" s="145"/>
    </row>
    <row r="13" spans="1:8" x14ac:dyDescent="0.25">
      <c r="A13" s="414" t="s">
        <v>5</v>
      </c>
      <c r="B13" s="414"/>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0"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0"/>
      <c r="C15" s="145"/>
      <c r="D15" s="145"/>
      <c r="E15" s="145"/>
      <c r="F15" s="145"/>
      <c r="G15" s="145"/>
      <c r="H15" s="145"/>
    </row>
    <row r="16" spans="1:8" x14ac:dyDescent="0.25">
      <c r="A16" s="414" t="s">
        <v>4</v>
      </c>
      <c r="B16" s="414"/>
      <c r="C16" s="146"/>
      <c r="D16" s="146"/>
      <c r="E16" s="146"/>
      <c r="F16" s="146"/>
      <c r="G16" s="146"/>
      <c r="H16" s="146"/>
    </row>
    <row r="17" spans="1:2" x14ac:dyDescent="0.25">
      <c r="B17" s="78"/>
    </row>
    <row r="18" spans="1:2" ht="33.75" customHeight="1" x14ac:dyDescent="0.25">
      <c r="A18" s="536" t="s">
        <v>406</v>
      </c>
      <c r="B18" s="537"/>
    </row>
    <row r="19" spans="1:2" x14ac:dyDescent="0.25">
      <c r="B19" s="32"/>
    </row>
    <row r="20" spans="1:2" ht="16.5" thickBot="1" x14ac:dyDescent="0.3">
      <c r="B20" s="79"/>
    </row>
    <row r="21" spans="1:2" ht="61.5" customHeight="1" thickBot="1" x14ac:dyDescent="0.3">
      <c r="A21" s="80" t="s">
        <v>304</v>
      </c>
      <c r="B21" s="134"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246" t="s">
        <v>597</v>
      </c>
    </row>
    <row r="23" spans="1:2" ht="16.5" thickBot="1" x14ac:dyDescent="0.3">
      <c r="A23" s="80" t="s">
        <v>289</v>
      </c>
      <c r="B23" s="82" t="s">
        <v>548</v>
      </c>
    </row>
    <row r="24" spans="1:2" ht="16.5" thickBot="1" x14ac:dyDescent="0.3">
      <c r="A24" s="80" t="s">
        <v>306</v>
      </c>
      <c r="B24" s="82" t="s">
        <v>572</v>
      </c>
    </row>
    <row r="25" spans="1:2" ht="16.5" thickBot="1" x14ac:dyDescent="0.3">
      <c r="A25" s="83" t="s">
        <v>307</v>
      </c>
      <c r="B25" s="81">
        <v>2024</v>
      </c>
    </row>
    <row r="26" spans="1:2" ht="16.5" thickBot="1" x14ac:dyDescent="0.3">
      <c r="A26" s="84" t="s">
        <v>308</v>
      </c>
      <c r="B26" s="132" t="s">
        <v>436</v>
      </c>
    </row>
    <row r="27" spans="1:2" ht="29.25" thickBot="1" x14ac:dyDescent="0.3">
      <c r="A27" s="91" t="s">
        <v>657</v>
      </c>
      <c r="B27" s="133">
        <f>'6.2. Паспорт фин осв ввод'!D24</f>
        <v>341.65587945394435</v>
      </c>
    </row>
    <row r="28" spans="1:2" ht="21.75" customHeight="1" thickBot="1" x14ac:dyDescent="0.3">
      <c r="A28" s="86" t="s">
        <v>309</v>
      </c>
      <c r="B28" s="86" t="s">
        <v>573</v>
      </c>
    </row>
    <row r="29" spans="1:2" ht="29.25" thickBot="1" x14ac:dyDescent="0.3">
      <c r="A29" s="92" t="s">
        <v>310</v>
      </c>
      <c r="B29" s="133" t="s">
        <v>542</v>
      </c>
    </row>
    <row r="30" spans="1:2" ht="19.5" customHeight="1" thickBot="1" x14ac:dyDescent="0.3">
      <c r="A30" s="92" t="s">
        <v>311</v>
      </c>
      <c r="B30" s="133">
        <f>SUM(B32,B53,B70)</f>
        <v>7.5</v>
      </c>
    </row>
    <row r="31" spans="1:2" ht="16.5" thickBot="1" x14ac:dyDescent="0.3">
      <c r="A31" s="86" t="s">
        <v>312</v>
      </c>
      <c r="B31" s="133" t="s">
        <v>542</v>
      </c>
    </row>
    <row r="32" spans="1:2" ht="29.25" thickBot="1" x14ac:dyDescent="0.3">
      <c r="A32" s="92" t="s">
        <v>313</v>
      </c>
      <c r="B32" s="133" t="s">
        <v>542</v>
      </c>
    </row>
    <row r="33" spans="1:3" s="199" customFormat="1" ht="16.5" thickBot="1" x14ac:dyDescent="0.3">
      <c r="A33" s="206"/>
      <c r="B33" s="207" t="s">
        <v>542</v>
      </c>
      <c r="C33" s="199">
        <v>10</v>
      </c>
    </row>
    <row r="34" spans="1:3" ht="16.5" thickBot="1" x14ac:dyDescent="0.3">
      <c r="A34" s="86" t="s">
        <v>315</v>
      </c>
      <c r="B34" s="114" t="s">
        <v>542</v>
      </c>
    </row>
    <row r="35" spans="1:3" ht="16.5" thickBot="1" x14ac:dyDescent="0.3">
      <c r="A35" s="86" t="s">
        <v>316</v>
      </c>
      <c r="B35" s="133" t="s">
        <v>542</v>
      </c>
      <c r="C35" s="44">
        <v>1</v>
      </c>
    </row>
    <row r="36" spans="1:3" ht="16.5" thickBot="1" x14ac:dyDescent="0.3">
      <c r="A36" s="86" t="s">
        <v>317</v>
      </c>
      <c r="B36" s="133" t="s">
        <v>542</v>
      </c>
      <c r="C36" s="44">
        <v>2</v>
      </c>
    </row>
    <row r="37" spans="1:3" s="199" customFormat="1" ht="16.5" thickBot="1" x14ac:dyDescent="0.3">
      <c r="A37" s="112" t="s">
        <v>314</v>
      </c>
      <c r="B37" s="113" t="s">
        <v>542</v>
      </c>
      <c r="C37" s="199">
        <v>10</v>
      </c>
    </row>
    <row r="38" spans="1:3" ht="16.5" thickBot="1" x14ac:dyDescent="0.3">
      <c r="A38" s="86" t="s">
        <v>315</v>
      </c>
      <c r="B38" s="114" t="s">
        <v>542</v>
      </c>
    </row>
    <row r="39" spans="1:3" ht="16.5" thickBot="1" x14ac:dyDescent="0.3">
      <c r="A39" s="86" t="s">
        <v>316</v>
      </c>
      <c r="B39" s="111" t="s">
        <v>542</v>
      </c>
      <c r="C39" s="44">
        <v>1</v>
      </c>
    </row>
    <row r="40" spans="1:3" ht="16.5" thickBot="1" x14ac:dyDescent="0.3">
      <c r="A40" s="86" t="s">
        <v>317</v>
      </c>
      <c r="B40" s="111" t="s">
        <v>542</v>
      </c>
      <c r="C40" s="44">
        <v>2</v>
      </c>
    </row>
    <row r="41" spans="1:3" ht="16.5" thickBot="1" x14ac:dyDescent="0.3">
      <c r="A41" s="112" t="s">
        <v>314</v>
      </c>
      <c r="B41" s="113" t="s">
        <v>542</v>
      </c>
      <c r="C41" s="199">
        <v>10</v>
      </c>
    </row>
    <row r="42" spans="1:3" ht="16.5" thickBot="1" x14ac:dyDescent="0.3">
      <c r="A42" s="86" t="s">
        <v>315</v>
      </c>
      <c r="B42" s="114" t="s">
        <v>542</v>
      </c>
    </row>
    <row r="43" spans="1:3" ht="16.5" thickBot="1" x14ac:dyDescent="0.3">
      <c r="A43" s="86" t="s">
        <v>316</v>
      </c>
      <c r="B43" s="111" t="s">
        <v>542</v>
      </c>
      <c r="C43" s="44">
        <v>1</v>
      </c>
    </row>
    <row r="44" spans="1:3" ht="16.5" thickBot="1" x14ac:dyDescent="0.3">
      <c r="A44" s="86" t="s">
        <v>317</v>
      </c>
      <c r="B44" s="111" t="s">
        <v>542</v>
      </c>
      <c r="C44" s="44">
        <v>2</v>
      </c>
    </row>
    <row r="45" spans="1:3" ht="16.5" thickBot="1" x14ac:dyDescent="0.3">
      <c r="A45" s="112" t="s">
        <v>314</v>
      </c>
      <c r="B45" s="113" t="s">
        <v>542</v>
      </c>
      <c r="C45" s="199">
        <v>10</v>
      </c>
    </row>
    <row r="46" spans="1:3" ht="16.5" thickBot="1" x14ac:dyDescent="0.3">
      <c r="A46" s="86" t="s">
        <v>315</v>
      </c>
      <c r="B46" s="114" t="s">
        <v>542</v>
      </c>
    </row>
    <row r="47" spans="1:3" ht="16.5" thickBot="1" x14ac:dyDescent="0.3">
      <c r="A47" s="86" t="s">
        <v>316</v>
      </c>
      <c r="B47" s="111" t="s">
        <v>542</v>
      </c>
      <c r="C47" s="44">
        <v>1</v>
      </c>
    </row>
    <row r="48" spans="1:3" ht="16.5" thickBot="1" x14ac:dyDescent="0.3">
      <c r="A48" s="86" t="s">
        <v>317</v>
      </c>
      <c r="B48" s="111" t="s">
        <v>542</v>
      </c>
      <c r="C48" s="44">
        <v>2</v>
      </c>
    </row>
    <row r="49" spans="1:3" ht="16.5" thickBot="1" x14ac:dyDescent="0.3">
      <c r="A49" s="112" t="s">
        <v>314</v>
      </c>
      <c r="B49" s="113" t="s">
        <v>542</v>
      </c>
      <c r="C49" s="199">
        <v>10</v>
      </c>
    </row>
    <row r="50" spans="1:3" ht="16.5" thickBot="1" x14ac:dyDescent="0.3">
      <c r="A50" s="86" t="s">
        <v>315</v>
      </c>
      <c r="B50" s="114" t="s">
        <v>542</v>
      </c>
    </row>
    <row r="51" spans="1:3" ht="16.5" thickBot="1" x14ac:dyDescent="0.3">
      <c r="A51" s="86" t="s">
        <v>316</v>
      </c>
      <c r="B51" s="111" t="s">
        <v>542</v>
      </c>
      <c r="C51" s="44">
        <v>1</v>
      </c>
    </row>
    <row r="52" spans="1:3" ht="16.5" thickBot="1" x14ac:dyDescent="0.3">
      <c r="A52" s="86" t="s">
        <v>317</v>
      </c>
      <c r="B52" s="111" t="s">
        <v>542</v>
      </c>
      <c r="C52" s="44">
        <v>2</v>
      </c>
    </row>
    <row r="53" spans="1:3" ht="29.25" thickBot="1" x14ac:dyDescent="0.3">
      <c r="A53" s="92" t="s">
        <v>318</v>
      </c>
      <c r="B53" s="111" t="s">
        <v>542</v>
      </c>
    </row>
    <row r="54" spans="1:3" s="199" customFormat="1" ht="16.5" thickBot="1" x14ac:dyDescent="0.3">
      <c r="A54" s="112" t="s">
        <v>314</v>
      </c>
      <c r="B54" s="113" t="s">
        <v>542</v>
      </c>
      <c r="C54" s="199">
        <v>20</v>
      </c>
    </row>
    <row r="55" spans="1:3" ht="16.5" thickBot="1" x14ac:dyDescent="0.3">
      <c r="A55" s="86" t="s">
        <v>315</v>
      </c>
      <c r="B55" s="114" t="s">
        <v>542</v>
      </c>
    </row>
    <row r="56" spans="1:3" ht="16.5" thickBot="1" x14ac:dyDescent="0.3">
      <c r="A56" s="86" t="s">
        <v>316</v>
      </c>
      <c r="B56" s="111" t="s">
        <v>542</v>
      </c>
      <c r="C56" s="44">
        <v>1</v>
      </c>
    </row>
    <row r="57" spans="1:3" ht="16.5" thickBot="1" x14ac:dyDescent="0.3">
      <c r="A57" s="86" t="s">
        <v>317</v>
      </c>
      <c r="B57" s="111" t="s">
        <v>542</v>
      </c>
      <c r="C57" s="44">
        <v>2</v>
      </c>
    </row>
    <row r="58" spans="1:3" s="199" customFormat="1" ht="16.5" thickBot="1" x14ac:dyDescent="0.3">
      <c r="A58" s="112" t="s">
        <v>314</v>
      </c>
      <c r="B58" s="113" t="s">
        <v>542</v>
      </c>
      <c r="C58" s="199">
        <v>20</v>
      </c>
    </row>
    <row r="59" spans="1:3" ht="16.5" thickBot="1" x14ac:dyDescent="0.3">
      <c r="A59" s="86" t="s">
        <v>315</v>
      </c>
      <c r="B59" s="114" t="s">
        <v>542</v>
      </c>
    </row>
    <row r="60" spans="1:3" ht="16.5" thickBot="1" x14ac:dyDescent="0.3">
      <c r="A60" s="86" t="s">
        <v>316</v>
      </c>
      <c r="B60" s="111" t="s">
        <v>542</v>
      </c>
      <c r="C60" s="44">
        <v>1</v>
      </c>
    </row>
    <row r="61" spans="1:3" ht="16.5" thickBot="1" x14ac:dyDescent="0.3">
      <c r="A61" s="86" t="s">
        <v>317</v>
      </c>
      <c r="B61" s="111" t="s">
        <v>542</v>
      </c>
      <c r="C61" s="44">
        <v>2</v>
      </c>
    </row>
    <row r="62" spans="1:3" s="199" customFormat="1" ht="16.5" thickBot="1" x14ac:dyDescent="0.3">
      <c r="A62" s="112" t="s">
        <v>314</v>
      </c>
      <c r="B62" s="113" t="s">
        <v>542</v>
      </c>
      <c r="C62" s="199">
        <v>20</v>
      </c>
    </row>
    <row r="63" spans="1:3" ht="16.5" thickBot="1" x14ac:dyDescent="0.3">
      <c r="A63" s="86" t="s">
        <v>315</v>
      </c>
      <c r="B63" s="114" t="s">
        <v>542</v>
      </c>
    </row>
    <row r="64" spans="1:3" ht="16.5" thickBot="1" x14ac:dyDescent="0.3">
      <c r="A64" s="86" t="s">
        <v>316</v>
      </c>
      <c r="B64" s="111" t="s">
        <v>542</v>
      </c>
      <c r="C64" s="44">
        <v>1</v>
      </c>
    </row>
    <row r="65" spans="1:3" ht="16.5" thickBot="1" x14ac:dyDescent="0.3">
      <c r="A65" s="86" t="s">
        <v>317</v>
      </c>
      <c r="B65" s="111" t="s">
        <v>542</v>
      </c>
      <c r="C65" s="44">
        <v>2</v>
      </c>
    </row>
    <row r="66" spans="1:3" s="199" customFormat="1" ht="16.5" thickBot="1" x14ac:dyDescent="0.3">
      <c r="A66" s="112" t="s">
        <v>314</v>
      </c>
      <c r="B66" s="113" t="s">
        <v>542</v>
      </c>
      <c r="C66" s="199">
        <v>20</v>
      </c>
    </row>
    <row r="67" spans="1:3" ht="16.5" thickBot="1" x14ac:dyDescent="0.3">
      <c r="A67" s="86" t="s">
        <v>315</v>
      </c>
      <c r="B67" s="114" t="s">
        <v>542</v>
      </c>
    </row>
    <row r="68" spans="1:3" ht="16.5" thickBot="1" x14ac:dyDescent="0.3">
      <c r="A68" s="86" t="s">
        <v>316</v>
      </c>
      <c r="B68" s="111" t="s">
        <v>542</v>
      </c>
      <c r="C68" s="44">
        <v>1</v>
      </c>
    </row>
    <row r="69" spans="1:3" ht="16.5" thickBot="1" x14ac:dyDescent="0.3">
      <c r="A69" s="86" t="s">
        <v>317</v>
      </c>
      <c r="B69" s="111" t="s">
        <v>542</v>
      </c>
      <c r="C69" s="44">
        <v>2</v>
      </c>
    </row>
    <row r="70" spans="1:3" ht="29.25" thickBot="1" x14ac:dyDescent="0.3">
      <c r="A70" s="92" t="s">
        <v>319</v>
      </c>
      <c r="B70" s="111">
        <f>SUM(B71,B75,B79,B83,B87)</f>
        <v>7.5</v>
      </c>
    </row>
    <row r="71" spans="1:3" s="199" customFormat="1" ht="29.25" customHeight="1" thickBot="1" x14ac:dyDescent="0.3">
      <c r="A71" s="206" t="s">
        <v>659</v>
      </c>
      <c r="B71" s="207">
        <v>7.5</v>
      </c>
      <c r="C71" s="199">
        <v>30</v>
      </c>
    </row>
    <row r="72" spans="1:3" ht="16.5" thickBot="1" x14ac:dyDescent="0.3">
      <c r="A72" s="86" t="s">
        <v>315</v>
      </c>
      <c r="B72" s="114">
        <f>B71/B27</f>
        <v>2.1951912585221615E-2</v>
      </c>
    </row>
    <row r="73" spans="1:3" ht="16.5" thickBot="1" x14ac:dyDescent="0.3">
      <c r="A73" s="86" t="s">
        <v>316</v>
      </c>
      <c r="B73" s="133" t="s">
        <v>542</v>
      </c>
      <c r="C73" s="44">
        <v>1</v>
      </c>
    </row>
    <row r="74" spans="1:3" ht="16.5" thickBot="1" x14ac:dyDescent="0.3">
      <c r="A74" s="86" t="s">
        <v>317</v>
      </c>
      <c r="B74" s="133" t="s">
        <v>542</v>
      </c>
      <c r="C74" s="44">
        <v>2</v>
      </c>
    </row>
    <row r="75" spans="1:3" s="199" customFormat="1" ht="16.5" thickBot="1" x14ac:dyDescent="0.3">
      <c r="A75" s="112" t="s">
        <v>314</v>
      </c>
      <c r="B75" s="113" t="s">
        <v>542</v>
      </c>
      <c r="C75" s="199">
        <v>30</v>
      </c>
    </row>
    <row r="76" spans="1:3" ht="16.5" thickBot="1" x14ac:dyDescent="0.3">
      <c r="A76" s="86" t="s">
        <v>315</v>
      </c>
      <c r="B76" s="114" t="s">
        <v>542</v>
      </c>
    </row>
    <row r="77" spans="1:3" ht="16.5" thickBot="1" x14ac:dyDescent="0.3">
      <c r="A77" s="86" t="s">
        <v>316</v>
      </c>
      <c r="B77" s="111" t="s">
        <v>542</v>
      </c>
      <c r="C77" s="44">
        <v>1</v>
      </c>
    </row>
    <row r="78" spans="1:3" ht="16.5" thickBot="1" x14ac:dyDescent="0.3">
      <c r="A78" s="86" t="s">
        <v>317</v>
      </c>
      <c r="B78" s="111" t="s">
        <v>542</v>
      </c>
      <c r="C78" s="44">
        <v>2</v>
      </c>
    </row>
    <row r="79" spans="1:3" s="199" customFormat="1" ht="16.5" thickBot="1" x14ac:dyDescent="0.3">
      <c r="A79" s="112" t="s">
        <v>314</v>
      </c>
      <c r="B79" s="113" t="s">
        <v>542</v>
      </c>
      <c r="C79" s="199">
        <v>30</v>
      </c>
    </row>
    <row r="80" spans="1:3" ht="16.5" thickBot="1" x14ac:dyDescent="0.3">
      <c r="A80" s="86" t="s">
        <v>315</v>
      </c>
      <c r="B80" s="114" t="s">
        <v>542</v>
      </c>
    </row>
    <row r="81" spans="1:3" ht="16.5" thickBot="1" x14ac:dyDescent="0.3">
      <c r="A81" s="86" t="s">
        <v>316</v>
      </c>
      <c r="B81" s="111" t="s">
        <v>542</v>
      </c>
      <c r="C81" s="44">
        <v>1</v>
      </c>
    </row>
    <row r="82" spans="1:3" ht="16.5" thickBot="1" x14ac:dyDescent="0.3">
      <c r="A82" s="86" t="s">
        <v>317</v>
      </c>
      <c r="B82" s="111" t="s">
        <v>542</v>
      </c>
      <c r="C82" s="44">
        <v>2</v>
      </c>
    </row>
    <row r="83" spans="1:3" s="199" customFormat="1" ht="16.5" thickBot="1" x14ac:dyDescent="0.3">
      <c r="A83" s="112" t="s">
        <v>314</v>
      </c>
      <c r="B83" s="113" t="s">
        <v>542</v>
      </c>
      <c r="C83" s="199">
        <v>30</v>
      </c>
    </row>
    <row r="84" spans="1:3" ht="16.5" thickBot="1" x14ac:dyDescent="0.3">
      <c r="A84" s="86" t="s">
        <v>315</v>
      </c>
      <c r="B84" s="114" t="s">
        <v>542</v>
      </c>
    </row>
    <row r="85" spans="1:3" ht="16.5" thickBot="1" x14ac:dyDescent="0.3">
      <c r="A85" s="86" t="s">
        <v>316</v>
      </c>
      <c r="B85" s="111" t="s">
        <v>542</v>
      </c>
      <c r="C85" s="44">
        <v>1</v>
      </c>
    </row>
    <row r="86" spans="1:3" ht="16.5" thickBot="1" x14ac:dyDescent="0.3">
      <c r="A86" s="86" t="s">
        <v>317</v>
      </c>
      <c r="B86" s="111" t="s">
        <v>542</v>
      </c>
      <c r="C86" s="44">
        <v>2</v>
      </c>
    </row>
    <row r="87" spans="1:3" s="199" customFormat="1" ht="16.5" thickBot="1" x14ac:dyDescent="0.3">
      <c r="A87" s="112" t="s">
        <v>314</v>
      </c>
      <c r="B87" s="113" t="s">
        <v>542</v>
      </c>
      <c r="C87" s="199">
        <v>30</v>
      </c>
    </row>
    <row r="88" spans="1:3" ht="16.5" thickBot="1" x14ac:dyDescent="0.3">
      <c r="A88" s="86" t="s">
        <v>315</v>
      </c>
      <c r="B88" s="114" t="s">
        <v>542</v>
      </c>
    </row>
    <row r="89" spans="1:3" ht="16.5" thickBot="1" x14ac:dyDescent="0.3">
      <c r="A89" s="86" t="s">
        <v>316</v>
      </c>
      <c r="B89" s="111" t="s">
        <v>542</v>
      </c>
      <c r="C89" s="44">
        <v>1</v>
      </c>
    </row>
    <row r="90" spans="1:3" ht="16.5" thickBot="1" x14ac:dyDescent="0.3">
      <c r="A90" s="86" t="s">
        <v>317</v>
      </c>
      <c r="B90" s="111" t="s">
        <v>542</v>
      </c>
      <c r="C90" s="44">
        <v>2</v>
      </c>
    </row>
    <row r="91" spans="1:3" ht="29.25" thickBot="1" x14ac:dyDescent="0.3">
      <c r="A91" s="85" t="s">
        <v>320</v>
      </c>
      <c r="B91" s="114" t="s">
        <v>542</v>
      </c>
    </row>
    <row r="92" spans="1:3" ht="16.5" thickBot="1" x14ac:dyDescent="0.3">
      <c r="A92" s="87" t="s">
        <v>312</v>
      </c>
      <c r="B92" s="93" t="s">
        <v>542</v>
      </c>
    </row>
    <row r="93" spans="1:3" ht="16.5" thickBot="1" x14ac:dyDescent="0.3">
      <c r="A93" s="87" t="s">
        <v>321</v>
      </c>
      <c r="B93" s="114" t="s">
        <v>542</v>
      </c>
    </row>
    <row r="94" spans="1:3" ht="16.5" thickBot="1" x14ac:dyDescent="0.3">
      <c r="A94" s="87" t="s">
        <v>322</v>
      </c>
      <c r="B94" s="114" t="s">
        <v>542</v>
      </c>
    </row>
    <row r="95" spans="1:3" ht="16.5" thickBot="1" x14ac:dyDescent="0.3">
      <c r="A95" s="87" t="s">
        <v>323</v>
      </c>
      <c r="B95" s="114" t="s">
        <v>542</v>
      </c>
    </row>
    <row r="96" spans="1:3" ht="16.5" thickBot="1" x14ac:dyDescent="0.3">
      <c r="A96" s="83" t="s">
        <v>324</v>
      </c>
      <c r="B96" s="115" t="s">
        <v>542</v>
      </c>
    </row>
    <row r="97" spans="1:2" ht="16.5" thickBot="1" x14ac:dyDescent="0.3">
      <c r="A97" s="83" t="s">
        <v>325</v>
      </c>
      <c r="B97" s="224" t="s">
        <v>542</v>
      </c>
    </row>
    <row r="98" spans="1:2" ht="16.5" thickBot="1" x14ac:dyDescent="0.3">
      <c r="A98" s="83" t="s">
        <v>326</v>
      </c>
      <c r="B98" s="115" t="s">
        <v>542</v>
      </c>
    </row>
    <row r="99" spans="1:2" ht="16.5" thickBot="1" x14ac:dyDescent="0.3">
      <c r="A99" s="84" t="s">
        <v>327</v>
      </c>
      <c r="B99" s="224" t="s">
        <v>542</v>
      </c>
    </row>
    <row r="100" spans="1:2" ht="15.75" customHeight="1" x14ac:dyDescent="0.25">
      <c r="A100" s="85" t="s">
        <v>328</v>
      </c>
      <c r="B100" s="87" t="s">
        <v>329</v>
      </c>
    </row>
    <row r="101" spans="1:2" x14ac:dyDescent="0.25">
      <c r="A101" s="89" t="s">
        <v>330</v>
      </c>
      <c r="B101" s="89" t="str">
        <f>A9</f>
        <v xml:space="preserve">Акционерное общество "Западная энергетическая компания" </v>
      </c>
    </row>
    <row r="102" spans="1:2" x14ac:dyDescent="0.25">
      <c r="A102" s="89" t="s">
        <v>331</v>
      </c>
      <c r="B102" s="89"/>
    </row>
    <row r="103" spans="1:2" x14ac:dyDescent="0.25">
      <c r="A103" s="89" t="s">
        <v>332</v>
      </c>
      <c r="B103" s="89"/>
    </row>
    <row r="104" spans="1:2" x14ac:dyDescent="0.25">
      <c r="A104" s="89" t="s">
        <v>333</v>
      </c>
      <c r="B104" s="89"/>
    </row>
    <row r="105" spans="1:2" ht="16.5" thickBot="1" x14ac:dyDescent="0.3">
      <c r="A105" s="90" t="s">
        <v>334</v>
      </c>
      <c r="B105" s="90"/>
    </row>
    <row r="106" spans="1:2" ht="30.75" thickBot="1" x14ac:dyDescent="0.3">
      <c r="A106" s="87" t="s">
        <v>335</v>
      </c>
      <c r="B106" s="88"/>
    </row>
    <row r="107" spans="1:2" ht="29.25" thickBot="1" x14ac:dyDescent="0.3">
      <c r="A107" s="83" t="s">
        <v>336</v>
      </c>
      <c r="B107" s="225"/>
    </row>
    <row r="108" spans="1:2" ht="16.5" thickBot="1" x14ac:dyDescent="0.3">
      <c r="A108" s="87" t="s">
        <v>312</v>
      </c>
      <c r="B108" s="226"/>
    </row>
    <row r="109" spans="1:2" ht="16.5" thickBot="1" x14ac:dyDescent="0.3">
      <c r="A109" s="87" t="s">
        <v>337</v>
      </c>
      <c r="B109" s="225"/>
    </row>
    <row r="110" spans="1:2" ht="16.5" thickBot="1" x14ac:dyDescent="0.3">
      <c r="A110" s="87" t="s">
        <v>338</v>
      </c>
      <c r="B110" s="226"/>
    </row>
    <row r="111" spans="1:2" ht="16.5" thickBot="1" x14ac:dyDescent="0.3">
      <c r="A111" s="96" t="s">
        <v>339</v>
      </c>
      <c r="B111" s="138"/>
    </row>
    <row r="112" spans="1:2" ht="16.5" thickBot="1" x14ac:dyDescent="0.3">
      <c r="A112" s="83" t="s">
        <v>340</v>
      </c>
      <c r="B112" s="94"/>
    </row>
    <row r="113" spans="1:2" ht="16.5" thickBot="1" x14ac:dyDescent="0.3">
      <c r="A113" s="89" t="s">
        <v>341</v>
      </c>
      <c r="B113" s="223">
        <f>'6.1. Паспорт сетевой график'!H43</f>
        <v>45229</v>
      </c>
    </row>
    <row r="114" spans="1:2" ht="16.5" thickBot="1" x14ac:dyDescent="0.3">
      <c r="A114" s="89" t="s">
        <v>342</v>
      </c>
      <c r="B114" s="97" t="s">
        <v>549</v>
      </c>
    </row>
    <row r="115" spans="1:2" ht="16.5" thickBot="1" x14ac:dyDescent="0.3">
      <c r="A115" s="89" t="s">
        <v>343</v>
      </c>
      <c r="B115" s="97" t="s">
        <v>549</v>
      </c>
    </row>
    <row r="116" spans="1:2" ht="29.25" thickBot="1" x14ac:dyDescent="0.3">
      <c r="A116" s="98" t="s">
        <v>344</v>
      </c>
      <c r="B116" s="95" t="s">
        <v>550</v>
      </c>
    </row>
    <row r="117" spans="1:2" ht="28.5" customHeight="1" x14ac:dyDescent="0.25">
      <c r="A117" s="85" t="s">
        <v>345</v>
      </c>
      <c r="B117" s="538" t="s">
        <v>549</v>
      </c>
    </row>
    <row r="118" spans="1:2" x14ac:dyDescent="0.25">
      <c r="A118" s="89" t="s">
        <v>346</v>
      </c>
      <c r="B118" s="539"/>
    </row>
    <row r="119" spans="1:2" x14ac:dyDescent="0.25">
      <c r="A119" s="89" t="s">
        <v>347</v>
      </c>
      <c r="B119" s="539"/>
    </row>
    <row r="120" spans="1:2" x14ac:dyDescent="0.25">
      <c r="A120" s="89" t="s">
        <v>348</v>
      </c>
      <c r="B120" s="539"/>
    </row>
    <row r="121" spans="1:2" x14ac:dyDescent="0.25">
      <c r="A121" s="89" t="s">
        <v>349</v>
      </c>
      <c r="B121" s="539"/>
    </row>
    <row r="122" spans="1:2" ht="16.5" thickBot="1" x14ac:dyDescent="0.3">
      <c r="A122" s="99" t="s">
        <v>350</v>
      </c>
      <c r="B122" s="540"/>
    </row>
    <row r="125" spans="1:2" x14ac:dyDescent="0.25">
      <c r="A125" s="100"/>
      <c r="B125" s="101"/>
    </row>
    <row r="126" spans="1:2" x14ac:dyDescent="0.25">
      <c r="B126" s="102"/>
    </row>
    <row r="127" spans="1:2" x14ac:dyDescent="0.25">
      <c r="B127" s="103"/>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3"/>
  <sheetViews>
    <sheetView view="pageBreakPreview" topLeftCell="F1" zoomScale="40" zoomScaleSheetLayoutView="40" workbookViewId="0">
      <selection activeCell="H22" sqref="H22"/>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row>
    <row r="5" spans="1:28" s="17" customFormat="1" ht="15.75" x14ac:dyDescent="0.2">
      <c r="A5" s="140"/>
    </row>
    <row r="6" spans="1:28" s="17" customFormat="1" ht="18.75" x14ac:dyDescent="0.2">
      <c r="A6" s="418" t="s">
        <v>7</v>
      </c>
      <c r="B6" s="418"/>
      <c r="C6" s="418"/>
      <c r="D6" s="418"/>
      <c r="E6" s="418"/>
      <c r="F6" s="418"/>
      <c r="G6" s="418"/>
      <c r="H6" s="418"/>
      <c r="I6" s="418"/>
      <c r="J6" s="418"/>
      <c r="K6" s="418"/>
      <c r="L6" s="418"/>
      <c r="M6" s="418"/>
      <c r="N6" s="418"/>
      <c r="O6" s="418"/>
      <c r="P6" s="418"/>
      <c r="Q6" s="418"/>
      <c r="R6" s="418"/>
      <c r="S6" s="418"/>
      <c r="T6" s="143"/>
      <c r="U6" s="143"/>
      <c r="V6" s="143"/>
      <c r="W6" s="143"/>
      <c r="X6" s="143"/>
      <c r="Y6" s="143"/>
      <c r="Z6" s="143"/>
      <c r="AA6" s="143"/>
      <c r="AB6" s="143"/>
    </row>
    <row r="7" spans="1:28" s="17" customFormat="1" ht="18.75" x14ac:dyDescent="0.2">
      <c r="A7" s="418"/>
      <c r="B7" s="418"/>
      <c r="C7" s="418"/>
      <c r="D7" s="418"/>
      <c r="E7" s="418"/>
      <c r="F7" s="418"/>
      <c r="G7" s="418"/>
      <c r="H7" s="418"/>
      <c r="I7" s="418"/>
      <c r="J7" s="418"/>
      <c r="K7" s="418"/>
      <c r="L7" s="418"/>
      <c r="M7" s="418"/>
      <c r="N7" s="418"/>
      <c r="O7" s="418"/>
      <c r="P7" s="418"/>
      <c r="Q7" s="418"/>
      <c r="R7" s="418"/>
      <c r="S7" s="418"/>
      <c r="T7" s="143"/>
      <c r="U7" s="143"/>
      <c r="V7" s="143"/>
      <c r="W7" s="143"/>
      <c r="X7" s="143"/>
      <c r="Y7" s="143"/>
      <c r="Z7" s="143"/>
      <c r="AA7" s="143"/>
      <c r="AB7" s="143"/>
    </row>
    <row r="8" spans="1:28" s="17" customFormat="1" ht="18.75" x14ac:dyDescent="0.2">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143"/>
      <c r="U8" s="143"/>
      <c r="V8" s="143"/>
      <c r="W8" s="143"/>
      <c r="X8" s="143"/>
      <c r="Y8" s="143"/>
      <c r="Z8" s="143"/>
      <c r="AA8" s="143"/>
      <c r="AB8" s="143"/>
    </row>
    <row r="9" spans="1:28" s="17" customFormat="1" ht="18.75" x14ac:dyDescent="0.2">
      <c r="A9" s="414" t="s">
        <v>6</v>
      </c>
      <c r="B9" s="414"/>
      <c r="C9" s="414"/>
      <c r="D9" s="414"/>
      <c r="E9" s="414"/>
      <c r="F9" s="414"/>
      <c r="G9" s="414"/>
      <c r="H9" s="414"/>
      <c r="I9" s="414"/>
      <c r="J9" s="414"/>
      <c r="K9" s="414"/>
      <c r="L9" s="414"/>
      <c r="M9" s="414"/>
      <c r="N9" s="414"/>
      <c r="O9" s="414"/>
      <c r="P9" s="414"/>
      <c r="Q9" s="414"/>
      <c r="R9" s="414"/>
      <c r="S9" s="414"/>
      <c r="T9" s="143"/>
      <c r="U9" s="143"/>
      <c r="V9" s="143"/>
      <c r="W9" s="143"/>
      <c r="X9" s="143"/>
      <c r="Y9" s="143"/>
      <c r="Z9" s="143"/>
      <c r="AA9" s="143"/>
      <c r="AB9" s="143"/>
    </row>
    <row r="10" spans="1:28" s="17" customFormat="1" ht="18.75" x14ac:dyDescent="0.2">
      <c r="A10" s="418"/>
      <c r="B10" s="418"/>
      <c r="C10" s="418"/>
      <c r="D10" s="418"/>
      <c r="E10" s="418"/>
      <c r="F10" s="418"/>
      <c r="G10" s="418"/>
      <c r="H10" s="418"/>
      <c r="I10" s="418"/>
      <c r="J10" s="418"/>
      <c r="K10" s="418"/>
      <c r="L10" s="418"/>
      <c r="M10" s="418"/>
      <c r="N10" s="418"/>
      <c r="O10" s="418"/>
      <c r="P10" s="418"/>
      <c r="Q10" s="418"/>
      <c r="R10" s="418"/>
      <c r="S10" s="418"/>
      <c r="T10" s="143"/>
      <c r="U10" s="143"/>
      <c r="V10" s="143"/>
      <c r="W10" s="143"/>
      <c r="X10" s="143"/>
      <c r="Y10" s="143"/>
      <c r="Z10" s="143"/>
      <c r="AA10" s="143"/>
      <c r="AB10" s="143"/>
    </row>
    <row r="11" spans="1:28" s="17" customFormat="1" ht="18.75" x14ac:dyDescent="0.2">
      <c r="A11" s="413" t="str">
        <f>'1. паспорт местоположение'!A12:C12</f>
        <v>J 19-02</v>
      </c>
      <c r="B11" s="413"/>
      <c r="C11" s="413"/>
      <c r="D11" s="413"/>
      <c r="E11" s="413"/>
      <c r="F11" s="413"/>
      <c r="G11" s="413"/>
      <c r="H11" s="413"/>
      <c r="I11" s="413"/>
      <c r="J11" s="413"/>
      <c r="K11" s="413"/>
      <c r="L11" s="413"/>
      <c r="M11" s="413"/>
      <c r="N11" s="413"/>
      <c r="O11" s="413"/>
      <c r="P11" s="413"/>
      <c r="Q11" s="413"/>
      <c r="R11" s="413"/>
      <c r="S11" s="413"/>
      <c r="T11" s="143"/>
      <c r="U11" s="143"/>
      <c r="V11" s="143"/>
      <c r="W11" s="143"/>
      <c r="X11" s="143"/>
      <c r="Y11" s="143"/>
      <c r="Z11" s="143"/>
      <c r="AA11" s="143"/>
      <c r="AB11" s="143"/>
    </row>
    <row r="12" spans="1:28" s="17"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143"/>
      <c r="U12" s="143"/>
      <c r="V12" s="143"/>
      <c r="W12" s="143"/>
      <c r="X12" s="143"/>
      <c r="Y12" s="143"/>
      <c r="Z12" s="143"/>
      <c r="AA12" s="143"/>
      <c r="AB12" s="143"/>
    </row>
    <row r="13" spans="1:28" s="141"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44"/>
      <c r="U13" s="144"/>
      <c r="V13" s="144"/>
      <c r="W13" s="144"/>
      <c r="X13" s="144"/>
      <c r="Y13" s="144"/>
      <c r="Z13" s="144"/>
      <c r="AA13" s="144"/>
      <c r="AB13" s="144"/>
    </row>
    <row r="14" spans="1:28" s="142" customFormat="1" ht="15.75" x14ac:dyDescent="0.2">
      <c r="A14"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3"/>
      <c r="C14" s="413"/>
      <c r="D14" s="413"/>
      <c r="E14" s="413"/>
      <c r="F14" s="413"/>
      <c r="G14" s="413"/>
      <c r="H14" s="413"/>
      <c r="I14" s="413"/>
      <c r="J14" s="413"/>
      <c r="K14" s="413"/>
      <c r="L14" s="413"/>
      <c r="M14" s="413"/>
      <c r="N14" s="413"/>
      <c r="O14" s="413"/>
      <c r="P14" s="413"/>
      <c r="Q14" s="413"/>
      <c r="R14" s="413"/>
      <c r="S14" s="413"/>
      <c r="T14" s="145"/>
      <c r="U14" s="145"/>
      <c r="V14" s="145"/>
      <c r="W14" s="145"/>
      <c r="X14" s="145"/>
      <c r="Y14" s="145"/>
      <c r="Z14" s="145"/>
      <c r="AA14" s="145"/>
      <c r="AB14" s="145"/>
    </row>
    <row r="15" spans="1:28" s="142" customFormat="1" ht="15" customHeight="1" x14ac:dyDescent="0.2">
      <c r="A15" s="414" t="s">
        <v>4</v>
      </c>
      <c r="B15" s="414"/>
      <c r="C15" s="414"/>
      <c r="D15" s="414"/>
      <c r="E15" s="414"/>
      <c r="F15" s="414"/>
      <c r="G15" s="414"/>
      <c r="H15" s="414"/>
      <c r="I15" s="414"/>
      <c r="J15" s="414"/>
      <c r="K15" s="414"/>
      <c r="L15" s="414"/>
      <c r="M15" s="414"/>
      <c r="N15" s="414"/>
      <c r="O15" s="414"/>
      <c r="P15" s="414"/>
      <c r="Q15" s="414"/>
      <c r="R15" s="414"/>
      <c r="S15" s="414"/>
      <c r="T15" s="146"/>
      <c r="U15" s="146"/>
      <c r="V15" s="146"/>
      <c r="W15" s="146"/>
      <c r="X15" s="146"/>
      <c r="Y15" s="146"/>
      <c r="Z15" s="146"/>
      <c r="AA15" s="146"/>
      <c r="AB15" s="146"/>
    </row>
    <row r="16" spans="1:28" s="14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147"/>
      <c r="U16" s="147"/>
      <c r="V16" s="147"/>
      <c r="W16" s="147"/>
      <c r="X16" s="147"/>
      <c r="Y16" s="147"/>
    </row>
    <row r="17" spans="1:28" s="142" customFormat="1" ht="45.75" customHeight="1" x14ac:dyDescent="0.2">
      <c r="A17" s="416" t="s">
        <v>381</v>
      </c>
      <c r="B17" s="416"/>
      <c r="C17" s="416"/>
      <c r="D17" s="416"/>
      <c r="E17" s="416"/>
      <c r="F17" s="416"/>
      <c r="G17" s="416"/>
      <c r="H17" s="416"/>
      <c r="I17" s="416"/>
      <c r="J17" s="416"/>
      <c r="K17" s="416"/>
      <c r="L17" s="416"/>
      <c r="M17" s="416"/>
      <c r="N17" s="416"/>
      <c r="O17" s="416"/>
      <c r="P17" s="416"/>
      <c r="Q17" s="416"/>
      <c r="R17" s="416"/>
      <c r="S17" s="416"/>
      <c r="T17" s="148"/>
      <c r="U17" s="148"/>
      <c r="V17" s="148"/>
      <c r="W17" s="148"/>
      <c r="X17" s="148"/>
      <c r="Y17" s="148"/>
      <c r="Z17" s="148"/>
      <c r="AA17" s="148"/>
      <c r="AB17" s="148"/>
    </row>
    <row r="18" spans="1:28" s="14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147"/>
      <c r="U18" s="147"/>
      <c r="V18" s="147"/>
      <c r="W18" s="147"/>
      <c r="X18" s="147"/>
      <c r="Y18" s="147"/>
    </row>
    <row r="19" spans="1:28" s="142" customFormat="1" ht="54" customHeight="1" x14ac:dyDescent="0.2">
      <c r="A19" s="420" t="s">
        <v>3</v>
      </c>
      <c r="B19" s="420" t="s">
        <v>94</v>
      </c>
      <c r="C19" s="421" t="s">
        <v>303</v>
      </c>
      <c r="D19" s="420" t="s">
        <v>302</v>
      </c>
      <c r="E19" s="420" t="s">
        <v>93</v>
      </c>
      <c r="F19" s="420" t="s">
        <v>92</v>
      </c>
      <c r="G19" s="420" t="s">
        <v>298</v>
      </c>
      <c r="H19" s="420" t="s">
        <v>91</v>
      </c>
      <c r="I19" s="420" t="s">
        <v>90</v>
      </c>
      <c r="J19" s="420" t="s">
        <v>89</v>
      </c>
      <c r="K19" s="420" t="s">
        <v>88</v>
      </c>
      <c r="L19" s="420" t="s">
        <v>87</v>
      </c>
      <c r="M19" s="420" t="s">
        <v>86</v>
      </c>
      <c r="N19" s="420" t="s">
        <v>85</v>
      </c>
      <c r="O19" s="420" t="s">
        <v>84</v>
      </c>
      <c r="P19" s="420" t="s">
        <v>83</v>
      </c>
      <c r="Q19" s="420" t="s">
        <v>301</v>
      </c>
      <c r="R19" s="420"/>
      <c r="S19" s="423" t="s">
        <v>603</v>
      </c>
      <c r="T19" s="147"/>
      <c r="U19" s="147"/>
      <c r="V19" s="147"/>
      <c r="W19" s="147"/>
      <c r="X19" s="147"/>
      <c r="Y19" s="147"/>
    </row>
    <row r="20" spans="1:28" s="142" customFormat="1" ht="180.75" customHeight="1" x14ac:dyDescent="0.2">
      <c r="A20" s="420"/>
      <c r="B20" s="420"/>
      <c r="C20" s="422"/>
      <c r="D20" s="420"/>
      <c r="E20" s="420"/>
      <c r="F20" s="420"/>
      <c r="G20" s="420"/>
      <c r="H20" s="420"/>
      <c r="I20" s="420"/>
      <c r="J20" s="420"/>
      <c r="K20" s="420"/>
      <c r="L20" s="420"/>
      <c r="M20" s="420"/>
      <c r="N20" s="420"/>
      <c r="O20" s="420"/>
      <c r="P20" s="420"/>
      <c r="Q20" s="149" t="s">
        <v>299</v>
      </c>
      <c r="R20" s="150" t="s">
        <v>300</v>
      </c>
      <c r="S20" s="423"/>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37">
        <v>1</v>
      </c>
      <c r="B22" s="235" t="s">
        <v>601</v>
      </c>
      <c r="C22" s="235" t="s">
        <v>542</v>
      </c>
      <c r="D22" s="235" t="s">
        <v>602</v>
      </c>
      <c r="E22" s="235" t="s">
        <v>593</v>
      </c>
      <c r="F22" s="235" t="s">
        <v>594</v>
      </c>
      <c r="G22" s="235" t="s">
        <v>586</v>
      </c>
      <c r="H22" s="235">
        <v>8.8000000000000007</v>
      </c>
      <c r="I22" s="235">
        <v>0</v>
      </c>
      <c r="J22" s="235">
        <v>8.8000000000000007</v>
      </c>
      <c r="K22" s="235">
        <v>10</v>
      </c>
      <c r="L22" s="235" t="s">
        <v>568</v>
      </c>
      <c r="M22" s="235">
        <v>8.8000000000000007</v>
      </c>
      <c r="N22" s="235">
        <v>2</v>
      </c>
      <c r="O22" s="235">
        <v>0</v>
      </c>
      <c r="P22" s="235">
        <v>0</v>
      </c>
      <c r="Q22" s="245" t="s">
        <v>595</v>
      </c>
      <c r="R22" s="236"/>
      <c r="S22" s="247">
        <f>278.559639*1.2</f>
        <v>334.27156680000002</v>
      </c>
      <c r="T22" s="151"/>
      <c r="U22" s="151"/>
      <c r="V22" s="151"/>
      <c r="W22" s="151"/>
      <c r="X22" s="151"/>
      <c r="Y22" s="151"/>
      <c r="Z22" s="152"/>
      <c r="AA22" s="152"/>
      <c r="AB22" s="152"/>
    </row>
    <row r="23" spans="1:28"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06" t="str">
        <f>'1. паспорт местоположение'!A5:C5</f>
        <v>Год раскрытия информации: 2021 год</v>
      </c>
      <c r="B6" s="406"/>
      <c r="C6" s="406"/>
      <c r="D6" s="406"/>
      <c r="E6" s="406"/>
      <c r="F6" s="406"/>
      <c r="G6" s="406"/>
      <c r="H6" s="406"/>
      <c r="I6" s="406"/>
      <c r="J6" s="406"/>
      <c r="K6" s="406"/>
      <c r="L6" s="406"/>
      <c r="M6" s="406"/>
      <c r="N6" s="406"/>
      <c r="O6" s="406"/>
      <c r="P6" s="406"/>
      <c r="Q6" s="406"/>
      <c r="R6" s="406"/>
      <c r="S6" s="406"/>
      <c r="T6" s="406"/>
    </row>
    <row r="7" spans="1:20" s="17" customFormat="1" x14ac:dyDescent="0.2">
      <c r="A7" s="140"/>
      <c r="H7" s="139"/>
    </row>
    <row r="8" spans="1:20" s="17"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7"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7" customFormat="1" ht="18.75" customHeight="1" x14ac:dyDescent="0.2">
      <c r="A10" s="413" t="str">
        <f>'1. паспорт местоположение'!A9:C9</f>
        <v xml:space="preserve">Акционерное общество "Западная энергетическая компания" </v>
      </c>
      <c r="B10" s="413"/>
      <c r="C10" s="413"/>
      <c r="D10" s="413"/>
      <c r="E10" s="413"/>
      <c r="F10" s="413"/>
      <c r="G10" s="413"/>
      <c r="H10" s="413"/>
      <c r="I10" s="413"/>
      <c r="J10" s="413"/>
      <c r="K10" s="413"/>
      <c r="L10" s="413"/>
      <c r="M10" s="413"/>
      <c r="N10" s="413"/>
      <c r="O10" s="413"/>
      <c r="P10" s="413"/>
      <c r="Q10" s="413"/>
      <c r="R10" s="413"/>
      <c r="S10" s="413"/>
      <c r="T10" s="413"/>
    </row>
    <row r="11" spans="1:20" s="17" customFormat="1" ht="18.75" customHeight="1" x14ac:dyDescent="0.2">
      <c r="A11" s="414" t="s">
        <v>6</v>
      </c>
      <c r="B11" s="414"/>
      <c r="C11" s="414"/>
      <c r="D11" s="414"/>
      <c r="E11" s="414"/>
      <c r="F11" s="414"/>
      <c r="G11" s="414"/>
      <c r="H11" s="414"/>
      <c r="I11" s="414"/>
      <c r="J11" s="414"/>
      <c r="K11" s="414"/>
      <c r="L11" s="414"/>
      <c r="M11" s="414"/>
      <c r="N11" s="414"/>
      <c r="O11" s="414"/>
      <c r="P11" s="414"/>
      <c r="Q11" s="414"/>
      <c r="R11" s="414"/>
      <c r="S11" s="414"/>
      <c r="T11" s="414"/>
    </row>
    <row r="12" spans="1:20" s="17"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7" customFormat="1" ht="18.75" customHeight="1" x14ac:dyDescent="0.2">
      <c r="A13" s="413" t="str">
        <f>'1. паспорт местоположение'!A12:C12</f>
        <v>J 19-02</v>
      </c>
      <c r="B13" s="413"/>
      <c r="C13" s="413"/>
      <c r="D13" s="413"/>
      <c r="E13" s="413"/>
      <c r="F13" s="413"/>
      <c r="G13" s="413"/>
      <c r="H13" s="413"/>
      <c r="I13" s="413"/>
      <c r="J13" s="413"/>
      <c r="K13" s="413"/>
      <c r="L13" s="413"/>
      <c r="M13" s="413"/>
      <c r="N13" s="413"/>
      <c r="O13" s="413"/>
      <c r="P13" s="413"/>
      <c r="Q13" s="413"/>
      <c r="R13" s="413"/>
      <c r="S13" s="413"/>
      <c r="T13" s="413"/>
    </row>
    <row r="14" spans="1:20" s="17" customFormat="1" ht="18.75" customHeight="1" x14ac:dyDescent="0.2">
      <c r="A14" s="414" t="s">
        <v>5</v>
      </c>
      <c r="B14" s="414"/>
      <c r="C14" s="414"/>
      <c r="D14" s="414"/>
      <c r="E14" s="414"/>
      <c r="F14" s="414"/>
      <c r="G14" s="414"/>
      <c r="H14" s="414"/>
      <c r="I14" s="414"/>
      <c r="J14" s="414"/>
      <c r="K14" s="414"/>
      <c r="L14" s="414"/>
      <c r="M14" s="414"/>
      <c r="N14" s="414"/>
      <c r="O14" s="414"/>
      <c r="P14" s="414"/>
      <c r="Q14" s="414"/>
      <c r="R14" s="414"/>
      <c r="S14" s="414"/>
      <c r="T14" s="414"/>
    </row>
    <row r="15" spans="1:20" s="141"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142" customFormat="1" x14ac:dyDescent="0.2">
      <c r="A16"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13"/>
      <c r="C16" s="413"/>
      <c r="D16" s="413"/>
      <c r="E16" s="413"/>
      <c r="F16" s="413"/>
      <c r="G16" s="413"/>
      <c r="H16" s="413"/>
      <c r="I16" s="413"/>
      <c r="J16" s="413"/>
      <c r="K16" s="413"/>
      <c r="L16" s="413"/>
      <c r="M16" s="413"/>
      <c r="N16" s="413"/>
      <c r="O16" s="413"/>
      <c r="P16" s="413"/>
      <c r="Q16" s="413"/>
      <c r="R16" s="413"/>
      <c r="S16" s="413"/>
      <c r="T16" s="413"/>
    </row>
    <row r="17" spans="1:20" s="142" customFormat="1" ht="15" customHeight="1" x14ac:dyDescent="0.2">
      <c r="A17" s="414" t="s">
        <v>4</v>
      </c>
      <c r="B17" s="414"/>
      <c r="C17" s="414"/>
      <c r="D17" s="414"/>
      <c r="E17" s="414"/>
      <c r="F17" s="414"/>
      <c r="G17" s="414"/>
      <c r="H17" s="414"/>
      <c r="I17" s="414"/>
      <c r="J17" s="414"/>
      <c r="K17" s="414"/>
      <c r="L17" s="414"/>
      <c r="M17" s="414"/>
      <c r="N17" s="414"/>
      <c r="O17" s="414"/>
      <c r="P17" s="414"/>
      <c r="Q17" s="414"/>
      <c r="R17" s="414"/>
      <c r="S17" s="414"/>
      <c r="T17" s="414"/>
    </row>
    <row r="18" spans="1:20" s="14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20" s="142" customFormat="1" ht="15" customHeight="1" x14ac:dyDescent="0.2">
      <c r="A19" s="427" t="s">
        <v>386</v>
      </c>
      <c r="B19" s="427"/>
      <c r="C19" s="427"/>
      <c r="D19" s="427"/>
      <c r="E19" s="427"/>
      <c r="F19" s="427"/>
      <c r="G19" s="427"/>
      <c r="H19" s="427"/>
      <c r="I19" s="427"/>
      <c r="J19" s="427"/>
      <c r="K19" s="427"/>
      <c r="L19" s="427"/>
      <c r="M19" s="427"/>
      <c r="N19" s="427"/>
      <c r="O19" s="427"/>
      <c r="P19" s="427"/>
      <c r="Q19" s="427"/>
      <c r="R19" s="427"/>
      <c r="S19" s="427"/>
      <c r="T19" s="427"/>
    </row>
    <row r="20" spans="1:20" s="41"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25">
      <c r="A21" s="429" t="s">
        <v>3</v>
      </c>
      <c r="B21" s="432" t="s">
        <v>200</v>
      </c>
      <c r="C21" s="433"/>
      <c r="D21" s="436" t="s">
        <v>116</v>
      </c>
      <c r="E21" s="432" t="s">
        <v>414</v>
      </c>
      <c r="F21" s="433"/>
      <c r="G21" s="432" t="s">
        <v>239</v>
      </c>
      <c r="H21" s="433"/>
      <c r="I21" s="432" t="s">
        <v>115</v>
      </c>
      <c r="J21" s="433"/>
      <c r="K21" s="436" t="s">
        <v>114</v>
      </c>
      <c r="L21" s="432" t="s">
        <v>113</v>
      </c>
      <c r="M21" s="433"/>
      <c r="N21" s="432" t="s">
        <v>445</v>
      </c>
      <c r="O21" s="433"/>
      <c r="P21" s="436" t="s">
        <v>112</v>
      </c>
      <c r="Q21" s="424" t="s">
        <v>111</v>
      </c>
      <c r="R21" s="425"/>
      <c r="S21" s="424" t="s">
        <v>110</v>
      </c>
      <c r="T21" s="426"/>
    </row>
    <row r="22" spans="1:20" ht="204.75" customHeight="1" x14ac:dyDescent="0.25">
      <c r="A22" s="430"/>
      <c r="B22" s="434"/>
      <c r="C22" s="435"/>
      <c r="D22" s="439"/>
      <c r="E22" s="434"/>
      <c r="F22" s="435"/>
      <c r="G22" s="434"/>
      <c r="H22" s="435"/>
      <c r="I22" s="434"/>
      <c r="J22" s="435"/>
      <c r="K22" s="437"/>
      <c r="L22" s="434"/>
      <c r="M22" s="435"/>
      <c r="N22" s="434"/>
      <c r="O22" s="435"/>
      <c r="P22" s="437"/>
      <c r="Q22" s="72" t="s">
        <v>109</v>
      </c>
      <c r="R22" s="72" t="s">
        <v>385</v>
      </c>
      <c r="S22" s="72" t="s">
        <v>108</v>
      </c>
      <c r="T22" s="72" t="s">
        <v>107</v>
      </c>
    </row>
    <row r="23" spans="1:20" ht="51.75" customHeight="1" x14ac:dyDescent="0.25">
      <c r="A23" s="431"/>
      <c r="B23" s="107" t="s">
        <v>105</v>
      </c>
      <c r="C23" s="107" t="s">
        <v>106</v>
      </c>
      <c r="D23" s="437"/>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6">
        <v>1</v>
      </c>
      <c r="B25" s="440" t="s">
        <v>297</v>
      </c>
      <c r="C25" s="440" t="s">
        <v>583</v>
      </c>
      <c r="D25" s="116" t="s">
        <v>438</v>
      </c>
      <c r="E25" s="116" t="s">
        <v>297</v>
      </c>
      <c r="F25" s="116" t="s">
        <v>559</v>
      </c>
      <c r="G25" s="116" t="s">
        <v>297</v>
      </c>
      <c r="H25" s="116" t="s">
        <v>560</v>
      </c>
      <c r="I25" s="116" t="s">
        <v>297</v>
      </c>
      <c r="J25" s="117" t="s">
        <v>588</v>
      </c>
      <c r="K25" s="116" t="s">
        <v>297</v>
      </c>
      <c r="L25" s="116" t="s">
        <v>297</v>
      </c>
      <c r="M25" s="116">
        <v>110</v>
      </c>
      <c r="N25" s="116" t="s">
        <v>297</v>
      </c>
      <c r="O25" s="116">
        <v>32</v>
      </c>
      <c r="P25" s="116" t="s">
        <v>297</v>
      </c>
      <c r="Q25" s="116" t="s">
        <v>297</v>
      </c>
      <c r="R25" s="116" t="s">
        <v>297</v>
      </c>
      <c r="S25" s="116" t="s">
        <v>297</v>
      </c>
      <c r="T25" s="116" t="s">
        <v>297</v>
      </c>
    </row>
    <row r="26" spans="1:20" s="41" customFormat="1" ht="63" x14ac:dyDescent="0.25">
      <c r="A26" s="116"/>
      <c r="B26" s="441"/>
      <c r="C26" s="441"/>
      <c r="D26" s="116" t="s">
        <v>384</v>
      </c>
      <c r="E26" s="116" t="s">
        <v>297</v>
      </c>
      <c r="F26" s="116" t="s">
        <v>554</v>
      </c>
      <c r="G26" s="116" t="s">
        <v>297</v>
      </c>
      <c r="H26" s="116" t="s">
        <v>561</v>
      </c>
      <c r="I26" s="116" t="s">
        <v>297</v>
      </c>
      <c r="J26" s="117" t="s">
        <v>588</v>
      </c>
      <c r="K26" s="116" t="s">
        <v>297</v>
      </c>
      <c r="L26" s="116" t="s">
        <v>297</v>
      </c>
      <c r="M26" s="116">
        <v>110</v>
      </c>
      <c r="N26" s="116" t="s">
        <v>297</v>
      </c>
      <c r="O26" s="116" t="s">
        <v>297</v>
      </c>
      <c r="P26" s="116" t="s">
        <v>297</v>
      </c>
      <c r="Q26" s="116" t="s">
        <v>297</v>
      </c>
      <c r="R26" s="116" t="s">
        <v>297</v>
      </c>
      <c r="S26" s="116" t="s">
        <v>297</v>
      </c>
      <c r="T26" s="116" t="s">
        <v>297</v>
      </c>
    </row>
    <row r="27" spans="1:20" s="41" customFormat="1" ht="31.5" x14ac:dyDescent="0.25">
      <c r="A27" s="116"/>
      <c r="B27" s="441"/>
      <c r="C27" s="441"/>
      <c r="D27" s="116" t="s">
        <v>555</v>
      </c>
      <c r="E27" s="116" t="s">
        <v>297</v>
      </c>
      <c r="F27" s="116" t="s">
        <v>556</v>
      </c>
      <c r="G27" s="116" t="s">
        <v>297</v>
      </c>
      <c r="H27" s="116" t="s">
        <v>562</v>
      </c>
      <c r="I27" s="116" t="s">
        <v>297</v>
      </c>
      <c r="J27" s="117" t="s">
        <v>588</v>
      </c>
      <c r="K27" s="116" t="s">
        <v>297</v>
      </c>
      <c r="L27" s="116" t="s">
        <v>297</v>
      </c>
      <c r="M27" s="116">
        <v>10</v>
      </c>
      <c r="N27" s="116" t="s">
        <v>297</v>
      </c>
      <c r="O27" s="116">
        <f>0.84*4</f>
        <v>3.36</v>
      </c>
      <c r="P27" s="116" t="s">
        <v>297</v>
      </c>
      <c r="Q27" s="116" t="s">
        <v>297</v>
      </c>
      <c r="R27" s="116" t="s">
        <v>297</v>
      </c>
      <c r="S27" s="116" t="s">
        <v>297</v>
      </c>
      <c r="T27" s="116" t="s">
        <v>297</v>
      </c>
    </row>
    <row r="28" spans="1:20" s="41" customFormat="1" ht="31.5" x14ac:dyDescent="0.25">
      <c r="A28" s="116"/>
      <c r="B28" s="441"/>
      <c r="C28" s="441"/>
      <c r="D28" s="116" t="s">
        <v>564</v>
      </c>
      <c r="E28" s="116" t="s">
        <v>297</v>
      </c>
      <c r="F28" s="116"/>
      <c r="G28" s="116"/>
      <c r="H28" s="116" t="s">
        <v>563</v>
      </c>
      <c r="I28" s="116"/>
      <c r="J28" s="117" t="s">
        <v>588</v>
      </c>
      <c r="K28" s="116"/>
      <c r="L28" s="116"/>
      <c r="M28" s="116">
        <v>10</v>
      </c>
      <c r="N28" s="116"/>
      <c r="O28" s="116">
        <v>0.2</v>
      </c>
      <c r="P28" s="116" t="s">
        <v>297</v>
      </c>
      <c r="Q28" s="116" t="s">
        <v>297</v>
      </c>
      <c r="R28" s="116" t="s">
        <v>297</v>
      </c>
      <c r="S28" s="116" t="s">
        <v>297</v>
      </c>
      <c r="T28" s="116" t="s">
        <v>297</v>
      </c>
    </row>
    <row r="29" spans="1:20" s="41" customFormat="1" ht="47.25" x14ac:dyDescent="0.25">
      <c r="A29" s="116">
        <v>2</v>
      </c>
      <c r="B29" s="442"/>
      <c r="C29" s="442"/>
      <c r="D29" s="116" t="s">
        <v>584</v>
      </c>
      <c r="E29" s="116" t="s">
        <v>297</v>
      </c>
      <c r="F29" s="116" t="s">
        <v>585</v>
      </c>
      <c r="G29" s="116" t="s">
        <v>297</v>
      </c>
      <c r="H29" s="116" t="s">
        <v>587</v>
      </c>
      <c r="I29" s="116" t="s">
        <v>297</v>
      </c>
      <c r="J29" s="117" t="s">
        <v>588</v>
      </c>
      <c r="K29" s="116" t="s">
        <v>297</v>
      </c>
      <c r="L29" s="116" t="s">
        <v>297</v>
      </c>
      <c r="M29" s="116">
        <v>10</v>
      </c>
      <c r="N29" s="116" t="s">
        <v>297</v>
      </c>
      <c r="O29" s="116" t="s">
        <v>297</v>
      </c>
      <c r="P29" s="116" t="s">
        <v>297</v>
      </c>
      <c r="Q29" s="116" t="s">
        <v>297</v>
      </c>
      <c r="R29" s="116" t="s">
        <v>297</v>
      </c>
      <c r="S29" s="116" t="s">
        <v>297</v>
      </c>
      <c r="T29" s="116"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38" t="s">
        <v>420</v>
      </c>
      <c r="C32" s="438"/>
      <c r="D32" s="438"/>
      <c r="E32" s="438"/>
      <c r="F32" s="438"/>
      <c r="G32" s="438"/>
      <c r="H32" s="438"/>
      <c r="I32" s="438"/>
      <c r="J32" s="438"/>
      <c r="K32" s="438"/>
      <c r="L32" s="438"/>
      <c r="M32" s="438"/>
      <c r="N32" s="438"/>
      <c r="O32" s="438"/>
      <c r="P32" s="438"/>
      <c r="Q32" s="438"/>
      <c r="R32" s="43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5" sqref="E15:Y1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3" t="str">
        <f>'1. паспорт местоположение'!A9</f>
        <v xml:space="preserve">Акционерное общество "Западная энергетическая компания" </v>
      </c>
      <c r="F9" s="413"/>
      <c r="G9" s="413"/>
      <c r="H9" s="413"/>
      <c r="I9" s="413"/>
      <c r="J9" s="413"/>
      <c r="K9" s="413"/>
      <c r="L9" s="413"/>
      <c r="M9" s="413"/>
      <c r="N9" s="413"/>
      <c r="O9" s="413"/>
      <c r="P9" s="413"/>
      <c r="Q9" s="413"/>
      <c r="R9" s="413"/>
      <c r="S9" s="413"/>
      <c r="T9" s="413"/>
      <c r="U9" s="413"/>
      <c r="V9" s="413"/>
      <c r="W9" s="413"/>
      <c r="X9" s="413"/>
      <c r="Y9" s="413"/>
    </row>
    <row r="10" spans="1:27" s="17" customFormat="1" ht="18.75" customHeigh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3" t="str">
        <f>'1. паспорт местоположение'!A12</f>
        <v>J 19-02</v>
      </c>
      <c r="F12" s="413"/>
      <c r="G12" s="413"/>
      <c r="H12" s="413"/>
      <c r="I12" s="413"/>
      <c r="J12" s="413"/>
      <c r="K12" s="413"/>
      <c r="L12" s="413"/>
      <c r="M12" s="413"/>
      <c r="N12" s="413"/>
      <c r="O12" s="413"/>
      <c r="P12" s="413"/>
      <c r="Q12" s="413"/>
      <c r="R12" s="413"/>
      <c r="S12" s="413"/>
      <c r="T12" s="413"/>
      <c r="U12" s="413"/>
      <c r="V12" s="413"/>
      <c r="W12" s="413"/>
      <c r="X12" s="413"/>
      <c r="Y12" s="413"/>
    </row>
    <row r="13" spans="1:27" s="17" customFormat="1" ht="18.75" customHeigh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3"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13"/>
      <c r="G15" s="413"/>
      <c r="H15" s="413"/>
      <c r="I15" s="413"/>
      <c r="J15" s="413"/>
      <c r="K15" s="413"/>
      <c r="L15" s="413"/>
      <c r="M15" s="413"/>
      <c r="N15" s="413"/>
      <c r="O15" s="413"/>
      <c r="P15" s="413"/>
      <c r="Q15" s="413"/>
      <c r="R15" s="413"/>
      <c r="S15" s="413"/>
      <c r="T15" s="413"/>
      <c r="U15" s="413"/>
      <c r="V15" s="413"/>
      <c r="W15" s="413"/>
      <c r="X15" s="413"/>
      <c r="Y15" s="413"/>
    </row>
    <row r="16" spans="1:27" s="142" customFormat="1" ht="15" customHeigh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388</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41" customFormat="1" ht="21" customHeight="1" x14ac:dyDescent="0.25"/>
    <row r="21" spans="1:27" ht="15.75" customHeight="1" x14ac:dyDescent="0.25">
      <c r="A21" s="443" t="s">
        <v>3</v>
      </c>
      <c r="B21" s="445" t="s">
        <v>395</v>
      </c>
      <c r="C21" s="446"/>
      <c r="D21" s="445" t="s">
        <v>397</v>
      </c>
      <c r="E21" s="446"/>
      <c r="F21" s="424" t="s">
        <v>88</v>
      </c>
      <c r="G21" s="426"/>
      <c r="H21" s="426"/>
      <c r="I21" s="425"/>
      <c r="J21" s="443" t="s">
        <v>398</v>
      </c>
      <c r="K21" s="445" t="s">
        <v>399</v>
      </c>
      <c r="L21" s="446"/>
      <c r="M21" s="445" t="s">
        <v>400</v>
      </c>
      <c r="N21" s="446"/>
      <c r="O21" s="445" t="s">
        <v>387</v>
      </c>
      <c r="P21" s="446"/>
      <c r="Q21" s="445" t="s">
        <v>121</v>
      </c>
      <c r="R21" s="446"/>
      <c r="S21" s="443" t="s">
        <v>120</v>
      </c>
      <c r="T21" s="443" t="s">
        <v>401</v>
      </c>
      <c r="U21" s="443" t="s">
        <v>396</v>
      </c>
      <c r="V21" s="445" t="s">
        <v>119</v>
      </c>
      <c r="W21" s="446"/>
      <c r="X21" s="424" t="s">
        <v>111</v>
      </c>
      <c r="Y21" s="426"/>
      <c r="Z21" s="424" t="s">
        <v>110</v>
      </c>
      <c r="AA21" s="426"/>
    </row>
    <row r="22" spans="1:27" ht="216" customHeight="1" x14ac:dyDescent="0.25">
      <c r="A22" s="449"/>
      <c r="B22" s="447"/>
      <c r="C22" s="448"/>
      <c r="D22" s="447"/>
      <c r="E22" s="448"/>
      <c r="F22" s="424" t="s">
        <v>118</v>
      </c>
      <c r="G22" s="425"/>
      <c r="H22" s="424" t="s">
        <v>117</v>
      </c>
      <c r="I22" s="425"/>
      <c r="J22" s="444"/>
      <c r="K22" s="447"/>
      <c r="L22" s="448"/>
      <c r="M22" s="447"/>
      <c r="N22" s="448"/>
      <c r="O22" s="447"/>
      <c r="P22" s="448"/>
      <c r="Q22" s="447"/>
      <c r="R22" s="448"/>
      <c r="S22" s="444"/>
      <c r="T22" s="444"/>
      <c r="U22" s="444"/>
      <c r="V22" s="447"/>
      <c r="W22" s="448"/>
      <c r="X22" s="72" t="s">
        <v>109</v>
      </c>
      <c r="Y22" s="72" t="s">
        <v>385</v>
      </c>
      <c r="Z22" s="72" t="s">
        <v>108</v>
      </c>
      <c r="AA22" s="72" t="s">
        <v>107</v>
      </c>
    </row>
    <row r="23" spans="1:27" ht="60" customHeight="1" x14ac:dyDescent="0.25">
      <c r="A23" s="444"/>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06" t="str">
        <f>'1. паспорт местоположение'!A5:C5</f>
        <v>Год раскрытия информации: 2021 год</v>
      </c>
      <c r="B5" s="406"/>
      <c r="C5" s="40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18" t="s">
        <v>7</v>
      </c>
      <c r="B7" s="418"/>
      <c r="C7" s="418"/>
      <c r="D7" s="143"/>
      <c r="E7" s="143"/>
      <c r="F7" s="143"/>
      <c r="G7" s="143"/>
      <c r="H7" s="143"/>
      <c r="I7" s="143"/>
      <c r="J7" s="143"/>
      <c r="K7" s="143"/>
      <c r="L7" s="143"/>
      <c r="M7" s="143"/>
      <c r="N7" s="143"/>
      <c r="O7" s="143"/>
      <c r="P7" s="143"/>
      <c r="Q7" s="143"/>
      <c r="R7" s="143"/>
      <c r="S7" s="143"/>
      <c r="T7" s="143"/>
      <c r="U7" s="143"/>
    </row>
    <row r="8" spans="1:29" s="17" customFormat="1" ht="18.75" x14ac:dyDescent="0.2">
      <c r="A8" s="418"/>
      <c r="B8" s="418"/>
      <c r="C8" s="418"/>
      <c r="D8" s="158"/>
      <c r="E8" s="158"/>
      <c r="F8" s="158"/>
      <c r="G8" s="158"/>
      <c r="H8" s="143"/>
      <c r="I8" s="143"/>
      <c r="J8" s="143"/>
      <c r="K8" s="143"/>
      <c r="L8" s="143"/>
      <c r="M8" s="143"/>
      <c r="N8" s="143"/>
      <c r="O8" s="143"/>
      <c r="P8" s="143"/>
      <c r="Q8" s="143"/>
      <c r="R8" s="143"/>
      <c r="S8" s="143"/>
      <c r="T8" s="143"/>
      <c r="U8" s="143"/>
    </row>
    <row r="9" spans="1:29" s="17" customFormat="1" ht="18.75" x14ac:dyDescent="0.2">
      <c r="A9" s="413" t="str">
        <f>'1. паспорт местоположение'!A9:C9</f>
        <v xml:space="preserve">Акционерное общество "Западная энергетическая компания" </v>
      </c>
      <c r="B9" s="413"/>
      <c r="C9" s="413"/>
      <c r="D9" s="145"/>
      <c r="E9" s="145"/>
      <c r="F9" s="145"/>
      <c r="G9" s="145"/>
      <c r="H9" s="143"/>
      <c r="I9" s="143"/>
      <c r="J9" s="143"/>
      <c r="K9" s="143"/>
      <c r="L9" s="143"/>
      <c r="M9" s="143"/>
      <c r="N9" s="143"/>
      <c r="O9" s="143"/>
      <c r="P9" s="143"/>
      <c r="Q9" s="143"/>
      <c r="R9" s="143"/>
      <c r="S9" s="143"/>
      <c r="T9" s="143"/>
      <c r="U9" s="143"/>
    </row>
    <row r="10" spans="1:29" s="17" customFormat="1" ht="18.75" x14ac:dyDescent="0.2">
      <c r="A10" s="414" t="s">
        <v>6</v>
      </c>
      <c r="B10" s="414"/>
      <c r="C10" s="414"/>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8"/>
      <c r="B11" s="418"/>
      <c r="C11" s="418"/>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3" t="str">
        <f>'1. паспорт местоположение'!A12:C12</f>
        <v>J 19-02</v>
      </c>
      <c r="B12" s="413"/>
      <c r="C12" s="413"/>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14" t="s">
        <v>5</v>
      </c>
      <c r="B13" s="414"/>
      <c r="C13" s="414"/>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19"/>
      <c r="B14" s="419"/>
      <c r="C14" s="419"/>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0"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0"/>
      <c r="C15" s="450"/>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14" t="s">
        <v>4</v>
      </c>
      <c r="B16" s="414"/>
      <c r="C16" s="414"/>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15"/>
      <c r="B17" s="415"/>
      <c r="C17" s="415"/>
      <c r="D17" s="147"/>
      <c r="E17" s="147"/>
      <c r="F17" s="147"/>
      <c r="G17" s="147"/>
      <c r="H17" s="147"/>
      <c r="I17" s="147"/>
      <c r="J17" s="147"/>
      <c r="K17" s="147"/>
      <c r="L17" s="147"/>
      <c r="M17" s="147"/>
      <c r="N17" s="147"/>
      <c r="O17" s="147"/>
      <c r="P17" s="147"/>
      <c r="Q17" s="147"/>
      <c r="R17" s="147"/>
    </row>
    <row r="18" spans="1:21" s="142" customFormat="1" ht="27.75" customHeight="1" x14ac:dyDescent="0.2">
      <c r="A18" s="416" t="s">
        <v>380</v>
      </c>
      <c r="B18" s="416"/>
      <c r="C18" s="416"/>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393</v>
      </c>
      <c r="C22" s="234" t="s">
        <v>553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589</v>
      </c>
      <c r="D23" s="156"/>
      <c r="E23" s="156"/>
      <c r="F23" s="156"/>
      <c r="G23" s="156"/>
      <c r="H23" s="156"/>
      <c r="I23" s="156"/>
      <c r="J23" s="156"/>
      <c r="K23" s="156"/>
      <c r="L23" s="156"/>
      <c r="M23" s="156"/>
      <c r="N23" s="156"/>
      <c r="O23" s="156"/>
      <c r="P23" s="156"/>
      <c r="Q23" s="156"/>
      <c r="R23" s="156"/>
      <c r="S23" s="156"/>
      <c r="T23" s="156"/>
      <c r="U23" s="156"/>
    </row>
    <row r="24" spans="1:21" ht="63" customHeight="1" x14ac:dyDescent="0.25">
      <c r="A24" s="161" t="s">
        <v>60</v>
      </c>
      <c r="B24" s="162" t="s">
        <v>412</v>
      </c>
      <c r="C24" s="33" t="s">
        <v>598</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413</v>
      </c>
      <c r="C25" s="163" t="s">
        <v>558</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437</v>
      </c>
      <c r="D26" s="156"/>
      <c r="E26" s="156"/>
      <c r="F26" s="156"/>
      <c r="G26" s="156"/>
      <c r="H26" s="156"/>
      <c r="I26" s="156"/>
      <c r="J26" s="156"/>
      <c r="K26" s="156"/>
      <c r="L26" s="156"/>
      <c r="M26" s="156"/>
      <c r="N26" s="156"/>
      <c r="O26" s="156"/>
      <c r="P26" s="156"/>
      <c r="Q26" s="156"/>
      <c r="R26" s="156"/>
      <c r="S26" s="156"/>
      <c r="T26" s="156"/>
      <c r="U26" s="156"/>
    </row>
    <row r="27" spans="1:21" ht="47.25" x14ac:dyDescent="0.25">
      <c r="A27" s="161" t="s">
        <v>56</v>
      </c>
      <c r="B27" s="162" t="s">
        <v>394</v>
      </c>
      <c r="C27" s="159" t="s">
        <v>660</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2024</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590</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43"/>
      <c r="AB6" s="143"/>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43"/>
      <c r="AB7" s="143"/>
    </row>
    <row r="8" spans="1:28" ht="15.75" x14ac:dyDescent="0.25">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5"/>
      <c r="AB8" s="145"/>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46"/>
      <c r="AB9" s="14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43"/>
      <c r="AB10" s="143"/>
    </row>
    <row r="11" spans="1:28" ht="15.75" x14ac:dyDescent="0.25">
      <c r="A11" s="413" t="str">
        <f>'1. паспорт местоположение'!A12:C12</f>
        <v>J 19-02</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5"/>
      <c r="AB11" s="145"/>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46"/>
      <c r="AB12" s="146"/>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65"/>
      <c r="AB13" s="165"/>
    </row>
    <row r="14" spans="1:28" ht="15.75" x14ac:dyDescent="0.25">
      <c r="A14"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45"/>
      <c r="AB14" s="145"/>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46"/>
      <c r="AB15" s="146"/>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6"/>
      <c r="AB16" s="166"/>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6"/>
      <c r="AB17" s="166"/>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6"/>
      <c r="AB18" s="166"/>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6"/>
      <c r="AB19" s="166"/>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7"/>
      <c r="AB20" s="167"/>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7"/>
      <c r="AB21" s="167"/>
    </row>
    <row r="22" spans="1:28" x14ac:dyDescent="0.25">
      <c r="A22" s="453" t="s">
        <v>411</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8"/>
      <c r="AB22" s="168"/>
    </row>
    <row r="23" spans="1:28" ht="32.25" customHeight="1" x14ac:dyDescent="0.25">
      <c r="A23" s="455" t="s">
        <v>295</v>
      </c>
      <c r="B23" s="456"/>
      <c r="C23" s="456"/>
      <c r="D23" s="456"/>
      <c r="E23" s="456"/>
      <c r="F23" s="456"/>
      <c r="G23" s="456"/>
      <c r="H23" s="456"/>
      <c r="I23" s="456"/>
      <c r="J23" s="456"/>
      <c r="K23" s="456"/>
      <c r="L23" s="457"/>
      <c r="M23" s="454" t="s">
        <v>296</v>
      </c>
      <c r="N23" s="454"/>
      <c r="O23" s="454"/>
      <c r="P23" s="454"/>
      <c r="Q23" s="454"/>
      <c r="R23" s="454"/>
      <c r="S23" s="454"/>
      <c r="T23" s="454"/>
      <c r="U23" s="454"/>
      <c r="V23" s="454"/>
      <c r="W23" s="454"/>
      <c r="X23" s="454"/>
      <c r="Y23" s="454"/>
      <c r="Z23" s="454"/>
    </row>
    <row r="24" spans="1:28" ht="151.5" customHeight="1" x14ac:dyDescent="0.25">
      <c r="A24" s="169" t="s">
        <v>210</v>
      </c>
      <c r="B24" s="170" t="s">
        <v>230</v>
      </c>
      <c r="C24" s="169" t="s">
        <v>293</v>
      </c>
      <c r="D24" s="169" t="s">
        <v>211</v>
      </c>
      <c r="E24" s="169" t="s">
        <v>294</v>
      </c>
      <c r="F24" s="169" t="s">
        <v>446</v>
      </c>
      <c r="G24" s="169" t="s">
        <v>447</v>
      </c>
      <c r="H24" s="169" t="s">
        <v>212</v>
      </c>
      <c r="I24" s="169" t="s">
        <v>448</v>
      </c>
      <c r="J24" s="169" t="s">
        <v>235</v>
      </c>
      <c r="K24" s="170" t="s">
        <v>229</v>
      </c>
      <c r="L24" s="170" t="s">
        <v>213</v>
      </c>
      <c r="M24" s="171" t="s">
        <v>242</v>
      </c>
      <c r="N24" s="170" t="s">
        <v>449</v>
      </c>
      <c r="O24" s="169" t="s">
        <v>450</v>
      </c>
      <c r="P24" s="169" t="s">
        <v>451</v>
      </c>
      <c r="Q24" s="169" t="s">
        <v>452</v>
      </c>
      <c r="R24" s="169" t="s">
        <v>212</v>
      </c>
      <c r="S24" s="169" t="s">
        <v>453</v>
      </c>
      <c r="T24" s="169" t="s">
        <v>454</v>
      </c>
      <c r="U24" s="169" t="s">
        <v>455</v>
      </c>
      <c r="V24" s="169" t="s">
        <v>452</v>
      </c>
      <c r="W24" s="172" t="s">
        <v>456</v>
      </c>
      <c r="X24" s="172" t="s">
        <v>457</v>
      </c>
      <c r="Y24" s="172" t="s">
        <v>458</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459</v>
      </c>
      <c r="D26" s="176" t="s">
        <v>460</v>
      </c>
      <c r="E26" s="176" t="s">
        <v>461</v>
      </c>
      <c r="F26" s="176" t="s">
        <v>462</v>
      </c>
      <c r="G26" s="176" t="s">
        <v>463</v>
      </c>
      <c r="H26" s="176" t="s">
        <v>212</v>
      </c>
      <c r="I26" s="176" t="s">
        <v>464</v>
      </c>
      <c r="J26" s="176" t="s">
        <v>465</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466</v>
      </c>
      <c r="G27" s="176" t="s">
        <v>467</v>
      </c>
      <c r="H27" s="177" t="s">
        <v>212</v>
      </c>
      <c r="I27" s="176" t="s">
        <v>468</v>
      </c>
      <c r="J27" s="176" t="s">
        <v>469</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470</v>
      </c>
      <c r="G28" s="176" t="s">
        <v>471</v>
      </c>
      <c r="H28" s="177" t="s">
        <v>212</v>
      </c>
      <c r="I28" s="176" t="s">
        <v>236</v>
      </c>
      <c r="J28" s="176" t="s">
        <v>472</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473</v>
      </c>
      <c r="G29" s="176" t="s">
        <v>474</v>
      </c>
      <c r="H29" s="177" t="s">
        <v>212</v>
      </c>
      <c r="I29" s="176" t="s">
        <v>237</v>
      </c>
      <c r="J29" s="176" t="s">
        <v>475</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476</v>
      </c>
      <c r="G30" s="176" t="s">
        <v>477</v>
      </c>
      <c r="H30" s="177" t="s">
        <v>212</v>
      </c>
      <c r="I30" s="176" t="s">
        <v>238</v>
      </c>
      <c r="J30" s="176" t="s">
        <v>478</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479</v>
      </c>
      <c r="D32" s="176" t="s">
        <v>480</v>
      </c>
      <c r="E32" s="176" t="s">
        <v>481</v>
      </c>
      <c r="F32" s="176" t="s">
        <v>482</v>
      </c>
      <c r="G32" s="176" t="s">
        <v>483</v>
      </c>
      <c r="H32" s="176" t="s">
        <v>212</v>
      </c>
      <c r="I32" s="176" t="s">
        <v>484</v>
      </c>
      <c r="J32" s="176" t="s">
        <v>485</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18" t="s">
        <v>7</v>
      </c>
      <c r="B7" s="418"/>
      <c r="C7" s="418"/>
      <c r="D7" s="418"/>
      <c r="E7" s="418"/>
      <c r="F7" s="418"/>
      <c r="G7" s="418"/>
      <c r="H7" s="418"/>
      <c r="I7" s="418"/>
      <c r="J7" s="418"/>
      <c r="K7" s="418"/>
      <c r="L7" s="418"/>
      <c r="M7" s="418"/>
      <c r="N7" s="418"/>
      <c r="O7" s="418"/>
      <c r="P7" s="143"/>
      <c r="Q7" s="143"/>
      <c r="R7" s="143"/>
      <c r="S7" s="143"/>
      <c r="T7" s="143"/>
      <c r="U7" s="143"/>
      <c r="V7" s="143"/>
      <c r="W7" s="143"/>
      <c r="X7" s="143"/>
      <c r="Y7" s="143"/>
      <c r="Z7" s="143"/>
    </row>
    <row r="8" spans="1:28" s="17" customFormat="1" ht="18.75" x14ac:dyDescent="0.2">
      <c r="A8" s="418"/>
      <c r="B8" s="418"/>
      <c r="C8" s="418"/>
      <c r="D8" s="418"/>
      <c r="E8" s="418"/>
      <c r="F8" s="418"/>
      <c r="G8" s="418"/>
      <c r="H8" s="418"/>
      <c r="I8" s="418"/>
      <c r="J8" s="418"/>
      <c r="K8" s="418"/>
      <c r="L8" s="418"/>
      <c r="M8" s="418"/>
      <c r="N8" s="418"/>
      <c r="O8" s="418"/>
      <c r="P8" s="143"/>
      <c r="Q8" s="143"/>
      <c r="R8" s="143"/>
      <c r="S8" s="143"/>
      <c r="T8" s="143"/>
      <c r="U8" s="143"/>
      <c r="V8" s="143"/>
      <c r="W8" s="143"/>
      <c r="X8" s="143"/>
      <c r="Y8" s="143"/>
      <c r="Z8" s="143"/>
    </row>
    <row r="9" spans="1:28" s="17" customFormat="1" ht="18.75" x14ac:dyDescent="0.2">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143"/>
      <c r="Q9" s="143"/>
      <c r="R9" s="143"/>
      <c r="S9" s="143"/>
      <c r="T9" s="143"/>
      <c r="U9" s="143"/>
      <c r="V9" s="143"/>
      <c r="W9" s="143"/>
      <c r="X9" s="143"/>
      <c r="Y9" s="143"/>
      <c r="Z9" s="143"/>
    </row>
    <row r="10" spans="1:28" s="17" customFormat="1" ht="18.75" x14ac:dyDescent="0.2">
      <c r="A10" s="414" t="s">
        <v>6</v>
      </c>
      <c r="B10" s="414"/>
      <c r="C10" s="414"/>
      <c r="D10" s="414"/>
      <c r="E10" s="414"/>
      <c r="F10" s="414"/>
      <c r="G10" s="414"/>
      <c r="H10" s="414"/>
      <c r="I10" s="414"/>
      <c r="J10" s="414"/>
      <c r="K10" s="414"/>
      <c r="L10" s="414"/>
      <c r="M10" s="414"/>
      <c r="N10" s="414"/>
      <c r="O10" s="414"/>
      <c r="P10" s="143"/>
      <c r="Q10" s="143"/>
      <c r="R10" s="143"/>
      <c r="S10" s="143"/>
      <c r="T10" s="143"/>
      <c r="U10" s="143"/>
      <c r="V10" s="143"/>
      <c r="W10" s="143"/>
      <c r="X10" s="143"/>
      <c r="Y10" s="143"/>
      <c r="Z10" s="143"/>
    </row>
    <row r="11" spans="1:28" s="17" customFormat="1" ht="18.75" x14ac:dyDescent="0.2">
      <c r="A11" s="418"/>
      <c r="B11" s="418"/>
      <c r="C11" s="418"/>
      <c r="D11" s="418"/>
      <c r="E11" s="418"/>
      <c r="F11" s="418"/>
      <c r="G11" s="418"/>
      <c r="H11" s="418"/>
      <c r="I11" s="418"/>
      <c r="J11" s="418"/>
      <c r="K11" s="418"/>
      <c r="L11" s="418"/>
      <c r="M11" s="418"/>
      <c r="N11" s="418"/>
      <c r="O11" s="418"/>
      <c r="P11" s="143"/>
      <c r="Q11" s="143"/>
      <c r="R11" s="143"/>
      <c r="S11" s="143"/>
      <c r="T11" s="143"/>
      <c r="U11" s="143"/>
      <c r="V11" s="143"/>
      <c r="W11" s="143"/>
      <c r="X11" s="143"/>
      <c r="Y11" s="143"/>
      <c r="Z11" s="143"/>
    </row>
    <row r="12" spans="1:28" s="17" customFormat="1" ht="18.75" x14ac:dyDescent="0.2">
      <c r="A12" s="413" t="str">
        <f>'1. паспорт местоположение'!A12:C12</f>
        <v>J 19-02</v>
      </c>
      <c r="B12" s="413"/>
      <c r="C12" s="413"/>
      <c r="D12" s="413"/>
      <c r="E12" s="413"/>
      <c r="F12" s="413"/>
      <c r="G12" s="413"/>
      <c r="H12" s="413"/>
      <c r="I12" s="413"/>
      <c r="J12" s="413"/>
      <c r="K12" s="413"/>
      <c r="L12" s="413"/>
      <c r="M12" s="413"/>
      <c r="N12" s="413"/>
      <c r="O12" s="413"/>
      <c r="P12" s="143"/>
      <c r="Q12" s="143"/>
      <c r="R12" s="143"/>
      <c r="S12" s="143"/>
      <c r="T12" s="143"/>
      <c r="U12" s="143"/>
      <c r="V12" s="143"/>
      <c r="W12" s="143"/>
      <c r="X12" s="143"/>
      <c r="Y12" s="143"/>
      <c r="Z12" s="143"/>
    </row>
    <row r="13" spans="1:28" s="17" customFormat="1" ht="18.75" x14ac:dyDescent="0.2">
      <c r="A13" s="414" t="s">
        <v>5</v>
      </c>
      <c r="B13" s="414"/>
      <c r="C13" s="414"/>
      <c r="D13" s="414"/>
      <c r="E13" s="414"/>
      <c r="F13" s="414"/>
      <c r="G13" s="414"/>
      <c r="H13" s="414"/>
      <c r="I13" s="414"/>
      <c r="J13" s="414"/>
      <c r="K13" s="414"/>
      <c r="L13" s="414"/>
      <c r="M13" s="414"/>
      <c r="N13" s="414"/>
      <c r="O13" s="414"/>
      <c r="P13" s="143"/>
      <c r="Q13" s="143"/>
      <c r="R13" s="143"/>
      <c r="S13" s="143"/>
      <c r="T13" s="143"/>
      <c r="U13" s="143"/>
      <c r="V13" s="143"/>
      <c r="W13" s="143"/>
      <c r="X13" s="143"/>
      <c r="Y13" s="143"/>
      <c r="Z13" s="143"/>
    </row>
    <row r="14" spans="1:28" s="141" customFormat="1" ht="15.75" customHeight="1" x14ac:dyDescent="0.2">
      <c r="A14" s="419"/>
      <c r="B14" s="419"/>
      <c r="C14" s="419"/>
      <c r="D14" s="419"/>
      <c r="E14" s="419"/>
      <c r="F14" s="419"/>
      <c r="G14" s="419"/>
      <c r="H14" s="419"/>
      <c r="I14" s="419"/>
      <c r="J14" s="419"/>
      <c r="K14" s="419"/>
      <c r="L14" s="419"/>
      <c r="M14" s="419"/>
      <c r="N14" s="419"/>
      <c r="O14" s="419"/>
      <c r="P14" s="144"/>
      <c r="Q14" s="144"/>
      <c r="R14" s="144"/>
      <c r="S14" s="144"/>
      <c r="T14" s="144"/>
      <c r="U14" s="144"/>
      <c r="V14" s="144"/>
      <c r="W14" s="144"/>
      <c r="X14" s="144"/>
      <c r="Y14" s="144"/>
      <c r="Z14" s="144"/>
    </row>
    <row r="15" spans="1:28" s="142" customFormat="1" ht="15.75" x14ac:dyDescent="0.2">
      <c r="A15" s="41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3"/>
      <c r="C15" s="413"/>
      <c r="D15" s="413"/>
      <c r="E15" s="413"/>
      <c r="F15" s="413"/>
      <c r="G15" s="413"/>
      <c r="H15" s="413"/>
      <c r="I15" s="413"/>
      <c r="J15" s="413"/>
      <c r="K15" s="413"/>
      <c r="L15" s="413"/>
      <c r="M15" s="413"/>
      <c r="N15" s="413"/>
      <c r="O15" s="413"/>
      <c r="P15" s="145"/>
      <c r="Q15" s="145"/>
      <c r="R15" s="145"/>
      <c r="S15" s="145"/>
      <c r="T15" s="145"/>
      <c r="U15" s="145"/>
      <c r="V15" s="145"/>
      <c r="W15" s="145"/>
      <c r="X15" s="145"/>
      <c r="Y15" s="145"/>
      <c r="Z15" s="145"/>
    </row>
    <row r="16" spans="1:28" s="142" customFormat="1" ht="15" customHeight="1" x14ac:dyDescent="0.2">
      <c r="A16" s="414" t="s">
        <v>4</v>
      </c>
      <c r="B16" s="414"/>
      <c r="C16" s="414"/>
      <c r="D16" s="414"/>
      <c r="E16" s="414"/>
      <c r="F16" s="414"/>
      <c r="G16" s="414"/>
      <c r="H16" s="414"/>
      <c r="I16" s="414"/>
      <c r="J16" s="414"/>
      <c r="K16" s="414"/>
      <c r="L16" s="414"/>
      <c r="M16" s="414"/>
      <c r="N16" s="414"/>
      <c r="O16" s="414"/>
      <c r="P16" s="146"/>
      <c r="Q16" s="146"/>
      <c r="R16" s="146"/>
      <c r="S16" s="146"/>
      <c r="T16" s="146"/>
      <c r="U16" s="146"/>
      <c r="V16" s="146"/>
      <c r="W16" s="146"/>
      <c r="X16" s="146"/>
      <c r="Y16" s="146"/>
      <c r="Z16" s="146"/>
    </row>
    <row r="17" spans="1:26" s="142" customFormat="1" ht="15" customHeight="1" x14ac:dyDescent="0.2">
      <c r="A17" s="415"/>
      <c r="B17" s="415"/>
      <c r="C17" s="415"/>
      <c r="D17" s="415"/>
      <c r="E17" s="415"/>
      <c r="F17" s="415"/>
      <c r="G17" s="415"/>
      <c r="H17" s="415"/>
      <c r="I17" s="415"/>
      <c r="J17" s="415"/>
      <c r="K17" s="415"/>
      <c r="L17" s="415"/>
      <c r="M17" s="415"/>
      <c r="N17" s="415"/>
      <c r="O17" s="415"/>
      <c r="P17" s="147"/>
      <c r="Q17" s="147"/>
      <c r="R17" s="147"/>
      <c r="S17" s="147"/>
      <c r="T17" s="147"/>
      <c r="U17" s="147"/>
      <c r="V17" s="147"/>
      <c r="W17" s="147"/>
    </row>
    <row r="18" spans="1:26" s="142" customFormat="1" ht="91.5" customHeight="1" x14ac:dyDescent="0.2">
      <c r="A18" s="458" t="s">
        <v>389</v>
      </c>
      <c r="B18" s="458"/>
      <c r="C18" s="458"/>
      <c r="D18" s="458"/>
      <c r="E18" s="458"/>
      <c r="F18" s="458"/>
      <c r="G18" s="458"/>
      <c r="H18" s="458"/>
      <c r="I18" s="458"/>
      <c r="J18" s="458"/>
      <c r="K18" s="458"/>
      <c r="L18" s="458"/>
      <c r="M18" s="458"/>
      <c r="N18" s="458"/>
      <c r="O18" s="458"/>
      <c r="P18" s="148"/>
      <c r="Q18" s="148"/>
      <c r="R18" s="148"/>
      <c r="S18" s="148"/>
      <c r="T18" s="148"/>
      <c r="U18" s="148"/>
      <c r="V18" s="148"/>
      <c r="W18" s="148"/>
      <c r="X18" s="148"/>
      <c r="Y18" s="148"/>
      <c r="Z18" s="148"/>
    </row>
    <row r="19" spans="1:26" s="142" customFormat="1" ht="78" customHeight="1" x14ac:dyDescent="0.2">
      <c r="A19" s="459" t="s">
        <v>3</v>
      </c>
      <c r="B19" s="459" t="s">
        <v>82</v>
      </c>
      <c r="C19" s="459" t="s">
        <v>81</v>
      </c>
      <c r="D19" s="459" t="s">
        <v>73</v>
      </c>
      <c r="E19" s="460" t="s">
        <v>80</v>
      </c>
      <c r="F19" s="461"/>
      <c r="G19" s="461"/>
      <c r="H19" s="461"/>
      <c r="I19" s="462"/>
      <c r="J19" s="459" t="s">
        <v>79</v>
      </c>
      <c r="K19" s="459"/>
      <c r="L19" s="459"/>
      <c r="M19" s="459"/>
      <c r="N19" s="459"/>
      <c r="O19" s="459"/>
      <c r="P19" s="147"/>
      <c r="Q19" s="147"/>
      <c r="R19" s="147"/>
      <c r="S19" s="147"/>
      <c r="T19" s="147"/>
      <c r="U19" s="147"/>
      <c r="V19" s="147"/>
      <c r="W19" s="147"/>
    </row>
    <row r="20" spans="1:26" s="142" customFormat="1" ht="51" customHeight="1" x14ac:dyDescent="0.2">
      <c r="A20" s="459"/>
      <c r="B20" s="459"/>
      <c r="C20" s="459"/>
      <c r="D20" s="459"/>
      <c r="E20" s="227" t="s">
        <v>78</v>
      </c>
      <c r="F20" s="227" t="s">
        <v>77</v>
      </c>
      <c r="G20" s="227" t="s">
        <v>76</v>
      </c>
      <c r="H20" s="227" t="s">
        <v>75</v>
      </c>
      <c r="I20" s="227" t="s">
        <v>74</v>
      </c>
      <c r="J20" s="227">
        <v>2018</v>
      </c>
      <c r="K20" s="227">
        <v>2019</v>
      </c>
      <c r="L20" s="227">
        <v>2020</v>
      </c>
      <c r="M20" s="227">
        <v>2021</v>
      </c>
      <c r="N20" s="227">
        <v>2022</v>
      </c>
      <c r="O20" s="227">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8" t="s">
        <v>62</v>
      </c>
      <c r="B22" s="229" t="s">
        <v>547</v>
      </c>
      <c r="C22" s="230">
        <v>0</v>
      </c>
      <c r="D22" s="230">
        <v>0</v>
      </c>
      <c r="E22" s="230">
        <v>0</v>
      </c>
      <c r="F22" s="230">
        <v>0</v>
      </c>
      <c r="G22" s="230">
        <v>0</v>
      </c>
      <c r="H22" s="230">
        <v>0</v>
      </c>
      <c r="I22" s="230">
        <v>0</v>
      </c>
      <c r="J22" s="231">
        <v>0</v>
      </c>
      <c r="K22" s="231">
        <v>0</v>
      </c>
      <c r="L22" s="232">
        <v>0</v>
      </c>
      <c r="M22" s="232">
        <v>0</v>
      </c>
      <c r="N22" s="232">
        <v>0</v>
      </c>
      <c r="O22" s="232">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64" t="str">
        <f>'1. паспорт местоположение'!A5:C5</f>
        <v>Год раскрытия информации: 2021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44"/>
      <c r="B5" s="44"/>
      <c r="C5" s="44"/>
      <c r="D5" s="44"/>
      <c r="E5" s="44"/>
      <c r="F5" s="44"/>
      <c r="L5" s="44"/>
      <c r="M5" s="44"/>
      <c r="T5" s="44"/>
      <c r="U5" s="44"/>
      <c r="AC5" s="14"/>
    </row>
    <row r="6" spans="1:29"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65" t="str">
        <f>'1. паспорт местоположение'!A9:C9</f>
        <v xml:space="preserve">Акционерное общество "Западная энергетическая компания"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65" t="str">
        <f>'1. паспорт местоположение'!A12:C12</f>
        <v>J 19-02</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66"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72" t="s">
        <v>392</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68" t="s">
        <v>183</v>
      </c>
      <c r="B20" s="468" t="s">
        <v>182</v>
      </c>
      <c r="C20" s="463" t="s">
        <v>181</v>
      </c>
      <c r="D20" s="463"/>
      <c r="E20" s="471" t="s">
        <v>180</v>
      </c>
      <c r="F20" s="471"/>
      <c r="G20" s="468" t="s">
        <v>423</v>
      </c>
      <c r="H20" s="474" t="s">
        <v>424</v>
      </c>
      <c r="I20" s="475"/>
      <c r="J20" s="475"/>
      <c r="K20" s="475"/>
      <c r="L20" s="474" t="s">
        <v>425</v>
      </c>
      <c r="M20" s="475"/>
      <c r="N20" s="475"/>
      <c r="O20" s="475"/>
      <c r="P20" s="474" t="s">
        <v>426</v>
      </c>
      <c r="Q20" s="475"/>
      <c r="R20" s="475"/>
      <c r="S20" s="475"/>
      <c r="T20" s="474" t="s">
        <v>441</v>
      </c>
      <c r="U20" s="475"/>
      <c r="V20" s="475"/>
      <c r="W20" s="475"/>
      <c r="X20" s="474" t="s">
        <v>442</v>
      </c>
      <c r="Y20" s="475"/>
      <c r="Z20" s="475"/>
      <c r="AA20" s="475"/>
      <c r="AB20" s="473" t="s">
        <v>179</v>
      </c>
      <c r="AC20" s="473"/>
      <c r="AD20" s="65"/>
      <c r="AE20" s="65"/>
      <c r="AF20" s="65"/>
    </row>
    <row r="21" spans="1:32" ht="99.75" customHeight="1" x14ac:dyDescent="0.25">
      <c r="A21" s="469"/>
      <c r="B21" s="469"/>
      <c r="C21" s="463"/>
      <c r="D21" s="463"/>
      <c r="E21" s="471"/>
      <c r="F21" s="471"/>
      <c r="G21" s="469"/>
      <c r="H21" s="463" t="s">
        <v>2</v>
      </c>
      <c r="I21" s="463"/>
      <c r="J21" s="463" t="s">
        <v>9</v>
      </c>
      <c r="K21" s="463"/>
      <c r="L21" s="463" t="s">
        <v>2</v>
      </c>
      <c r="M21" s="463"/>
      <c r="N21" s="463" t="s">
        <v>9</v>
      </c>
      <c r="O21" s="463"/>
      <c r="P21" s="463" t="s">
        <v>2</v>
      </c>
      <c r="Q21" s="463"/>
      <c r="R21" s="463" t="s">
        <v>178</v>
      </c>
      <c r="S21" s="463"/>
      <c r="T21" s="463" t="s">
        <v>2</v>
      </c>
      <c r="U21" s="463"/>
      <c r="V21" s="463" t="s">
        <v>178</v>
      </c>
      <c r="W21" s="463"/>
      <c r="X21" s="463" t="s">
        <v>2</v>
      </c>
      <c r="Y21" s="463"/>
      <c r="Z21" s="463" t="s">
        <v>178</v>
      </c>
      <c r="AA21" s="463"/>
      <c r="AB21" s="473"/>
      <c r="AC21" s="473"/>
    </row>
    <row r="22" spans="1:32" ht="89.25" customHeight="1" x14ac:dyDescent="0.25">
      <c r="A22" s="470"/>
      <c r="B22" s="470"/>
      <c r="C22" s="62" t="s">
        <v>2</v>
      </c>
      <c r="D22" s="62" t="s">
        <v>178</v>
      </c>
      <c r="E22" s="64" t="s">
        <v>440</v>
      </c>
      <c r="F22" s="64" t="s">
        <v>486</v>
      </c>
      <c r="G22" s="47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5" t="s">
        <v>9</v>
      </c>
    </row>
    <row r="23" spans="1:32" ht="19.5" customHeight="1" x14ac:dyDescent="0.25">
      <c r="A23" s="55">
        <v>1</v>
      </c>
      <c r="B23" s="55">
        <v>2</v>
      </c>
      <c r="C23" s="55">
        <v>3</v>
      </c>
      <c r="D23" s="55">
        <v>4</v>
      </c>
      <c r="E23" s="55">
        <v>5</v>
      </c>
      <c r="F23" s="55">
        <v>6</v>
      </c>
      <c r="G23" s="105">
        <v>7</v>
      </c>
      <c r="H23" s="105">
        <v>8</v>
      </c>
      <c r="I23" s="105">
        <v>9</v>
      </c>
      <c r="J23" s="105">
        <v>10</v>
      </c>
      <c r="K23" s="105">
        <v>11</v>
      </c>
      <c r="L23" s="127">
        <v>12</v>
      </c>
      <c r="M23" s="127">
        <v>13</v>
      </c>
      <c r="N23" s="127">
        <v>14</v>
      </c>
      <c r="O23" s="127">
        <v>15</v>
      </c>
      <c r="P23" s="127">
        <v>16</v>
      </c>
      <c r="Q23" s="127">
        <v>17</v>
      </c>
      <c r="R23" s="127">
        <v>18</v>
      </c>
      <c r="S23" s="127">
        <v>19</v>
      </c>
      <c r="T23" s="105">
        <v>12</v>
      </c>
      <c r="U23" s="105">
        <v>13</v>
      </c>
      <c r="V23" s="105">
        <v>14</v>
      </c>
      <c r="W23" s="105">
        <v>15</v>
      </c>
      <c r="X23" s="105">
        <v>16</v>
      </c>
      <c r="Y23" s="105">
        <v>17</v>
      </c>
      <c r="Z23" s="105">
        <v>18</v>
      </c>
      <c r="AA23" s="105">
        <v>19</v>
      </c>
      <c r="AB23" s="105">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356</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533</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533</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533</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8"/>
      <c r="C66" s="478"/>
      <c r="D66" s="478"/>
      <c r="E66" s="478"/>
      <c r="F66" s="478"/>
      <c r="G66" s="478"/>
      <c r="H66" s="478"/>
      <c r="I66" s="47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9"/>
      <c r="C68" s="479"/>
      <c r="D68" s="479"/>
      <c r="E68" s="479"/>
      <c r="F68" s="479"/>
      <c r="G68" s="479"/>
      <c r="H68" s="479"/>
      <c r="I68" s="47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8"/>
      <c r="C70" s="478"/>
      <c r="D70" s="478"/>
      <c r="E70" s="478"/>
      <c r="F70" s="478"/>
      <c r="G70" s="478"/>
      <c r="H70" s="478"/>
      <c r="I70" s="47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8"/>
      <c r="C72" s="478"/>
      <c r="D72" s="478"/>
      <c r="E72" s="478"/>
      <c r="F72" s="478"/>
      <c r="G72" s="478"/>
      <c r="H72" s="478"/>
      <c r="I72" s="47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9"/>
      <c r="C73" s="479"/>
      <c r="D73" s="479"/>
      <c r="E73" s="479"/>
      <c r="F73" s="479"/>
      <c r="G73" s="479"/>
      <c r="H73" s="479"/>
      <c r="I73" s="47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8"/>
      <c r="C74" s="478"/>
      <c r="D74" s="478"/>
      <c r="E74" s="478"/>
      <c r="F74" s="478"/>
      <c r="G74" s="478"/>
      <c r="H74" s="478"/>
      <c r="I74" s="47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76"/>
      <c r="C75" s="476"/>
      <c r="D75" s="476"/>
      <c r="E75" s="476"/>
      <c r="F75" s="476"/>
      <c r="G75" s="476"/>
      <c r="H75" s="476"/>
      <c r="I75" s="476"/>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77"/>
      <c r="C77" s="477"/>
      <c r="D77" s="477"/>
      <c r="E77" s="477"/>
      <c r="F77" s="477"/>
      <c r="G77" s="477"/>
      <c r="H77" s="477"/>
      <c r="I77" s="47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0" priority="26" operator="notEqual">
      <formula>0</formula>
    </cfRule>
  </conditionalFormatting>
  <conditionalFormatting sqref="AB24:AB64">
    <cfRule type="cellIs" dxfId="59" priority="25" operator="notEqual">
      <formula>0</formula>
    </cfRule>
  </conditionalFormatting>
  <conditionalFormatting sqref="I34 K25:M29 K46:K49 K55:K56 K51:M51 K58:M64 Q44:Q50 M46:M50 L45:L50 Q52:Q57 L52:M57 O52:O57 O35:Q43 O44:O50 O58:Q64 O51:Q51 O25:Q29 P31:Q34 K31:M44">
    <cfRule type="cellIs" dxfId="58" priority="24" operator="notEqual">
      <formula>0</formula>
    </cfRule>
  </conditionalFormatting>
  <conditionalFormatting sqref="G30:I30 K30:M30 O30:Y30">
    <cfRule type="cellIs" dxfId="57" priority="23" operator="notEqual">
      <formula>0</formula>
    </cfRule>
  </conditionalFormatting>
  <conditionalFormatting sqref="E45:I45">
    <cfRule type="cellIs" dxfId="56" priority="22" operator="notEqual">
      <formula>0</formula>
    </cfRule>
  </conditionalFormatting>
  <conditionalFormatting sqref="K45 M45">
    <cfRule type="cellIs" dxfId="55" priority="21" operator="notEqual">
      <formula>0</formula>
    </cfRule>
  </conditionalFormatting>
  <conditionalFormatting sqref="E52:I54">
    <cfRule type="cellIs" dxfId="54" priority="20" operator="notEqual">
      <formula>0</formula>
    </cfRule>
  </conditionalFormatting>
  <conditionalFormatting sqref="K52:K54">
    <cfRule type="cellIs" dxfId="53" priority="19" operator="notEqual">
      <formula>0</formula>
    </cfRule>
  </conditionalFormatting>
  <conditionalFormatting sqref="K50">
    <cfRule type="cellIs" dxfId="52" priority="17" operator="notEqual">
      <formula>0</formula>
    </cfRule>
  </conditionalFormatting>
  <conditionalFormatting sqref="K57">
    <cfRule type="cellIs" dxfId="51" priority="15" operator="notEqual">
      <formula>0</formula>
    </cfRule>
  </conditionalFormatting>
  <conditionalFormatting sqref="P44:P50">
    <cfRule type="cellIs" dxfId="50" priority="14" operator="notEqual">
      <formula>0</formula>
    </cfRule>
  </conditionalFormatting>
  <conditionalFormatting sqref="P52:P57">
    <cfRule type="cellIs" dxfId="49" priority="13" operator="notEqual">
      <formula>0</formula>
    </cfRule>
  </conditionalFormatting>
  <conditionalFormatting sqref="D24:D64">
    <cfRule type="cellIs" dxfId="48" priority="12" operator="notEqual">
      <formula>0</formula>
    </cfRule>
  </conditionalFormatting>
  <conditionalFormatting sqref="Z31:AA64 Z24:AA29">
    <cfRule type="cellIs" dxfId="47" priority="11" operator="notEqual">
      <formula>0</formula>
    </cfRule>
  </conditionalFormatting>
  <conditionalFormatting sqref="Z30:AA30">
    <cfRule type="cellIs" dxfId="46" priority="10" operator="notEqual">
      <formula>0</formula>
    </cfRule>
  </conditionalFormatting>
  <conditionalFormatting sqref="J55:J64 J46:J51 J31:J44 J24:J29">
    <cfRule type="cellIs" dxfId="45" priority="9" operator="notEqual">
      <formula>0</formula>
    </cfRule>
  </conditionalFormatting>
  <conditionalFormatting sqref="J30">
    <cfRule type="cellIs" dxfId="44" priority="8" operator="notEqual">
      <formula>0</formula>
    </cfRule>
  </conditionalFormatting>
  <conditionalFormatting sqref="J45">
    <cfRule type="cellIs" dxfId="43" priority="7" operator="notEqual">
      <formula>0</formula>
    </cfRule>
  </conditionalFormatting>
  <conditionalFormatting sqref="J52:J54">
    <cfRule type="cellIs" dxfId="42" priority="6" operator="notEqual">
      <formula>0</formula>
    </cfRule>
  </conditionalFormatting>
  <conditionalFormatting sqref="AC24:AC64">
    <cfRule type="cellIs" dxfId="41" priority="5" operator="notEqual">
      <formula>0</formula>
    </cfRule>
  </conditionalFormatting>
  <conditionalFormatting sqref="N24">
    <cfRule type="cellIs" dxfId="40" priority="4" operator="notEqual">
      <formula>0</formula>
    </cfRule>
  </conditionalFormatting>
  <conditionalFormatting sqref="N25:N29 N31:N64">
    <cfRule type="cellIs" dxfId="39" priority="3" operator="notEqual">
      <formula>0</formula>
    </cfRule>
  </conditionalFormatting>
  <conditionalFormatting sqref="N30">
    <cfRule type="cellIs" dxfId="38" priority="2" operator="notEqual">
      <formula>0</formula>
    </cfRule>
  </conditionalFormatting>
  <conditionalFormatting sqref="O31:O3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workbookViewId="0">
      <selection activeCell="M66" sqref="M1:AF1048576"/>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2" width="15.7109375" hidden="1" customWidth="1"/>
    <col min="33" max="33" width="15.7109375" customWidth="1"/>
  </cols>
  <sheetData>
    <row r="1" spans="1:45" s="311" customFormat="1" ht="12.75" x14ac:dyDescent="0.2">
      <c r="A1" s="308"/>
      <c r="B1" s="309"/>
      <c r="C1" s="309"/>
      <c r="D1" s="309"/>
      <c r="E1" s="309"/>
      <c r="F1" s="309"/>
      <c r="G1" s="309"/>
      <c r="H1" s="309"/>
      <c r="I1" s="309"/>
      <c r="J1" s="309"/>
      <c r="K1" s="310"/>
      <c r="L1" s="309"/>
      <c r="M1" s="309"/>
      <c r="N1" s="309"/>
      <c r="O1" s="309"/>
      <c r="P1" s="310" t="s">
        <v>66</v>
      </c>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P1" s="312"/>
      <c r="AQ1" s="312"/>
      <c r="AR1" s="313"/>
      <c r="AS1" s="313"/>
    </row>
    <row r="2" spans="1:45" s="311" customFormat="1" ht="12.75" x14ac:dyDescent="0.2">
      <c r="A2" s="308"/>
      <c r="B2" s="309"/>
      <c r="C2" s="309"/>
      <c r="D2" s="309"/>
      <c r="E2" s="309"/>
      <c r="F2" s="309"/>
      <c r="G2" s="309"/>
      <c r="H2" s="309"/>
      <c r="I2" s="309"/>
      <c r="J2" s="309"/>
      <c r="K2" s="314"/>
      <c r="L2" s="309"/>
      <c r="M2" s="309"/>
      <c r="N2" s="309"/>
      <c r="O2" s="309"/>
      <c r="P2" s="314" t="s">
        <v>8</v>
      </c>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P2" s="312"/>
      <c r="AQ2" s="312"/>
      <c r="AR2" s="313"/>
      <c r="AS2" s="313"/>
    </row>
    <row r="3" spans="1:45" s="311" customFormat="1" ht="12.75" x14ac:dyDescent="0.2">
      <c r="A3" s="315"/>
      <c r="B3" s="309"/>
      <c r="C3" s="309"/>
      <c r="D3" s="309"/>
      <c r="E3" s="309"/>
      <c r="F3" s="309"/>
      <c r="G3" s="309"/>
      <c r="H3" s="309"/>
      <c r="I3" s="309"/>
      <c r="J3" s="309"/>
      <c r="K3" s="314"/>
      <c r="L3" s="309"/>
      <c r="M3" s="309"/>
      <c r="N3" s="309"/>
      <c r="O3" s="309"/>
      <c r="P3" s="314" t="s">
        <v>443</v>
      </c>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P3" s="312"/>
      <c r="AQ3" s="312"/>
      <c r="AR3" s="313"/>
      <c r="AS3" s="313"/>
    </row>
    <row r="4" spans="1:45" s="311" customFormat="1" ht="12.75" x14ac:dyDescent="0.2">
      <c r="A4" s="316"/>
      <c r="B4" s="308"/>
      <c r="C4" s="308"/>
      <c r="D4" s="308"/>
      <c r="E4" s="308"/>
      <c r="F4" s="308"/>
      <c r="G4" s="308"/>
      <c r="H4" s="308"/>
      <c r="I4" s="308"/>
      <c r="J4" s="308"/>
      <c r="K4" s="314"/>
      <c r="L4" s="308"/>
      <c r="M4" s="308"/>
      <c r="N4" s="308"/>
      <c r="O4" s="308"/>
      <c r="P4" s="308"/>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12"/>
      <c r="AQ4" s="312"/>
      <c r="AR4" s="313"/>
      <c r="AS4" s="313"/>
    </row>
    <row r="5" spans="1:45" s="311" customFormat="1" ht="12.75" x14ac:dyDescent="0.2">
      <c r="A5" s="492" t="str">
        <f>'1. паспорт местоположение'!A5:C5</f>
        <v>Год раскрытия информации: 2021 год</v>
      </c>
      <c r="B5" s="492"/>
      <c r="C5" s="492"/>
      <c r="D5" s="492"/>
      <c r="E5" s="492"/>
      <c r="F5" s="492"/>
      <c r="G5" s="492"/>
      <c r="H5" s="492"/>
      <c r="I5" s="492"/>
      <c r="J5" s="492"/>
      <c r="K5" s="492"/>
      <c r="L5" s="492"/>
      <c r="M5" s="492"/>
      <c r="N5" s="492"/>
      <c r="O5" s="492"/>
      <c r="P5" s="492"/>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2"/>
      <c r="AQ5" s="312"/>
      <c r="AR5" s="313"/>
      <c r="AS5" s="313"/>
    </row>
    <row r="6" spans="1:45" s="311" customFormat="1" ht="12.75" x14ac:dyDescent="0.2">
      <c r="A6" s="316"/>
      <c r="B6" s="308"/>
      <c r="C6" s="308"/>
      <c r="D6" s="308"/>
      <c r="E6" s="308"/>
      <c r="F6" s="308"/>
      <c r="G6" s="308"/>
      <c r="H6" s="308"/>
      <c r="I6" s="308"/>
      <c r="J6" s="308"/>
      <c r="K6" s="314"/>
      <c r="L6" s="308"/>
      <c r="M6" s="308"/>
      <c r="N6" s="308"/>
      <c r="O6" s="308"/>
      <c r="P6" s="308"/>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P6" s="312"/>
      <c r="AQ6" s="312"/>
      <c r="AR6" s="313"/>
      <c r="AS6" s="313"/>
    </row>
    <row r="7" spans="1:45" s="311" customFormat="1" ht="12.75" x14ac:dyDescent="0.2">
      <c r="A7" s="492" t="s">
        <v>7</v>
      </c>
      <c r="B7" s="492"/>
      <c r="C7" s="492"/>
      <c r="D7" s="492"/>
      <c r="E7" s="492"/>
      <c r="F7" s="492"/>
      <c r="G7" s="492"/>
      <c r="H7" s="492"/>
      <c r="I7" s="492"/>
      <c r="J7" s="492"/>
      <c r="K7" s="492"/>
      <c r="L7" s="492"/>
      <c r="M7" s="492"/>
      <c r="N7" s="492"/>
      <c r="O7" s="492"/>
      <c r="P7" s="492"/>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2"/>
      <c r="AQ7" s="312"/>
      <c r="AR7" s="313"/>
      <c r="AS7" s="313"/>
    </row>
    <row r="8" spans="1:45" s="311" customFormat="1" ht="12.75" x14ac:dyDescent="0.2">
      <c r="A8" s="319"/>
      <c r="B8" s="319"/>
      <c r="C8" s="319"/>
      <c r="D8" s="319"/>
      <c r="E8" s="319"/>
      <c r="F8" s="319"/>
      <c r="G8" s="319"/>
      <c r="H8" s="319"/>
      <c r="I8" s="319"/>
      <c r="J8" s="319"/>
      <c r="K8" s="319"/>
      <c r="L8" s="317"/>
      <c r="M8" s="317"/>
      <c r="N8" s="317"/>
      <c r="O8" s="317"/>
      <c r="P8" s="317"/>
      <c r="Q8" s="318"/>
      <c r="R8" s="318"/>
      <c r="S8" s="318"/>
      <c r="T8" s="318"/>
      <c r="U8" s="318"/>
      <c r="V8" s="318"/>
      <c r="W8" s="318"/>
      <c r="X8" s="318"/>
      <c r="Y8" s="318"/>
      <c r="Z8" s="309"/>
      <c r="AA8" s="309"/>
      <c r="AB8" s="309"/>
      <c r="AC8" s="309"/>
      <c r="AD8" s="309"/>
      <c r="AE8" s="309"/>
      <c r="AF8" s="309"/>
      <c r="AG8" s="309"/>
      <c r="AH8" s="309"/>
      <c r="AI8" s="309"/>
      <c r="AJ8" s="309"/>
      <c r="AK8" s="309"/>
      <c r="AL8" s="309"/>
      <c r="AM8" s="309"/>
      <c r="AN8" s="309"/>
      <c r="AO8" s="309"/>
      <c r="AP8" s="312"/>
      <c r="AQ8" s="312"/>
      <c r="AR8" s="313"/>
      <c r="AS8" s="313"/>
    </row>
    <row r="9" spans="1:45" s="311" customFormat="1" ht="12.75" x14ac:dyDescent="0.2">
      <c r="A9" s="493" t="str">
        <f>'1. паспорт местоположение'!A9:C9</f>
        <v xml:space="preserve">Акционерное общество "Западная энергетическая компания" </v>
      </c>
      <c r="B9" s="493"/>
      <c r="C9" s="493"/>
      <c r="D9" s="493"/>
      <c r="E9" s="493"/>
      <c r="F9" s="493"/>
      <c r="G9" s="493"/>
      <c r="H9" s="493"/>
      <c r="I9" s="493"/>
      <c r="J9" s="493"/>
      <c r="K9" s="493"/>
      <c r="L9" s="493"/>
      <c r="M9" s="493"/>
      <c r="N9" s="493"/>
      <c r="O9" s="493"/>
      <c r="P9" s="493"/>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12"/>
      <c r="AQ9" s="312"/>
      <c r="AR9" s="313"/>
      <c r="AS9" s="313"/>
    </row>
    <row r="10" spans="1:45" s="311" customFormat="1" ht="12.75" x14ac:dyDescent="0.2">
      <c r="A10" s="491" t="s">
        <v>6</v>
      </c>
      <c r="B10" s="491"/>
      <c r="C10" s="491"/>
      <c r="D10" s="491"/>
      <c r="E10" s="491"/>
      <c r="F10" s="491"/>
      <c r="G10" s="491"/>
      <c r="H10" s="491"/>
      <c r="I10" s="491"/>
      <c r="J10" s="491"/>
      <c r="K10" s="491"/>
      <c r="L10" s="491"/>
      <c r="M10" s="491"/>
      <c r="N10" s="491"/>
      <c r="O10" s="491"/>
      <c r="P10" s="49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12"/>
      <c r="AQ10" s="312"/>
      <c r="AR10" s="313"/>
      <c r="AS10" s="313"/>
    </row>
    <row r="11" spans="1:45" s="311" customFormat="1" ht="12.75" x14ac:dyDescent="0.2">
      <c r="A11" s="319"/>
      <c r="B11" s="319"/>
      <c r="C11" s="319"/>
      <c r="D11" s="319"/>
      <c r="E11" s="319"/>
      <c r="F11" s="319"/>
      <c r="G11" s="319"/>
      <c r="H11" s="319"/>
      <c r="I11" s="319"/>
      <c r="J11" s="319"/>
      <c r="K11" s="319"/>
      <c r="L11" s="317"/>
      <c r="M11" s="317"/>
      <c r="N11" s="317"/>
      <c r="O11" s="317"/>
      <c r="P11" s="317"/>
      <c r="Q11" s="318"/>
      <c r="R11" s="318"/>
      <c r="S11" s="318"/>
      <c r="T11" s="318"/>
      <c r="U11" s="318"/>
      <c r="V11" s="318"/>
      <c r="W11" s="318"/>
      <c r="X11" s="318"/>
      <c r="Y11" s="318"/>
      <c r="Z11" s="309"/>
      <c r="AA11" s="309"/>
      <c r="AB11" s="309"/>
      <c r="AC11" s="309"/>
      <c r="AD11" s="309"/>
      <c r="AE11" s="309"/>
      <c r="AF11" s="309"/>
      <c r="AG11" s="309"/>
      <c r="AH11" s="309"/>
      <c r="AI11" s="309"/>
      <c r="AJ11" s="309"/>
      <c r="AK11" s="309"/>
      <c r="AL11" s="309"/>
      <c r="AM11" s="309"/>
      <c r="AN11" s="309"/>
      <c r="AO11" s="309"/>
      <c r="AP11" s="312"/>
      <c r="AQ11" s="312"/>
      <c r="AR11" s="313"/>
      <c r="AS11" s="313"/>
    </row>
    <row r="12" spans="1:45" s="311" customFormat="1" ht="12.75" x14ac:dyDescent="0.2">
      <c r="A12" s="493" t="str">
        <f>'1. паспорт местоположение'!A12:C12</f>
        <v>J 19-02</v>
      </c>
      <c r="B12" s="493"/>
      <c r="C12" s="493"/>
      <c r="D12" s="493"/>
      <c r="E12" s="493"/>
      <c r="F12" s="493"/>
      <c r="G12" s="493"/>
      <c r="H12" s="493"/>
      <c r="I12" s="493"/>
      <c r="J12" s="493"/>
      <c r="K12" s="493"/>
      <c r="L12" s="493"/>
      <c r="M12" s="493"/>
      <c r="N12" s="493"/>
      <c r="O12" s="493"/>
      <c r="P12" s="493"/>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12"/>
      <c r="AQ12" s="312"/>
      <c r="AR12" s="313"/>
      <c r="AS12" s="313"/>
    </row>
    <row r="13" spans="1:45" s="311" customFormat="1" ht="12.75" x14ac:dyDescent="0.2">
      <c r="A13" s="491" t="s">
        <v>5</v>
      </c>
      <c r="B13" s="491"/>
      <c r="C13" s="491"/>
      <c r="D13" s="491"/>
      <c r="E13" s="491"/>
      <c r="F13" s="491"/>
      <c r="G13" s="491"/>
      <c r="H13" s="491"/>
      <c r="I13" s="491"/>
      <c r="J13" s="491"/>
      <c r="K13" s="491"/>
      <c r="L13" s="491"/>
      <c r="M13" s="491"/>
      <c r="N13" s="491"/>
      <c r="O13" s="491"/>
      <c r="P13" s="49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12"/>
      <c r="AQ13" s="312"/>
      <c r="AR13" s="313"/>
      <c r="AS13" s="313"/>
    </row>
    <row r="14" spans="1:45" s="311" customFormat="1" ht="12.75" x14ac:dyDescent="0.2">
      <c r="A14" s="322"/>
      <c r="B14" s="322"/>
      <c r="C14" s="322"/>
      <c r="D14" s="322"/>
      <c r="E14" s="322"/>
      <c r="F14" s="322"/>
      <c r="G14" s="322"/>
      <c r="H14" s="322"/>
      <c r="I14" s="322"/>
      <c r="J14" s="322"/>
      <c r="K14" s="322"/>
      <c r="L14" s="322"/>
      <c r="M14" s="322"/>
      <c r="N14" s="322"/>
      <c r="O14" s="322"/>
      <c r="P14" s="322"/>
      <c r="Q14" s="323"/>
      <c r="R14" s="323"/>
      <c r="S14" s="323"/>
      <c r="T14" s="323"/>
      <c r="U14" s="323"/>
      <c r="V14" s="323"/>
      <c r="W14" s="323"/>
      <c r="X14" s="323"/>
      <c r="Y14" s="323"/>
      <c r="Z14" s="309"/>
      <c r="AA14" s="309"/>
      <c r="AB14" s="309"/>
      <c r="AC14" s="309"/>
      <c r="AD14" s="309"/>
      <c r="AE14" s="309"/>
      <c r="AF14" s="309"/>
      <c r="AG14" s="309"/>
      <c r="AH14" s="309"/>
      <c r="AI14" s="309"/>
      <c r="AJ14" s="309"/>
      <c r="AK14" s="309"/>
      <c r="AL14" s="309"/>
      <c r="AM14" s="309"/>
      <c r="AN14" s="309"/>
      <c r="AO14" s="309"/>
      <c r="AP14" s="312"/>
      <c r="AQ14" s="312"/>
      <c r="AR14" s="313"/>
      <c r="AS14" s="313"/>
    </row>
    <row r="15" spans="1:45" s="311" customFormat="1" ht="12.75" x14ac:dyDescent="0.2">
      <c r="A15" s="48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82"/>
      <c r="C15" s="482"/>
      <c r="D15" s="482"/>
      <c r="E15" s="482"/>
      <c r="F15" s="482"/>
      <c r="G15" s="482"/>
      <c r="H15" s="482"/>
      <c r="I15" s="482"/>
      <c r="J15" s="482"/>
      <c r="K15" s="482"/>
      <c r="L15" s="482"/>
      <c r="M15" s="482"/>
      <c r="N15" s="482"/>
      <c r="O15" s="482"/>
      <c r="P15" s="482"/>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12"/>
      <c r="AQ15" s="312"/>
      <c r="AR15" s="313"/>
      <c r="AS15" s="313"/>
    </row>
    <row r="16" spans="1:45" s="311" customFormat="1" ht="12.75" x14ac:dyDescent="0.2">
      <c r="A16" s="483" t="s">
        <v>4</v>
      </c>
      <c r="B16" s="483"/>
      <c r="C16" s="483"/>
      <c r="D16" s="483"/>
      <c r="E16" s="483"/>
      <c r="F16" s="483"/>
      <c r="G16" s="483"/>
      <c r="H16" s="483"/>
      <c r="I16" s="483"/>
      <c r="J16" s="483"/>
      <c r="K16" s="483"/>
      <c r="L16" s="483"/>
      <c r="M16" s="483"/>
      <c r="N16" s="483"/>
      <c r="O16" s="483"/>
      <c r="P16" s="483"/>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12"/>
      <c r="AQ16" s="312"/>
      <c r="AR16" s="313"/>
      <c r="AS16" s="313"/>
    </row>
    <row r="17" spans="1:45" s="311" customFormat="1" ht="12.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25"/>
      <c r="X17" s="325"/>
      <c r="Y17" s="325"/>
      <c r="Z17" s="325"/>
      <c r="AA17" s="325"/>
      <c r="AB17" s="325"/>
      <c r="AC17" s="325"/>
      <c r="AD17" s="325"/>
      <c r="AE17" s="325"/>
      <c r="AF17" s="325"/>
      <c r="AG17" s="325"/>
      <c r="AH17" s="325"/>
      <c r="AI17" s="325"/>
      <c r="AJ17" s="325"/>
      <c r="AK17" s="325"/>
      <c r="AL17" s="325"/>
      <c r="AM17" s="325"/>
      <c r="AN17" s="325"/>
      <c r="AO17" s="325"/>
      <c r="AP17" s="312"/>
      <c r="AQ17" s="312"/>
      <c r="AR17" s="313"/>
      <c r="AS17" s="313"/>
    </row>
    <row r="18" spans="1:45" s="311" customFormat="1" ht="12.75" x14ac:dyDescent="0.2">
      <c r="A18" s="484" t="s">
        <v>390</v>
      </c>
      <c r="B18" s="484"/>
      <c r="C18" s="484"/>
      <c r="D18" s="484"/>
      <c r="E18" s="484"/>
      <c r="F18" s="484"/>
      <c r="G18" s="484"/>
      <c r="H18" s="484"/>
      <c r="I18" s="484"/>
      <c r="J18" s="484"/>
      <c r="K18" s="484"/>
      <c r="L18" s="484"/>
      <c r="M18" s="484"/>
      <c r="N18" s="484"/>
      <c r="O18" s="484"/>
      <c r="P18" s="484"/>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12"/>
      <c r="AQ18" s="312"/>
      <c r="AR18" s="313"/>
      <c r="AS18" s="313"/>
    </row>
    <row r="19" spans="1:45" s="311" customFormat="1" ht="12.75" x14ac:dyDescent="0.2">
      <c r="A19" s="326"/>
      <c r="B19" s="326"/>
      <c r="C19" s="326"/>
      <c r="D19" s="326"/>
      <c r="E19" s="326"/>
      <c r="F19" s="326"/>
      <c r="G19" s="326"/>
      <c r="H19" s="326"/>
      <c r="I19" s="326"/>
      <c r="J19" s="326"/>
      <c r="K19" s="326"/>
      <c r="L19" s="326"/>
      <c r="M19" s="326"/>
      <c r="N19" s="326"/>
      <c r="O19" s="326"/>
      <c r="P19" s="326"/>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12"/>
      <c r="AQ19" s="312"/>
      <c r="AR19" s="313"/>
      <c r="AS19" s="313"/>
    </row>
    <row r="20" spans="1:45" s="311" customFormat="1" ht="12.75" x14ac:dyDescent="0.2">
      <c r="A20" s="326"/>
      <c r="B20" s="326"/>
      <c r="C20" s="326"/>
      <c r="D20" s="326"/>
      <c r="E20" s="326"/>
      <c r="F20" s="326"/>
      <c r="G20" s="326"/>
      <c r="H20" s="326"/>
      <c r="I20" s="326"/>
      <c r="J20" s="326"/>
      <c r="K20" s="326"/>
      <c r="L20" s="326"/>
      <c r="M20" s="326"/>
      <c r="N20" s="326"/>
      <c r="O20" s="326"/>
      <c r="P20" s="326"/>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12"/>
      <c r="AQ20" s="312"/>
      <c r="AR20" s="313"/>
      <c r="AS20" s="313"/>
    </row>
    <row r="21" spans="1:45" s="311" customFormat="1" ht="12.75" x14ac:dyDescent="0.2">
      <c r="A21" s="327"/>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P21" s="312"/>
      <c r="AQ21" s="312"/>
      <c r="AR21" s="313"/>
      <c r="AS21" s="313"/>
    </row>
    <row r="22" spans="1:45" s="311" customFormat="1" ht="12.75" x14ac:dyDescent="0.2">
      <c r="A22" s="318"/>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P22" s="312"/>
      <c r="AQ22" s="312"/>
      <c r="AR22" s="313"/>
      <c r="AS22" s="313"/>
    </row>
    <row r="23" spans="1:45" s="311" customFormat="1" ht="13.5" thickBot="1" x14ac:dyDescent="0.25">
      <c r="A23" s="328" t="s">
        <v>288</v>
      </c>
      <c r="B23" s="328" t="s">
        <v>1</v>
      </c>
      <c r="C23" s="321"/>
      <c r="D23" s="329"/>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row>
    <row r="24" spans="1:45" s="311" customFormat="1" x14ac:dyDescent="0.2">
      <c r="A24" s="330" t="s">
        <v>427</v>
      </c>
      <c r="B24" s="252">
        <v>278463232.87828702</v>
      </c>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row>
    <row r="25" spans="1:45" s="311" customFormat="1" ht="12.75" x14ac:dyDescent="0.2">
      <c r="A25" s="331" t="s">
        <v>286</v>
      </c>
      <c r="B25" s="332">
        <v>0</v>
      </c>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row>
    <row r="26" spans="1:45" s="311" customFormat="1" ht="12.75" x14ac:dyDescent="0.2">
      <c r="A26" s="331" t="s">
        <v>284</v>
      </c>
      <c r="B26" s="332">
        <v>30</v>
      </c>
      <c r="C26" s="321"/>
      <c r="D26" s="318" t="s">
        <v>287</v>
      </c>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row>
    <row r="27" spans="1:45" s="311" customFormat="1" ht="13.5" thickBot="1" x14ac:dyDescent="0.25">
      <c r="A27" s="333" t="s">
        <v>282</v>
      </c>
      <c r="B27" s="334">
        <v>1</v>
      </c>
      <c r="C27" s="321"/>
      <c r="D27" s="485" t="s">
        <v>285</v>
      </c>
      <c r="E27" s="486"/>
      <c r="F27" s="487"/>
      <c r="G27" s="335">
        <f>IF(SUM(B89:AG89)=0,"не окупается",SUM(B89:AG89))</f>
        <v>10.91907123204162</v>
      </c>
      <c r="H27" s="336"/>
      <c r="I27" s="321"/>
      <c r="J27" s="321"/>
      <c r="K27" s="321"/>
      <c r="L27" s="321"/>
      <c r="M27" s="321"/>
      <c r="N27" s="321"/>
      <c r="O27" s="321"/>
      <c r="P27" s="321"/>
      <c r="Q27" s="321"/>
      <c r="R27" s="321"/>
      <c r="S27" s="321"/>
      <c r="T27" s="321"/>
      <c r="U27" s="321"/>
      <c r="V27" s="321"/>
      <c r="W27" s="321"/>
      <c r="X27" s="321"/>
      <c r="Y27" s="321"/>
      <c r="Z27" s="321"/>
      <c r="AA27" s="321"/>
      <c r="AB27" s="321"/>
      <c r="AC27" s="321"/>
    </row>
    <row r="28" spans="1:45" s="311" customFormat="1" x14ac:dyDescent="0.2">
      <c r="A28" s="330" t="s">
        <v>281</v>
      </c>
      <c r="B28" s="252">
        <f>B24*0.001</f>
        <v>278463.23287828703</v>
      </c>
      <c r="C28" s="321"/>
      <c r="D28" s="485" t="s">
        <v>283</v>
      </c>
      <c r="E28" s="486"/>
      <c r="F28" s="487"/>
      <c r="G28" s="335">
        <f>IF(SUM(B90:AG90)=0,"не окупается",SUM(B90:AG90))</f>
        <v>16.682457682685275</v>
      </c>
      <c r="H28" s="336"/>
      <c r="I28" s="321"/>
      <c r="J28" s="321"/>
      <c r="K28" s="321"/>
      <c r="L28" s="321"/>
      <c r="M28" s="321"/>
      <c r="N28" s="321"/>
      <c r="O28" s="321"/>
      <c r="P28" s="321"/>
      <c r="Q28" s="321"/>
      <c r="R28" s="321"/>
      <c r="S28" s="321"/>
      <c r="T28" s="321"/>
      <c r="U28" s="321"/>
      <c r="V28" s="321"/>
      <c r="W28" s="321"/>
      <c r="X28" s="321"/>
      <c r="Y28" s="321"/>
      <c r="Z28" s="321"/>
      <c r="AA28" s="321"/>
      <c r="AB28" s="321"/>
      <c r="AC28" s="321"/>
    </row>
    <row r="29" spans="1:45" s="311" customFormat="1" ht="12.75" x14ac:dyDescent="0.2">
      <c r="A29" s="331" t="s">
        <v>428</v>
      </c>
      <c r="B29" s="332">
        <v>6</v>
      </c>
      <c r="C29" s="321"/>
      <c r="D29" s="485" t="s">
        <v>643</v>
      </c>
      <c r="E29" s="486"/>
      <c r="F29" s="487"/>
      <c r="G29" s="337">
        <f>L87</f>
        <v>-120216573.95807841</v>
      </c>
      <c r="H29" s="338"/>
      <c r="I29" s="321"/>
      <c r="J29" s="321"/>
      <c r="K29" s="321"/>
      <c r="L29" s="321"/>
      <c r="M29" s="321"/>
      <c r="N29" s="321"/>
      <c r="O29" s="321"/>
      <c r="P29" s="321"/>
      <c r="Q29" s="321"/>
      <c r="R29" s="321"/>
      <c r="S29" s="321"/>
      <c r="T29" s="321"/>
      <c r="U29" s="321"/>
      <c r="V29" s="321"/>
      <c r="W29" s="321"/>
      <c r="X29" s="321"/>
      <c r="Y29" s="321"/>
      <c r="Z29" s="321"/>
      <c r="AA29" s="321"/>
      <c r="AB29" s="321"/>
      <c r="AC29" s="321"/>
    </row>
    <row r="30" spans="1:45" s="311" customFormat="1" ht="12.75" x14ac:dyDescent="0.2">
      <c r="A30" s="331" t="s">
        <v>280</v>
      </c>
      <c r="B30" s="332">
        <v>6</v>
      </c>
      <c r="C30" s="321"/>
      <c r="D30" s="485"/>
      <c r="E30" s="486"/>
      <c r="F30" s="487"/>
      <c r="G30" s="339"/>
      <c r="H30" s="340"/>
      <c r="I30" s="321"/>
      <c r="J30" s="321"/>
      <c r="K30" s="321"/>
      <c r="L30" s="321"/>
      <c r="M30" s="321"/>
      <c r="N30" s="321"/>
      <c r="O30" s="321"/>
      <c r="P30" s="321"/>
      <c r="Q30" s="321"/>
      <c r="R30" s="321"/>
      <c r="S30" s="321"/>
      <c r="T30" s="321"/>
      <c r="U30" s="321"/>
      <c r="V30" s="321"/>
      <c r="W30" s="321"/>
      <c r="X30" s="321"/>
      <c r="Y30" s="321"/>
      <c r="Z30" s="321"/>
      <c r="AA30" s="321"/>
      <c r="AB30" s="321"/>
      <c r="AC30" s="321"/>
    </row>
    <row r="31" spans="1:45" s="311" customFormat="1" ht="12.75" x14ac:dyDescent="0.2">
      <c r="A31" s="331" t="s">
        <v>259</v>
      </c>
      <c r="B31" s="332">
        <v>0</v>
      </c>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row>
    <row r="32" spans="1:45" s="311" customFormat="1" ht="12.75" x14ac:dyDescent="0.2">
      <c r="A32" s="331" t="s">
        <v>279</v>
      </c>
      <c r="B32" s="332">
        <v>1</v>
      </c>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row>
    <row r="33" spans="1:31" s="311" customFormat="1" ht="12.75" x14ac:dyDescent="0.2">
      <c r="A33" s="331" t="s">
        <v>278</v>
      </c>
      <c r="B33" s="332">
        <v>1</v>
      </c>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row>
    <row r="34" spans="1:31" s="311" customFormat="1" ht="12.75" x14ac:dyDescent="0.2">
      <c r="A34" s="341" t="s">
        <v>644</v>
      </c>
      <c r="B34" s="332">
        <f>B24*0.03</f>
        <v>8353896.9863486104</v>
      </c>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row>
    <row r="35" spans="1:31" s="311" customFormat="1" ht="13.5" thickBot="1" x14ac:dyDescent="0.25">
      <c r="A35" s="333" t="s">
        <v>253</v>
      </c>
      <c r="B35" s="342">
        <v>0.2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31" s="311" customFormat="1" ht="12.75" x14ac:dyDescent="0.2">
      <c r="A36" s="330" t="s">
        <v>429</v>
      </c>
      <c r="B36" s="343">
        <v>0</v>
      </c>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row>
    <row r="37" spans="1:31" s="311" customFormat="1" ht="12.75" x14ac:dyDescent="0.2">
      <c r="A37" s="331" t="s">
        <v>277</v>
      </c>
      <c r="B37" s="332"/>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row>
    <row r="38" spans="1:31" s="311" customFormat="1" ht="13.5" thickBot="1" x14ac:dyDescent="0.25">
      <c r="A38" s="341" t="s">
        <v>276</v>
      </c>
      <c r="B38" s="344"/>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row>
    <row r="39" spans="1:31" s="311" customFormat="1" ht="12.75" x14ac:dyDescent="0.2">
      <c r="A39" s="345" t="s">
        <v>430</v>
      </c>
      <c r="B39" s="346">
        <v>1</v>
      </c>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row>
    <row r="40" spans="1:31" s="311" customFormat="1" ht="12.75" x14ac:dyDescent="0.2">
      <c r="A40" s="347" t="s">
        <v>275</v>
      </c>
      <c r="B40" s="348"/>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row>
    <row r="41" spans="1:31" s="311" customFormat="1" ht="12.75" x14ac:dyDescent="0.2">
      <c r="A41" s="347" t="s">
        <v>274</v>
      </c>
      <c r="B41" s="349"/>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row>
    <row r="42" spans="1:31" s="311" customFormat="1" ht="12.75" x14ac:dyDescent="0.2">
      <c r="A42" s="347" t="s">
        <v>273</v>
      </c>
      <c r="B42" s="349">
        <v>0</v>
      </c>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row>
    <row r="43" spans="1:31" s="311" customFormat="1" ht="12.75" x14ac:dyDescent="0.2">
      <c r="A43" s="347" t="s">
        <v>272</v>
      </c>
      <c r="B43" s="350">
        <v>9.8699999999999996E-2</v>
      </c>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row>
    <row r="44" spans="1:31" s="311" customFormat="1" ht="12.75" x14ac:dyDescent="0.2">
      <c r="A44" s="347" t="s">
        <v>271</v>
      </c>
      <c r="B44" s="351">
        <v>1</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row>
    <row r="45" spans="1:31" s="311" customFormat="1" ht="13.5" thickBot="1" x14ac:dyDescent="0.25">
      <c r="A45" s="352" t="s">
        <v>645</v>
      </c>
      <c r="B45" s="351">
        <f>B44*B43+B42*B41*(1-B35)</f>
        <v>9.8699999999999996E-2</v>
      </c>
      <c r="C45" s="353"/>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row>
    <row r="46" spans="1:31" s="311" customFormat="1" ht="12.75" x14ac:dyDescent="0.2">
      <c r="A46" s="354" t="s">
        <v>270</v>
      </c>
      <c r="B46" s="355">
        <v>1</v>
      </c>
      <c r="C46" s="355">
        <v>2</v>
      </c>
      <c r="D46" s="355">
        <v>3</v>
      </c>
      <c r="E46" s="355">
        <v>4</v>
      </c>
      <c r="F46" s="355">
        <v>5</v>
      </c>
      <c r="G46" s="355">
        <v>6</v>
      </c>
      <c r="H46" s="355">
        <v>7</v>
      </c>
      <c r="I46" s="355">
        <v>8</v>
      </c>
      <c r="J46" s="355">
        <v>9</v>
      </c>
      <c r="K46" s="355">
        <v>10</v>
      </c>
      <c r="L46" s="355">
        <v>11</v>
      </c>
      <c r="M46" s="355">
        <v>12</v>
      </c>
      <c r="N46" s="355">
        <v>13</v>
      </c>
      <c r="O46" s="355">
        <v>14</v>
      </c>
      <c r="P46" s="355">
        <v>15</v>
      </c>
      <c r="Q46" s="355">
        <v>16</v>
      </c>
      <c r="R46" s="355">
        <v>17</v>
      </c>
      <c r="S46" s="355">
        <v>18</v>
      </c>
      <c r="T46" s="355">
        <v>19</v>
      </c>
      <c r="U46" s="355">
        <v>20</v>
      </c>
      <c r="V46" s="355">
        <v>21</v>
      </c>
      <c r="W46" s="355">
        <v>22</v>
      </c>
      <c r="X46" s="355">
        <v>23</v>
      </c>
      <c r="Y46" s="355">
        <v>24</v>
      </c>
      <c r="Z46" s="355">
        <v>25</v>
      </c>
      <c r="AA46" s="355">
        <v>26</v>
      </c>
      <c r="AB46" s="355">
        <v>27</v>
      </c>
      <c r="AC46" s="356">
        <v>28</v>
      </c>
      <c r="AD46" s="356">
        <v>29</v>
      </c>
      <c r="AE46" s="356">
        <v>30</v>
      </c>
    </row>
    <row r="47" spans="1:31" s="311" customFormat="1" ht="12.75" x14ac:dyDescent="0.2">
      <c r="A47" s="357" t="s">
        <v>269</v>
      </c>
      <c r="B47" s="254">
        <v>5.0999999999999997E-2</v>
      </c>
      <c r="C47" s="254">
        <v>4.8000000000000001E-2</v>
      </c>
      <c r="D47" s="254">
        <v>4.7E-2</v>
      </c>
      <c r="E47" s="254">
        <v>4.7E-2</v>
      </c>
      <c r="F47" s="255">
        <v>4.7E-2</v>
      </c>
      <c r="G47" s="255">
        <v>4.7E-2</v>
      </c>
      <c r="H47" s="255">
        <v>4.7E-2</v>
      </c>
      <c r="I47" s="255">
        <v>4.7E-2</v>
      </c>
      <c r="J47" s="255">
        <v>4.7E-2</v>
      </c>
      <c r="K47" s="255">
        <v>4.7E-2</v>
      </c>
      <c r="L47" s="255">
        <v>4.7E-2</v>
      </c>
      <c r="M47" s="255">
        <v>4.7E-2</v>
      </c>
      <c r="N47" s="255">
        <v>4.7E-2</v>
      </c>
      <c r="O47" s="255">
        <v>4.7E-2</v>
      </c>
      <c r="P47" s="255">
        <v>4.7E-2</v>
      </c>
      <c r="Q47" s="255">
        <v>4.7E-2</v>
      </c>
      <c r="R47" s="255">
        <v>4.7E-2</v>
      </c>
      <c r="S47" s="255">
        <v>4.7E-2</v>
      </c>
      <c r="T47" s="255">
        <v>4.7E-2</v>
      </c>
      <c r="U47" s="255">
        <v>4.7E-2</v>
      </c>
      <c r="V47" s="255">
        <v>4.7E-2</v>
      </c>
      <c r="W47" s="255">
        <v>4.7E-2</v>
      </c>
      <c r="X47" s="255">
        <v>4.7E-2</v>
      </c>
      <c r="Y47" s="255">
        <v>4.7E-2</v>
      </c>
      <c r="Z47" s="255">
        <v>4.7E-2</v>
      </c>
      <c r="AA47" s="255">
        <v>4.7E-2</v>
      </c>
      <c r="AB47" s="255">
        <v>4.7E-2</v>
      </c>
      <c r="AC47" s="255">
        <v>4.7E-2</v>
      </c>
      <c r="AD47" s="255">
        <v>4.7E-2</v>
      </c>
      <c r="AE47" s="255">
        <v>4.7E-2</v>
      </c>
    </row>
    <row r="48" spans="1:31" s="311" customFormat="1" ht="12.75" x14ac:dyDescent="0.2">
      <c r="A48" s="357" t="s">
        <v>268</v>
      </c>
      <c r="B48" s="255">
        <f>B47</f>
        <v>5.0999999999999997E-2</v>
      </c>
      <c r="C48" s="255">
        <f t="shared" ref="C48:AE48" si="0">(1+B48)*(1+C47)-1</f>
        <v>0.10144799999999998</v>
      </c>
      <c r="D48" s="255">
        <f t="shared" si="0"/>
        <v>0.15321605599999999</v>
      </c>
      <c r="E48" s="255">
        <f t="shared" si="0"/>
        <v>0.2074172106319998</v>
      </c>
      <c r="F48" s="255">
        <f>(1+E48)*(1+F47)-1</f>
        <v>0.26416581953170382</v>
      </c>
      <c r="G48" s="255">
        <f t="shared" si="0"/>
        <v>0.32358161304969379</v>
      </c>
      <c r="H48" s="255">
        <f t="shared" si="0"/>
        <v>0.38578994886302942</v>
      </c>
      <c r="I48" s="255">
        <f t="shared" si="0"/>
        <v>0.45092207645959181</v>
      </c>
      <c r="J48" s="255">
        <f t="shared" si="0"/>
        <v>0.51911541405319261</v>
      </c>
      <c r="K48" s="255">
        <f t="shared" si="0"/>
        <v>0.59051383851369255</v>
      </c>
      <c r="L48" s="255">
        <f t="shared" si="0"/>
        <v>0.66526798892383598</v>
      </c>
      <c r="M48" s="255">
        <f t="shared" si="0"/>
        <v>0.74353558440325607</v>
      </c>
      <c r="N48" s="255">
        <f t="shared" si="0"/>
        <v>0.82548175687020908</v>
      </c>
      <c r="O48" s="255">
        <f t="shared" si="0"/>
        <v>0.91127939944310876</v>
      </c>
      <c r="P48" s="255">
        <f t="shared" si="0"/>
        <v>1.0011095312169349</v>
      </c>
      <c r="Q48" s="255">
        <f t="shared" si="0"/>
        <v>1.0951616791841308</v>
      </c>
      <c r="R48" s="255">
        <f t="shared" si="0"/>
        <v>1.1936342781057849</v>
      </c>
      <c r="S48" s="255">
        <f t="shared" si="0"/>
        <v>1.2967350891767566</v>
      </c>
      <c r="T48" s="255">
        <f t="shared" si="0"/>
        <v>1.4046816383680638</v>
      </c>
      <c r="U48" s="255">
        <f t="shared" si="0"/>
        <v>1.5177016753713626</v>
      </c>
      <c r="V48" s="255">
        <f t="shared" si="0"/>
        <v>1.6360336541138163</v>
      </c>
      <c r="W48" s="255">
        <f t="shared" si="0"/>
        <v>1.7599272358571656</v>
      </c>
      <c r="X48" s="255">
        <f t="shared" si="0"/>
        <v>1.8896438159424522</v>
      </c>
      <c r="Y48" s="255">
        <f t="shared" si="0"/>
        <v>2.0254570752917473</v>
      </c>
      <c r="Z48" s="255">
        <f t="shared" si="0"/>
        <v>2.1676535578304592</v>
      </c>
      <c r="AA48" s="255">
        <f t="shared" si="0"/>
        <v>2.3165332750484904</v>
      </c>
      <c r="AB48" s="255">
        <f t="shared" si="0"/>
        <v>2.4724103389757692</v>
      </c>
      <c r="AC48" s="255">
        <f t="shared" si="0"/>
        <v>2.6356136249076303</v>
      </c>
      <c r="AD48" s="255">
        <f t="shared" si="0"/>
        <v>2.8064874652782885</v>
      </c>
      <c r="AE48" s="255">
        <f t="shared" si="0"/>
        <v>2.9853923761463679</v>
      </c>
    </row>
    <row r="49" spans="1:31" s="311" customFormat="1" ht="15.75" thickBot="1" x14ac:dyDescent="0.25">
      <c r="A49" s="358" t="s">
        <v>431</v>
      </c>
      <c r="B49" s="359">
        <f>B24*1.2/2*0</f>
        <v>0</v>
      </c>
      <c r="C49" s="359">
        <v>0</v>
      </c>
      <c r="D49" s="359">
        <v>0</v>
      </c>
      <c r="E49" s="359">
        <v>0</v>
      </c>
      <c r="F49" s="256">
        <f>J106*(1+F48)</f>
        <v>42924934.315065093</v>
      </c>
      <c r="G49" s="256">
        <f t="shared" ref="G49:AE49" si="1">K106*(1+G48)</f>
        <v>54572921.848131686</v>
      </c>
      <c r="H49" s="256">
        <f t="shared" si="1"/>
        <v>60498899.126464099</v>
      </c>
      <c r="I49" s="256">
        <f t="shared" si="1"/>
        <v>66861366.684597239</v>
      </c>
      <c r="J49" s="256">
        <f>N106*(1+J48)</f>
        <v>70740733.560023561</v>
      </c>
      <c r="K49" s="256">
        <f t="shared" si="1"/>
        <v>74837064.162733644</v>
      </c>
      <c r="L49" s="256">
        <f t="shared" si="1"/>
        <v>79162183.561664417</v>
      </c>
      <c r="M49" s="256">
        <f t="shared" si="1"/>
        <v>87111520.790545419</v>
      </c>
      <c r="N49" s="256">
        <f t="shared" si="1"/>
        <v>95633226.455453545</v>
      </c>
      <c r="O49" s="256">
        <f t="shared" si="1"/>
        <v>100127988.09885985</v>
      </c>
      <c r="P49" s="256">
        <f t="shared" si="1"/>
        <v>104834003.53950627</v>
      </c>
      <c r="Q49" s="256">
        <f t="shared" si="1"/>
        <v>109761201.70586306</v>
      </c>
      <c r="R49" s="256">
        <f t="shared" si="1"/>
        <v>114919978.18603863</v>
      </c>
      <c r="S49" s="256">
        <f t="shared" si="1"/>
        <v>120321217.16078243</v>
      </c>
      <c r="T49" s="256">
        <f t="shared" si="1"/>
        <v>125976314.36733918</v>
      </c>
      <c r="U49" s="256">
        <f t="shared" si="1"/>
        <v>131897201.14260411</v>
      </c>
      <c r="V49" s="256">
        <f t="shared" si="1"/>
        <v>138096369.59630647</v>
      </c>
      <c r="W49" s="256">
        <f t="shared" si="1"/>
        <v>144586898.9673329</v>
      </c>
      <c r="X49" s="256">
        <f t="shared" si="1"/>
        <v>151382483.21879753</v>
      </c>
      <c r="Y49" s="256">
        <f t="shared" si="1"/>
        <v>158497459.93008101</v>
      </c>
      <c r="Z49" s="256">
        <f t="shared" si="1"/>
        <v>165946840.5467948</v>
      </c>
      <c r="AA49" s="256">
        <f t="shared" si="1"/>
        <v>173746342.05249414</v>
      </c>
      <c r="AB49" s="256">
        <f t="shared" si="1"/>
        <v>183596794.38941476</v>
      </c>
      <c r="AC49" s="256">
        <f t="shared" si="1"/>
        <v>193989383.57641184</v>
      </c>
      <c r="AD49" s="256">
        <f t="shared" si="1"/>
        <v>203106884.60450318</v>
      </c>
      <c r="AE49" s="256">
        <f t="shared" si="1"/>
        <v>212652908.18091482</v>
      </c>
    </row>
    <row r="50" spans="1:31" s="311" customFormat="1" ht="13.5" thickBot="1" x14ac:dyDescent="0.25">
      <c r="A50" s="360"/>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61"/>
      <c r="AD50" s="361"/>
      <c r="AE50" s="361"/>
    </row>
    <row r="51" spans="1:31" s="311" customFormat="1" ht="12.75" x14ac:dyDescent="0.2">
      <c r="A51" s="362" t="s">
        <v>267</v>
      </c>
      <c r="B51" s="355">
        <v>1</v>
      </c>
      <c r="C51" s="355">
        <v>2</v>
      </c>
      <c r="D51" s="355">
        <v>3</v>
      </c>
      <c r="E51" s="355">
        <v>4</v>
      </c>
      <c r="F51" s="355">
        <v>5</v>
      </c>
      <c r="G51" s="355">
        <v>6</v>
      </c>
      <c r="H51" s="355">
        <v>7</v>
      </c>
      <c r="I51" s="355">
        <v>8</v>
      </c>
      <c r="J51" s="355">
        <v>9</v>
      </c>
      <c r="K51" s="355">
        <v>10</v>
      </c>
      <c r="L51" s="355">
        <v>11</v>
      </c>
      <c r="M51" s="355">
        <v>12</v>
      </c>
      <c r="N51" s="355">
        <v>13</v>
      </c>
      <c r="O51" s="355">
        <v>14</v>
      </c>
      <c r="P51" s="355">
        <v>15</v>
      </c>
      <c r="Q51" s="355">
        <v>16</v>
      </c>
      <c r="R51" s="355">
        <v>17</v>
      </c>
      <c r="S51" s="355">
        <v>18</v>
      </c>
      <c r="T51" s="355">
        <v>19</v>
      </c>
      <c r="U51" s="355">
        <v>20</v>
      </c>
      <c r="V51" s="355">
        <v>21</v>
      </c>
      <c r="W51" s="355">
        <v>22</v>
      </c>
      <c r="X51" s="355">
        <v>23</v>
      </c>
      <c r="Y51" s="355">
        <v>24</v>
      </c>
      <c r="Z51" s="355">
        <v>25</v>
      </c>
      <c r="AA51" s="355">
        <v>26</v>
      </c>
      <c r="AB51" s="355">
        <v>27</v>
      </c>
      <c r="AC51" s="355">
        <v>28</v>
      </c>
      <c r="AD51" s="355">
        <v>29</v>
      </c>
      <c r="AE51" s="355">
        <v>30</v>
      </c>
    </row>
    <row r="52" spans="1:31" s="311" customFormat="1" ht="12.75" x14ac:dyDescent="0.2">
      <c r="A52" s="357" t="s">
        <v>266</v>
      </c>
      <c r="B52" s="363">
        <v>0</v>
      </c>
      <c r="C52" s="363">
        <v>0</v>
      </c>
      <c r="D52" s="363">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3">
        <v>0</v>
      </c>
      <c r="AC52" s="364">
        <v>0</v>
      </c>
      <c r="AD52" s="364">
        <v>0</v>
      </c>
      <c r="AE52" s="364">
        <v>0</v>
      </c>
    </row>
    <row r="53" spans="1:31" s="311" customFormat="1" ht="12.75" x14ac:dyDescent="0.2">
      <c r="A53" s="357" t="s">
        <v>265</v>
      </c>
      <c r="B53" s="363">
        <v>0</v>
      </c>
      <c r="C53" s="363">
        <v>0</v>
      </c>
      <c r="D53" s="363">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3">
        <v>0</v>
      </c>
      <c r="AC53" s="364">
        <v>0</v>
      </c>
      <c r="AD53" s="364">
        <v>0</v>
      </c>
      <c r="AE53" s="364">
        <v>0</v>
      </c>
    </row>
    <row r="54" spans="1:31" s="311" customFormat="1" ht="12.75" x14ac:dyDescent="0.2">
      <c r="A54" s="357" t="s">
        <v>264</v>
      </c>
      <c r="B54" s="363">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4">
        <v>0</v>
      </c>
      <c r="AD54" s="364">
        <v>0</v>
      </c>
      <c r="AE54" s="364">
        <v>0</v>
      </c>
    </row>
    <row r="55" spans="1:31" s="311" customFormat="1" ht="13.5" thickBot="1" x14ac:dyDescent="0.25">
      <c r="A55" s="358" t="s">
        <v>263</v>
      </c>
      <c r="B55" s="365">
        <v>0</v>
      </c>
      <c r="C55" s="365">
        <v>0</v>
      </c>
      <c r="D55" s="365">
        <v>0</v>
      </c>
      <c r="E55" s="365">
        <v>0</v>
      </c>
      <c r="F55" s="365">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5">
        <v>0</v>
      </c>
      <c r="AC55" s="366">
        <v>0</v>
      </c>
      <c r="AD55" s="366">
        <v>0</v>
      </c>
      <c r="AE55" s="366">
        <v>0</v>
      </c>
    </row>
    <row r="56" spans="1:31" s="311" customFormat="1" ht="13.5" thickBot="1" x14ac:dyDescent="0.25">
      <c r="A56" s="360"/>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8"/>
      <c r="AD56" s="368"/>
      <c r="AE56" s="368"/>
    </row>
    <row r="57" spans="1:31" s="311" customFormat="1" ht="13.5" thickBot="1" x14ac:dyDescent="0.25">
      <c r="A57" s="362" t="s">
        <v>432</v>
      </c>
      <c r="B57" s="355">
        <v>1</v>
      </c>
      <c r="C57" s="355">
        <v>2</v>
      </c>
      <c r="D57" s="355">
        <v>3</v>
      </c>
      <c r="E57" s="355">
        <v>4</v>
      </c>
      <c r="F57" s="355">
        <v>5</v>
      </c>
      <c r="G57" s="355">
        <v>6</v>
      </c>
      <c r="H57" s="355">
        <v>7</v>
      </c>
      <c r="I57" s="355">
        <v>8</v>
      </c>
      <c r="J57" s="355">
        <v>9</v>
      </c>
      <c r="K57" s="355">
        <v>10</v>
      </c>
      <c r="L57" s="355">
        <v>11</v>
      </c>
      <c r="M57" s="355">
        <v>12</v>
      </c>
      <c r="N57" s="355">
        <v>13</v>
      </c>
      <c r="O57" s="355">
        <v>14</v>
      </c>
      <c r="P57" s="355">
        <v>15</v>
      </c>
      <c r="Q57" s="355">
        <v>16</v>
      </c>
      <c r="R57" s="355">
        <v>17</v>
      </c>
      <c r="S57" s="355">
        <v>18</v>
      </c>
      <c r="T57" s="355">
        <v>19</v>
      </c>
      <c r="U57" s="355">
        <v>20</v>
      </c>
      <c r="V57" s="355">
        <v>21</v>
      </c>
      <c r="W57" s="355">
        <v>22</v>
      </c>
      <c r="X57" s="355">
        <v>23</v>
      </c>
      <c r="Y57" s="355">
        <v>24</v>
      </c>
      <c r="Z57" s="355">
        <v>25</v>
      </c>
      <c r="AA57" s="355">
        <v>26</v>
      </c>
      <c r="AB57" s="355">
        <v>27</v>
      </c>
      <c r="AC57" s="355">
        <v>28</v>
      </c>
      <c r="AD57" s="355">
        <v>29</v>
      </c>
      <c r="AE57" s="355">
        <v>30</v>
      </c>
    </row>
    <row r="58" spans="1:31" s="311" customFormat="1" ht="12.75" x14ac:dyDescent="0.2">
      <c r="A58" s="362" t="s">
        <v>262</v>
      </c>
      <c r="B58" s="355">
        <f t="shared" ref="B58:AE58" si="2">B49*$B$27</f>
        <v>0</v>
      </c>
      <c r="C58" s="355">
        <f t="shared" si="2"/>
        <v>0</v>
      </c>
      <c r="D58" s="355">
        <f t="shared" si="2"/>
        <v>0</v>
      </c>
      <c r="E58" s="355">
        <f t="shared" si="2"/>
        <v>0</v>
      </c>
      <c r="F58" s="355">
        <f t="shared" si="2"/>
        <v>42924934.315065093</v>
      </c>
      <c r="G58" s="355">
        <f t="shared" si="2"/>
        <v>54572921.848131686</v>
      </c>
      <c r="H58" s="355">
        <f t="shared" si="2"/>
        <v>60498899.126464099</v>
      </c>
      <c r="I58" s="355">
        <f t="shared" si="2"/>
        <v>66861366.684597239</v>
      </c>
      <c r="J58" s="355">
        <f t="shared" si="2"/>
        <v>70740733.560023561</v>
      </c>
      <c r="K58" s="355">
        <f t="shared" si="2"/>
        <v>74837064.162733644</v>
      </c>
      <c r="L58" s="355">
        <f t="shared" si="2"/>
        <v>79162183.561664417</v>
      </c>
      <c r="M58" s="355">
        <f t="shared" si="2"/>
        <v>87111520.790545419</v>
      </c>
      <c r="N58" s="355">
        <f t="shared" si="2"/>
        <v>95633226.455453545</v>
      </c>
      <c r="O58" s="355">
        <f t="shared" si="2"/>
        <v>100127988.09885985</v>
      </c>
      <c r="P58" s="355">
        <f t="shared" si="2"/>
        <v>104834003.53950627</v>
      </c>
      <c r="Q58" s="355">
        <f t="shared" si="2"/>
        <v>109761201.70586306</v>
      </c>
      <c r="R58" s="355">
        <f t="shared" si="2"/>
        <v>114919978.18603863</v>
      </c>
      <c r="S58" s="355">
        <f t="shared" si="2"/>
        <v>120321217.16078243</v>
      </c>
      <c r="T58" s="355">
        <f t="shared" si="2"/>
        <v>125976314.36733918</v>
      </c>
      <c r="U58" s="355">
        <f t="shared" si="2"/>
        <v>131897201.14260411</v>
      </c>
      <c r="V58" s="355">
        <f t="shared" si="2"/>
        <v>138096369.59630647</v>
      </c>
      <c r="W58" s="355">
        <f t="shared" si="2"/>
        <v>144586898.9673329</v>
      </c>
      <c r="X58" s="355">
        <f t="shared" si="2"/>
        <v>151382483.21879753</v>
      </c>
      <c r="Y58" s="355">
        <f t="shared" si="2"/>
        <v>158497459.93008101</v>
      </c>
      <c r="Z58" s="355">
        <f t="shared" si="2"/>
        <v>165946840.5467948</v>
      </c>
      <c r="AA58" s="355">
        <f t="shared" si="2"/>
        <v>173746342.05249414</v>
      </c>
      <c r="AB58" s="355">
        <f t="shared" si="2"/>
        <v>183596794.38941476</v>
      </c>
      <c r="AC58" s="355">
        <f t="shared" si="2"/>
        <v>193989383.57641184</v>
      </c>
      <c r="AD58" s="355">
        <f t="shared" si="2"/>
        <v>203106884.60450318</v>
      </c>
      <c r="AE58" s="355">
        <f t="shared" si="2"/>
        <v>212652908.18091482</v>
      </c>
    </row>
    <row r="59" spans="1:31" s="311" customFormat="1" ht="12.75" x14ac:dyDescent="0.2">
      <c r="A59" s="357" t="s">
        <v>261</v>
      </c>
      <c r="B59" s="369">
        <f t="shared" ref="B59:U59" si="3">SUM(B60:B65)</f>
        <v>0</v>
      </c>
      <c r="C59" s="369">
        <f t="shared" si="3"/>
        <v>0</v>
      </c>
      <c r="D59" s="369">
        <f t="shared" si="3"/>
        <v>0</v>
      </c>
      <c r="E59" s="369">
        <f t="shared" si="3"/>
        <v>0</v>
      </c>
      <c r="F59" s="369">
        <f t="shared" si="3"/>
        <v>-5875643.4783894215</v>
      </c>
      <c r="G59" s="369">
        <f t="shared" si="3"/>
        <v>-5625095.8334565284</v>
      </c>
      <c r="H59" s="369">
        <f t="shared" si="3"/>
        <v>-5374548.1885236362</v>
      </c>
      <c r="I59" s="369">
        <f t="shared" si="3"/>
        <v>-5124000.5435907431</v>
      </c>
      <c r="J59" s="369">
        <f t="shared" si="3"/>
        <v>-4873452.8986578509</v>
      </c>
      <c r="K59" s="369">
        <f t="shared" si="3"/>
        <v>-4622905.2537249578</v>
      </c>
      <c r="L59" s="369">
        <f t="shared" si="3"/>
        <v>-4706513.4882460097</v>
      </c>
      <c r="M59" s="369">
        <f t="shared" si="3"/>
        <v>-4121809.9638591725</v>
      </c>
      <c r="N59" s="369">
        <f t="shared" si="3"/>
        <v>-13895938.702544613</v>
      </c>
      <c r="O59" s="369">
        <f t="shared" si="3"/>
        <v>-3620714.6739933873</v>
      </c>
      <c r="P59" s="369">
        <f t="shared" si="3"/>
        <v>-8882215.2175841331</v>
      </c>
      <c r="Q59" s="369">
        <f t="shared" si="3"/>
        <v>-3119619.384127602</v>
      </c>
      <c r="R59" s="369">
        <f t="shared" si="3"/>
        <v>-3203227.6186486534</v>
      </c>
      <c r="S59" s="369">
        <f t="shared" si="3"/>
        <v>-2618524.0942618167</v>
      </c>
      <c r="T59" s="369">
        <f t="shared" si="3"/>
        <v>-2367976.4493289241</v>
      </c>
      <c r="U59" s="369">
        <f t="shared" si="3"/>
        <v>-2117428.8043960314</v>
      </c>
      <c r="V59" s="369">
        <f t="shared" ref="V59:AE59" si="4">SUM(V60:V65)</f>
        <v>-11891557.543081472</v>
      </c>
      <c r="W59" s="369">
        <f t="shared" si="4"/>
        <v>-1616333.5145302461</v>
      </c>
      <c r="X59" s="369">
        <f t="shared" si="4"/>
        <v>-1699941.7490512975</v>
      </c>
      <c r="Y59" s="369">
        <f t="shared" si="4"/>
        <v>-1115238.2246644611</v>
      </c>
      <c r="Z59" s="369">
        <f t="shared" si="4"/>
        <v>-864690.57973156858</v>
      </c>
      <c r="AA59" s="369">
        <f t="shared" si="4"/>
        <v>-614142.93479867605</v>
      </c>
      <c r="AB59" s="369">
        <f t="shared" si="4"/>
        <v>-363595.28986578347</v>
      </c>
      <c r="AC59" s="369">
        <f t="shared" si="4"/>
        <v>0</v>
      </c>
      <c r="AD59" s="369">
        <f t="shared" si="4"/>
        <v>-10024676.383618332</v>
      </c>
      <c r="AE59" s="369">
        <f t="shared" si="4"/>
        <v>0</v>
      </c>
    </row>
    <row r="60" spans="1:31" s="311" customFormat="1" ht="12.75" x14ac:dyDescent="0.2">
      <c r="A60" s="370" t="s">
        <v>260</v>
      </c>
      <c r="B60" s="363"/>
      <c r="C60" s="363"/>
      <c r="D60" s="363"/>
      <c r="E60" s="363"/>
      <c r="F60" s="363"/>
      <c r="G60" s="363"/>
      <c r="H60" s="363"/>
      <c r="I60" s="363"/>
      <c r="J60" s="363"/>
      <c r="K60" s="363"/>
      <c r="L60" s="363">
        <f>-B28*1.2</f>
        <v>-334155.87945394445</v>
      </c>
      <c r="M60" s="363"/>
      <c r="N60" s="363"/>
      <c r="O60" s="363"/>
      <c r="P60" s="363"/>
      <c r="Q60" s="363"/>
      <c r="R60" s="363">
        <v>-334155.87945394398</v>
      </c>
      <c r="S60" s="363"/>
      <c r="T60" s="363"/>
      <c r="U60" s="363"/>
      <c r="V60" s="363"/>
      <c r="W60" s="363"/>
      <c r="X60" s="363">
        <v>-334155.87945394398</v>
      </c>
      <c r="Y60" s="363"/>
      <c r="Z60" s="363"/>
      <c r="AA60" s="363"/>
      <c r="AB60" s="363"/>
      <c r="AC60" s="363"/>
      <c r="AD60" s="363"/>
      <c r="AE60" s="363"/>
    </row>
    <row r="61" spans="1:31" s="311" customFormat="1" ht="12.75" x14ac:dyDescent="0.2">
      <c r="A61" s="370" t="s">
        <v>259</v>
      </c>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63"/>
      <c r="AC61" s="363"/>
      <c r="AD61" s="363"/>
      <c r="AE61" s="363"/>
    </row>
    <row r="62" spans="1:31" s="311" customFormat="1" ht="12.75" x14ac:dyDescent="0.2">
      <c r="A62" s="370" t="s">
        <v>644</v>
      </c>
      <c r="B62" s="363"/>
      <c r="C62" s="363"/>
      <c r="D62" s="363"/>
      <c r="E62" s="363"/>
      <c r="F62" s="388"/>
      <c r="G62" s="363"/>
      <c r="H62" s="363"/>
      <c r="I62" s="363"/>
      <c r="J62" s="363"/>
      <c r="K62" s="363"/>
      <c r="L62" s="363"/>
      <c r="M62" s="363"/>
      <c r="N62" s="363">
        <f>-B34*1.2</f>
        <v>-10024676.383618332</v>
      </c>
      <c r="O62" s="363"/>
      <c r="P62" s="363"/>
      <c r="Q62" s="363"/>
      <c r="R62" s="363"/>
      <c r="S62" s="363"/>
      <c r="T62" s="363"/>
      <c r="U62" s="363"/>
      <c r="V62" s="363">
        <f>N62</f>
        <v>-10024676.383618332</v>
      </c>
      <c r="W62" s="363"/>
      <c r="X62" s="363"/>
      <c r="Y62" s="363"/>
      <c r="Z62" s="363"/>
      <c r="AA62" s="363"/>
      <c r="AB62" s="363"/>
      <c r="AC62" s="363"/>
      <c r="AD62" s="363">
        <f>V62</f>
        <v>-10024676.383618332</v>
      </c>
      <c r="AE62" s="363"/>
    </row>
    <row r="63" spans="1:31" s="311" customFormat="1" ht="12.75" x14ac:dyDescent="0.2">
      <c r="A63" s="370" t="s">
        <v>429</v>
      </c>
      <c r="B63" s="371">
        <v>0</v>
      </c>
      <c r="C63" s="371">
        <v>0</v>
      </c>
      <c r="D63" s="371">
        <v>0</v>
      </c>
      <c r="E63" s="371">
        <v>0</v>
      </c>
      <c r="F63" s="371">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1">
        <v>0</v>
      </c>
      <c r="AC63" s="371">
        <v>0</v>
      </c>
      <c r="AD63" s="371">
        <v>0</v>
      </c>
      <c r="AE63" s="371">
        <v>0</v>
      </c>
    </row>
    <row r="64" spans="1:31" s="311" customFormat="1" ht="12.75" x14ac:dyDescent="0.2">
      <c r="A64" s="370" t="s">
        <v>429</v>
      </c>
      <c r="B64" s="371">
        <v>0</v>
      </c>
      <c r="C64" s="371">
        <v>0</v>
      </c>
      <c r="D64" s="371">
        <v>0</v>
      </c>
      <c r="E64" s="371">
        <v>0</v>
      </c>
      <c r="F64" s="371">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1">
        <v>0</v>
      </c>
      <c r="AC64" s="371">
        <v>0</v>
      </c>
      <c r="AD64" s="371">
        <v>0</v>
      </c>
      <c r="AE64" s="371">
        <v>0</v>
      </c>
    </row>
    <row r="65" spans="1:34" s="311" customFormat="1" ht="12.75" x14ac:dyDescent="0.2">
      <c r="A65" s="370" t="s">
        <v>646</v>
      </c>
      <c r="B65" s="371">
        <v>0</v>
      </c>
      <c r="C65" s="371">
        <v>0</v>
      </c>
      <c r="D65" s="371">
        <v>0</v>
      </c>
      <c r="E65" s="371">
        <v>0</v>
      </c>
      <c r="F65" s="371">
        <f>-($B$24+F67)*0.022</f>
        <v>-5875643.4783894215</v>
      </c>
      <c r="G65" s="371">
        <f>-($B$24+G67+F67)*0.022</f>
        <v>-5625095.8334565284</v>
      </c>
      <c r="H65" s="375">
        <f>-($B$24+H67+F67+G67)*0.022</f>
        <v>-5374548.1885236362</v>
      </c>
      <c r="I65" s="375">
        <f>-($B$24+I67+G67+H67+F67)*0.022</f>
        <v>-5124000.5435907431</v>
      </c>
      <c r="J65" s="375">
        <f>-($B$24+J67+H67+I67+G67+F67)*0.022</f>
        <v>-4873452.8986578509</v>
      </c>
      <c r="K65" s="375">
        <f>-($B$24+K67+I67+J67+H67+F67+G67)*0.022</f>
        <v>-4622905.2537249578</v>
      </c>
      <c r="L65" s="375">
        <f>-($B$24+F67+L67+J67+K67+I67+G67+H67)*0.022</f>
        <v>-4372357.6087920656</v>
      </c>
      <c r="M65" s="375">
        <f>-($B$24+G67+M67+K67+L67+J67+H67+I67+F67)*0.022</f>
        <v>-4121809.9638591725</v>
      </c>
      <c r="N65" s="375">
        <f>-($B$24+H67+N67+L67+M67+K67+I67+J67+F67+G67)*0.022</f>
        <v>-3871262.3189262799</v>
      </c>
      <c r="O65" s="375">
        <f>-($B$24+I67+O67+M67+N67+L67+J67+K67+H67+G67+F67)*0.022</f>
        <v>-3620714.6739933873</v>
      </c>
      <c r="P65" s="375">
        <f>(-$B$24+J67+P67+N67+O67+M67+K67+L67+I67+H67+G67+F67)*0.022</f>
        <v>-8882215.2175841331</v>
      </c>
      <c r="Q65" s="375">
        <f>-($B$24+K67+Q67+O67+P67+N67+L67+M67+J67+I67+H67+F67+G67)*0.022</f>
        <v>-3119619.384127602</v>
      </c>
      <c r="R65" s="375">
        <f>-($B$24+L67+R67+P67+Q67+O67+M67+N67+K67+J67+I67+G67+F67+H67)*0.022</f>
        <v>-2869071.7391947093</v>
      </c>
      <c r="S65" s="375">
        <f>-($B$24+M67+S67+Q67+R67+P67+N67+O67+L67+K67+J67+H67+I67+F67+G67)*0.022</f>
        <v>-2618524.0942618167</v>
      </c>
      <c r="T65" s="375">
        <f>-($B$24+N67+T67+R67+S67+Q67+O67+P67+M67+L67+K67+I67+J67+G67+F67+H67)*0.022</f>
        <v>-2367976.4493289241</v>
      </c>
      <c r="U65" s="375">
        <f>-($B$24+O67+U67+S67+T67+R67+P67+Q67+N67+M67+L67+J67+K67+H67+G67+F67+I67)*0.022</f>
        <v>-2117428.8043960314</v>
      </c>
      <c r="V65" s="375">
        <f>-($B$24+P67+V67+T67+U67+S67+Q67+R67+O67+N67+M67+K67+L67+I67+H67+G67+F67+J67)*0.022</f>
        <v>-1866881.1594631388</v>
      </c>
      <c r="W65" s="375">
        <f>-($B$24+Q67+W67+U67+V67+T67+R67+S67+P67+O67+N67+L67+M67+J67+I67+H67+G67+F67+K67)*0.022</f>
        <v>-1616333.5145302461</v>
      </c>
      <c r="X65" s="375">
        <f>-($B$24+R67+X67+V67+W67+U67+S67+T67+Q67+P67+O67+M67+N67+K67+J67+I67+H67+F67+G67++L67)*0.022</f>
        <v>-1365785.8695973535</v>
      </c>
      <c r="Y65" s="375">
        <f>-($B$24+S67+Y67+W67+X67+V67+T67+U67+R67+Q67+P67+N67+O67+L67+K67+J67+I67+G67+H67+F67+M67)*0.022</f>
        <v>-1115238.2246644611</v>
      </c>
      <c r="Z65" s="375">
        <f>-($B$24+T67+Z67+X67+Y67+W67+U67+V67+S67+R67+Q67+O67+P67+M67+L67+K67+J67+H67+I67+G67+F67+N67)*0.022</f>
        <v>-864690.57973156858</v>
      </c>
      <c r="AA65" s="375">
        <f>-($B$24+U67+AA67+Y67+Z67+X67+V67+W67+T67+S67+R67+P67+Q67+N67+M67+L67+K67+I67+J67+H67+G67+F67+O67)*0.022</f>
        <v>-614142.93479867605</v>
      </c>
      <c r="AB65" s="375">
        <f>-($B$24+V67+AB67+Z67+AA67+Y67+W67+X67+U67+T67+S67+Q67+R67+O67+N67+M67+L67+J67+K67+I67+H67+G67+F67+P67)*0.022</f>
        <v>-363595.28986578347</v>
      </c>
      <c r="AC65" s="375">
        <v>0</v>
      </c>
      <c r="AD65" s="375">
        <v>0</v>
      </c>
      <c r="AE65" s="375">
        <v>0</v>
      </c>
      <c r="AF65" s="375"/>
      <c r="AG65" s="375"/>
      <c r="AH65" s="375"/>
    </row>
    <row r="66" spans="1:34" s="311" customFormat="1" ht="12.75" x14ac:dyDescent="0.2">
      <c r="A66" s="372" t="s">
        <v>647</v>
      </c>
      <c r="B66" s="373">
        <f t="shared" ref="B66:AE66" si="5">B58+B59</f>
        <v>0</v>
      </c>
      <c r="C66" s="373">
        <f t="shared" si="5"/>
        <v>0</v>
      </c>
      <c r="D66" s="373">
        <f t="shared" si="5"/>
        <v>0</v>
      </c>
      <c r="E66" s="373">
        <f t="shared" si="5"/>
        <v>0</v>
      </c>
      <c r="F66" s="373">
        <f t="shared" si="5"/>
        <v>37049290.836675674</v>
      </c>
      <c r="G66" s="373">
        <f t="shared" si="5"/>
        <v>48947826.014675155</v>
      </c>
      <c r="H66" s="373">
        <f t="shared" si="5"/>
        <v>55124350.937940463</v>
      </c>
      <c r="I66" s="373">
        <f t="shared" si="5"/>
        <v>61737366.1410065</v>
      </c>
      <c r="J66" s="373">
        <f t="shared" si="5"/>
        <v>65867280.66136571</v>
      </c>
      <c r="K66" s="373">
        <f t="shared" si="5"/>
        <v>70214158.909008682</v>
      </c>
      <c r="L66" s="373">
        <f t="shared" si="5"/>
        <v>74455670.073418409</v>
      </c>
      <c r="M66" s="373">
        <f t="shared" si="5"/>
        <v>82989710.826686248</v>
      </c>
      <c r="N66" s="373">
        <f t="shared" si="5"/>
        <v>81737287.75290893</v>
      </c>
      <c r="O66" s="373">
        <f t="shared" si="5"/>
        <v>96507273.424866453</v>
      </c>
      <c r="P66" s="373">
        <f t="shared" si="5"/>
        <v>95951788.321922138</v>
      </c>
      <c r="Q66" s="373">
        <f t="shared" si="5"/>
        <v>106641582.32173546</v>
      </c>
      <c r="R66" s="373">
        <f t="shared" si="5"/>
        <v>111716750.56738998</v>
      </c>
      <c r="S66" s="373">
        <f t="shared" si="5"/>
        <v>117702693.06652062</v>
      </c>
      <c r="T66" s="373">
        <f t="shared" si="5"/>
        <v>123608337.91801025</v>
      </c>
      <c r="U66" s="373">
        <f t="shared" si="5"/>
        <v>129779772.33820808</v>
      </c>
      <c r="V66" s="373">
        <f t="shared" si="5"/>
        <v>126204812.053225</v>
      </c>
      <c r="W66" s="373">
        <f t="shared" si="5"/>
        <v>142970565.45280266</v>
      </c>
      <c r="X66" s="373">
        <f t="shared" si="5"/>
        <v>149682541.46974623</v>
      </c>
      <c r="Y66" s="373">
        <f t="shared" si="5"/>
        <v>157382221.70541656</v>
      </c>
      <c r="Z66" s="373">
        <f t="shared" si="5"/>
        <v>165082149.96706325</v>
      </c>
      <c r="AA66" s="373">
        <f t="shared" si="5"/>
        <v>173132199.11769545</v>
      </c>
      <c r="AB66" s="373">
        <f t="shared" si="5"/>
        <v>183233199.09954897</v>
      </c>
      <c r="AC66" s="373">
        <f t="shared" si="5"/>
        <v>193989383.57641184</v>
      </c>
      <c r="AD66" s="373">
        <f t="shared" si="5"/>
        <v>193082208.22088486</v>
      </c>
      <c r="AE66" s="373">
        <f t="shared" si="5"/>
        <v>212652908.18091482</v>
      </c>
    </row>
    <row r="67" spans="1:34" s="311" customFormat="1" ht="12.75" x14ac:dyDescent="0.2">
      <c r="A67" s="370" t="s">
        <v>255</v>
      </c>
      <c r="B67" s="374">
        <v>0</v>
      </c>
      <c r="C67" s="375">
        <v>0</v>
      </c>
      <c r="D67" s="375">
        <v>0</v>
      </c>
      <c r="E67" s="375">
        <v>0</v>
      </c>
      <c r="F67" s="374">
        <f>($B$81+$C$81+$D$81+$E$81+$F$81)*$B$27/$B$26</f>
        <v>-11388529.31513148</v>
      </c>
      <c r="G67" s="374">
        <f>($B$81+$C$81+$D$81+$E$81+$F$81)*$B$27/$B$26</f>
        <v>-11388529.31513148</v>
      </c>
      <c r="H67" s="375">
        <f t="shared" ref="H67:AE67" si="6">G67</f>
        <v>-11388529.31513148</v>
      </c>
      <c r="I67" s="375">
        <f t="shared" si="6"/>
        <v>-11388529.31513148</v>
      </c>
      <c r="J67" s="375">
        <f t="shared" si="6"/>
        <v>-11388529.31513148</v>
      </c>
      <c r="K67" s="375">
        <f t="shared" si="6"/>
        <v>-11388529.31513148</v>
      </c>
      <c r="L67" s="375">
        <f t="shared" si="6"/>
        <v>-11388529.31513148</v>
      </c>
      <c r="M67" s="375">
        <f t="shared" si="6"/>
        <v>-11388529.31513148</v>
      </c>
      <c r="N67" s="375">
        <f t="shared" si="6"/>
        <v>-11388529.31513148</v>
      </c>
      <c r="O67" s="375">
        <f t="shared" si="6"/>
        <v>-11388529.31513148</v>
      </c>
      <c r="P67" s="375">
        <f t="shared" si="6"/>
        <v>-11388529.31513148</v>
      </c>
      <c r="Q67" s="375">
        <f t="shared" si="6"/>
        <v>-11388529.31513148</v>
      </c>
      <c r="R67" s="375">
        <f t="shared" si="6"/>
        <v>-11388529.31513148</v>
      </c>
      <c r="S67" s="375">
        <f t="shared" si="6"/>
        <v>-11388529.31513148</v>
      </c>
      <c r="T67" s="375">
        <f t="shared" si="6"/>
        <v>-11388529.31513148</v>
      </c>
      <c r="U67" s="375">
        <f t="shared" si="6"/>
        <v>-11388529.31513148</v>
      </c>
      <c r="V67" s="375">
        <f t="shared" si="6"/>
        <v>-11388529.31513148</v>
      </c>
      <c r="W67" s="375">
        <f t="shared" si="6"/>
        <v>-11388529.31513148</v>
      </c>
      <c r="X67" s="375">
        <f t="shared" si="6"/>
        <v>-11388529.31513148</v>
      </c>
      <c r="Y67" s="375">
        <f t="shared" si="6"/>
        <v>-11388529.31513148</v>
      </c>
      <c r="Z67" s="375">
        <f t="shared" si="6"/>
        <v>-11388529.31513148</v>
      </c>
      <c r="AA67" s="375">
        <f t="shared" si="6"/>
        <v>-11388529.31513148</v>
      </c>
      <c r="AB67" s="375">
        <f t="shared" si="6"/>
        <v>-11388529.31513148</v>
      </c>
      <c r="AC67" s="375">
        <v>0</v>
      </c>
      <c r="AD67" s="375">
        <f t="shared" si="6"/>
        <v>0</v>
      </c>
      <c r="AE67" s="375">
        <f t="shared" si="6"/>
        <v>0</v>
      </c>
    </row>
    <row r="68" spans="1:34" s="311" customFormat="1" ht="12.75" x14ac:dyDescent="0.2">
      <c r="A68" s="372" t="s">
        <v>648</v>
      </c>
      <c r="B68" s="373">
        <f t="shared" ref="B68:AE68" si="7">B66+B67</f>
        <v>0</v>
      </c>
      <c r="C68" s="373">
        <f t="shared" si="7"/>
        <v>0</v>
      </c>
      <c r="D68" s="373">
        <f t="shared" si="7"/>
        <v>0</v>
      </c>
      <c r="E68" s="373">
        <f t="shared" si="7"/>
        <v>0</v>
      </c>
      <c r="F68" s="373">
        <f t="shared" si="7"/>
        <v>25660761.521544196</v>
      </c>
      <c r="G68" s="373">
        <f t="shared" si="7"/>
        <v>37559296.699543677</v>
      </c>
      <c r="H68" s="373">
        <f t="shared" si="7"/>
        <v>43735821.622808985</v>
      </c>
      <c r="I68" s="373">
        <f t="shared" si="7"/>
        <v>50348836.825875022</v>
      </c>
      <c r="J68" s="373">
        <f t="shared" si="7"/>
        <v>54478751.346234232</v>
      </c>
      <c r="K68" s="373">
        <f t="shared" si="7"/>
        <v>58825629.593877204</v>
      </c>
      <c r="L68" s="373">
        <f t="shared" si="7"/>
        <v>63067140.758286931</v>
      </c>
      <c r="M68" s="373">
        <f t="shared" si="7"/>
        <v>71601181.511554763</v>
      </c>
      <c r="N68" s="373">
        <f t="shared" si="7"/>
        <v>70348758.437777445</v>
      </c>
      <c r="O68" s="373">
        <f t="shared" si="7"/>
        <v>85118744.109734967</v>
      </c>
      <c r="P68" s="373">
        <f t="shared" si="7"/>
        <v>84563259.006790653</v>
      </c>
      <c r="Q68" s="373">
        <f t="shared" si="7"/>
        <v>95253053.006603971</v>
      </c>
      <c r="R68" s="373">
        <f t="shared" si="7"/>
        <v>100328221.25225849</v>
      </c>
      <c r="S68" s="373">
        <f t="shared" si="7"/>
        <v>106314163.75138913</v>
      </c>
      <c r="T68" s="373">
        <f t="shared" si="7"/>
        <v>112219808.60287876</v>
      </c>
      <c r="U68" s="373">
        <f t="shared" si="7"/>
        <v>118391243.02307659</v>
      </c>
      <c r="V68" s="373">
        <f t="shared" si="7"/>
        <v>114816282.73809351</v>
      </c>
      <c r="W68" s="373">
        <f t="shared" si="7"/>
        <v>131582036.13767117</v>
      </c>
      <c r="X68" s="373">
        <f t="shared" si="7"/>
        <v>138294012.15461475</v>
      </c>
      <c r="Y68" s="373">
        <f t="shared" si="7"/>
        <v>145993692.39028507</v>
      </c>
      <c r="Z68" s="373">
        <f t="shared" si="7"/>
        <v>153693620.65193176</v>
      </c>
      <c r="AA68" s="373">
        <f t="shared" si="7"/>
        <v>161743669.80256397</v>
      </c>
      <c r="AB68" s="373">
        <f t="shared" si="7"/>
        <v>171844669.78441748</v>
      </c>
      <c r="AC68" s="373">
        <f t="shared" si="7"/>
        <v>193989383.57641184</v>
      </c>
      <c r="AD68" s="373">
        <f t="shared" si="7"/>
        <v>193082208.22088486</v>
      </c>
      <c r="AE68" s="373">
        <f t="shared" si="7"/>
        <v>212652908.18091482</v>
      </c>
    </row>
    <row r="69" spans="1:34" s="311" customFormat="1" ht="12.75" x14ac:dyDescent="0.2">
      <c r="A69" s="370" t="s">
        <v>254</v>
      </c>
      <c r="B69" s="371">
        <v>0</v>
      </c>
      <c r="C69" s="371">
        <v>0</v>
      </c>
      <c r="D69" s="371">
        <v>0</v>
      </c>
      <c r="E69" s="371">
        <v>0</v>
      </c>
      <c r="F69" s="371">
        <v>0</v>
      </c>
      <c r="G69" s="371">
        <v>0</v>
      </c>
      <c r="H69" s="371">
        <v>0</v>
      </c>
      <c r="I69" s="371">
        <v>0</v>
      </c>
      <c r="J69" s="371">
        <v>0</v>
      </c>
      <c r="K69" s="371">
        <v>0</v>
      </c>
      <c r="L69" s="371">
        <v>0</v>
      </c>
      <c r="M69" s="371">
        <v>0</v>
      </c>
      <c r="N69" s="371">
        <v>0</v>
      </c>
      <c r="O69" s="371">
        <v>0</v>
      </c>
      <c r="P69" s="371">
        <v>0</v>
      </c>
      <c r="Q69" s="371">
        <v>0</v>
      </c>
      <c r="R69" s="371">
        <v>0</v>
      </c>
      <c r="S69" s="371">
        <v>0</v>
      </c>
      <c r="T69" s="371">
        <v>0</v>
      </c>
      <c r="U69" s="371">
        <v>0</v>
      </c>
      <c r="V69" s="371">
        <v>0</v>
      </c>
      <c r="W69" s="371">
        <v>0</v>
      </c>
      <c r="X69" s="371">
        <v>0</v>
      </c>
      <c r="Y69" s="371">
        <v>0</v>
      </c>
      <c r="Z69" s="371">
        <v>0</v>
      </c>
      <c r="AA69" s="371">
        <v>0</v>
      </c>
      <c r="AB69" s="371">
        <v>0</v>
      </c>
      <c r="AC69" s="371">
        <v>0</v>
      </c>
      <c r="AD69" s="371">
        <v>0</v>
      </c>
      <c r="AE69" s="371">
        <v>0</v>
      </c>
    </row>
    <row r="70" spans="1:34" s="311" customFormat="1" ht="12.75" x14ac:dyDescent="0.2">
      <c r="A70" s="372" t="s">
        <v>258</v>
      </c>
      <c r="B70" s="373">
        <f t="shared" ref="B70:AE70" si="8">B68+B69</f>
        <v>0</v>
      </c>
      <c r="C70" s="373">
        <f t="shared" si="8"/>
        <v>0</v>
      </c>
      <c r="D70" s="373">
        <f t="shared" si="8"/>
        <v>0</v>
      </c>
      <c r="E70" s="373">
        <f t="shared" si="8"/>
        <v>0</v>
      </c>
      <c r="F70" s="373">
        <f t="shared" si="8"/>
        <v>25660761.521544196</v>
      </c>
      <c r="G70" s="373">
        <f t="shared" si="8"/>
        <v>37559296.699543677</v>
      </c>
      <c r="H70" s="373">
        <f t="shared" si="8"/>
        <v>43735821.622808985</v>
      </c>
      <c r="I70" s="373">
        <f t="shared" si="8"/>
        <v>50348836.825875022</v>
      </c>
      <c r="J70" s="373">
        <f t="shared" si="8"/>
        <v>54478751.346234232</v>
      </c>
      <c r="K70" s="373">
        <f t="shared" si="8"/>
        <v>58825629.593877204</v>
      </c>
      <c r="L70" s="373">
        <f t="shared" si="8"/>
        <v>63067140.758286931</v>
      </c>
      <c r="M70" s="373">
        <f t="shared" si="8"/>
        <v>71601181.511554763</v>
      </c>
      <c r="N70" s="373">
        <f t="shared" si="8"/>
        <v>70348758.437777445</v>
      </c>
      <c r="O70" s="373">
        <f t="shared" si="8"/>
        <v>85118744.109734967</v>
      </c>
      <c r="P70" s="373">
        <f t="shared" si="8"/>
        <v>84563259.006790653</v>
      </c>
      <c r="Q70" s="373">
        <f t="shared" si="8"/>
        <v>95253053.006603971</v>
      </c>
      <c r="R70" s="373">
        <f t="shared" si="8"/>
        <v>100328221.25225849</v>
      </c>
      <c r="S70" s="373">
        <f t="shared" si="8"/>
        <v>106314163.75138913</v>
      </c>
      <c r="T70" s="373">
        <f t="shared" si="8"/>
        <v>112219808.60287876</v>
      </c>
      <c r="U70" s="373">
        <f t="shared" si="8"/>
        <v>118391243.02307659</v>
      </c>
      <c r="V70" s="373">
        <f t="shared" si="8"/>
        <v>114816282.73809351</v>
      </c>
      <c r="W70" s="373">
        <f t="shared" si="8"/>
        <v>131582036.13767117</v>
      </c>
      <c r="X70" s="373">
        <f t="shared" si="8"/>
        <v>138294012.15461475</v>
      </c>
      <c r="Y70" s="373">
        <f t="shared" si="8"/>
        <v>145993692.39028507</v>
      </c>
      <c r="Z70" s="373">
        <f t="shared" si="8"/>
        <v>153693620.65193176</v>
      </c>
      <c r="AA70" s="373">
        <f t="shared" si="8"/>
        <v>161743669.80256397</v>
      </c>
      <c r="AB70" s="373">
        <f t="shared" si="8"/>
        <v>171844669.78441748</v>
      </c>
      <c r="AC70" s="373">
        <f t="shared" si="8"/>
        <v>193989383.57641184</v>
      </c>
      <c r="AD70" s="373">
        <f t="shared" si="8"/>
        <v>193082208.22088486</v>
      </c>
      <c r="AE70" s="373">
        <f t="shared" si="8"/>
        <v>212652908.18091482</v>
      </c>
    </row>
    <row r="71" spans="1:34" s="311" customFormat="1" ht="12.75" x14ac:dyDescent="0.2">
      <c r="A71" s="370" t="s">
        <v>253</v>
      </c>
      <c r="B71" s="374">
        <f t="shared" ref="B71:AE71" si="9">-B70*$B$35</f>
        <v>0</v>
      </c>
      <c r="C71" s="374">
        <f t="shared" si="9"/>
        <v>0</v>
      </c>
      <c r="D71" s="374">
        <f t="shared" si="9"/>
        <v>0</v>
      </c>
      <c r="E71" s="374">
        <f t="shared" si="9"/>
        <v>0</v>
      </c>
      <c r="F71" s="374">
        <f t="shared" si="9"/>
        <v>-5132152.3043088391</v>
      </c>
      <c r="G71" s="374">
        <f t="shared" si="9"/>
        <v>-7511859.3399087358</v>
      </c>
      <c r="H71" s="374">
        <f t="shared" si="9"/>
        <v>-8747164.3245617971</v>
      </c>
      <c r="I71" s="374">
        <f t="shared" si="9"/>
        <v>-10069767.365175005</v>
      </c>
      <c r="J71" s="374">
        <f t="shared" si="9"/>
        <v>-10895750.269246846</v>
      </c>
      <c r="K71" s="374">
        <f t="shared" si="9"/>
        <v>-11765125.918775441</v>
      </c>
      <c r="L71" s="374">
        <f t="shared" si="9"/>
        <v>-12613428.151657388</v>
      </c>
      <c r="M71" s="374">
        <f t="shared" si="9"/>
        <v>-14320236.302310953</v>
      </c>
      <c r="N71" s="374">
        <f t="shared" si="9"/>
        <v>-14069751.68755549</v>
      </c>
      <c r="O71" s="374">
        <f t="shared" si="9"/>
        <v>-17023748.821946993</v>
      </c>
      <c r="P71" s="374">
        <f t="shared" si="9"/>
        <v>-16912651.80135813</v>
      </c>
      <c r="Q71" s="374">
        <f t="shared" si="9"/>
        <v>-19050610.601320796</v>
      </c>
      <c r="R71" s="374">
        <f t="shared" si="9"/>
        <v>-20065644.250451699</v>
      </c>
      <c r="S71" s="374">
        <f t="shared" si="9"/>
        <v>-21262832.750277828</v>
      </c>
      <c r="T71" s="374">
        <f t="shared" si="9"/>
        <v>-22443961.720575754</v>
      </c>
      <c r="U71" s="374">
        <f t="shared" si="9"/>
        <v>-23678248.60461532</v>
      </c>
      <c r="V71" s="374">
        <f t="shared" si="9"/>
        <v>-22963256.547618702</v>
      </c>
      <c r="W71" s="374">
        <f t="shared" si="9"/>
        <v>-26316407.227534235</v>
      </c>
      <c r="X71" s="374">
        <f t="shared" si="9"/>
        <v>-27658802.430922952</v>
      </c>
      <c r="Y71" s="374">
        <f t="shared" si="9"/>
        <v>-29198738.478057016</v>
      </c>
      <c r="Z71" s="374">
        <f t="shared" si="9"/>
        <v>-30738724.130386353</v>
      </c>
      <c r="AA71" s="374">
        <f t="shared" si="9"/>
        <v>-32348733.960512795</v>
      </c>
      <c r="AB71" s="374">
        <f t="shared" si="9"/>
        <v>-34368933.956883498</v>
      </c>
      <c r="AC71" s="374">
        <f t="shared" si="9"/>
        <v>-38797876.715282373</v>
      </c>
      <c r="AD71" s="374">
        <f t="shared" si="9"/>
        <v>-38616441.644176975</v>
      </c>
      <c r="AE71" s="374">
        <f t="shared" si="9"/>
        <v>-42530581.636182964</v>
      </c>
    </row>
    <row r="72" spans="1:34" s="311" customFormat="1" ht="13.5" thickBot="1" x14ac:dyDescent="0.25">
      <c r="A72" s="376" t="s">
        <v>257</v>
      </c>
      <c r="B72" s="377">
        <f t="shared" ref="B72:AE72" si="10">B70+B71</f>
        <v>0</v>
      </c>
      <c r="C72" s="377">
        <f t="shared" si="10"/>
        <v>0</v>
      </c>
      <c r="D72" s="377">
        <f t="shared" si="10"/>
        <v>0</v>
      </c>
      <c r="E72" s="377">
        <f t="shared" si="10"/>
        <v>0</v>
      </c>
      <c r="F72" s="377">
        <f t="shared" si="10"/>
        <v>20528609.217235357</v>
      </c>
      <c r="G72" s="377">
        <f t="shared" si="10"/>
        <v>30047437.359634943</v>
      </c>
      <c r="H72" s="377">
        <f t="shared" si="10"/>
        <v>34988657.298247188</v>
      </c>
      <c r="I72" s="377">
        <f t="shared" si="10"/>
        <v>40279069.46070002</v>
      </c>
      <c r="J72" s="377">
        <f t="shared" si="10"/>
        <v>43583001.076987386</v>
      </c>
      <c r="K72" s="377">
        <f t="shared" si="10"/>
        <v>47060503.675101765</v>
      </c>
      <c r="L72" s="377">
        <f t="shared" si="10"/>
        <v>50453712.606629543</v>
      </c>
      <c r="M72" s="377">
        <f t="shared" si="10"/>
        <v>57280945.209243812</v>
      </c>
      <c r="N72" s="377">
        <f t="shared" si="10"/>
        <v>56279006.750221953</v>
      </c>
      <c r="O72" s="377">
        <f t="shared" si="10"/>
        <v>68094995.287787974</v>
      </c>
      <c r="P72" s="377">
        <f t="shared" si="10"/>
        <v>67650607.205432519</v>
      </c>
      <c r="Q72" s="377">
        <f t="shared" si="10"/>
        <v>76202442.405283183</v>
      </c>
      <c r="R72" s="377">
        <f t="shared" si="10"/>
        <v>80262577.001806796</v>
      </c>
      <c r="S72" s="377">
        <f t="shared" si="10"/>
        <v>85051331.001111299</v>
      </c>
      <c r="T72" s="377">
        <f t="shared" si="10"/>
        <v>89775846.882303014</v>
      </c>
      <c r="U72" s="377">
        <f t="shared" si="10"/>
        <v>94712994.418461278</v>
      </c>
      <c r="V72" s="377">
        <f t="shared" si="10"/>
        <v>91853026.190474808</v>
      </c>
      <c r="W72" s="377">
        <f t="shared" si="10"/>
        <v>105265628.91013694</v>
      </c>
      <c r="X72" s="377">
        <f t="shared" si="10"/>
        <v>110635209.72369179</v>
      </c>
      <c r="Y72" s="377">
        <f t="shared" si="10"/>
        <v>116794953.91222806</v>
      </c>
      <c r="Z72" s="377">
        <f t="shared" si="10"/>
        <v>122954896.52154541</v>
      </c>
      <c r="AA72" s="377">
        <f t="shared" si="10"/>
        <v>129394935.84205118</v>
      </c>
      <c r="AB72" s="377">
        <f t="shared" si="10"/>
        <v>137475735.82753399</v>
      </c>
      <c r="AC72" s="377">
        <f t="shared" si="10"/>
        <v>155191506.86112946</v>
      </c>
      <c r="AD72" s="377">
        <f t="shared" si="10"/>
        <v>154465766.5767079</v>
      </c>
      <c r="AE72" s="377">
        <f t="shared" si="10"/>
        <v>170122326.54473186</v>
      </c>
    </row>
    <row r="73" spans="1:34" s="311" customFormat="1" ht="13.5" thickBot="1" x14ac:dyDescent="0.25">
      <c r="A73" s="360"/>
      <c r="B73" s="378">
        <v>0.5</v>
      </c>
      <c r="C73" s="378">
        <v>1.5</v>
      </c>
      <c r="D73" s="378">
        <v>2.5</v>
      </c>
      <c r="E73" s="378">
        <v>3.5</v>
      </c>
      <c r="F73" s="378">
        <v>4.5</v>
      </c>
      <c r="G73" s="378">
        <v>5.5</v>
      </c>
      <c r="H73" s="378">
        <v>6.5</v>
      </c>
      <c r="I73" s="378">
        <v>7.5</v>
      </c>
      <c r="J73" s="378">
        <v>8.5</v>
      </c>
      <c r="K73" s="378">
        <v>9.5</v>
      </c>
      <c r="L73" s="378">
        <v>10.5</v>
      </c>
      <c r="M73" s="378">
        <v>11.5</v>
      </c>
      <c r="N73" s="378">
        <v>12.5</v>
      </c>
      <c r="O73" s="378">
        <v>13.5</v>
      </c>
      <c r="P73" s="378">
        <v>14.5</v>
      </c>
      <c r="Q73" s="378">
        <v>15.5</v>
      </c>
      <c r="R73" s="378">
        <v>16.5</v>
      </c>
      <c r="S73" s="378">
        <v>17.5</v>
      </c>
      <c r="T73" s="378">
        <v>18.5</v>
      </c>
      <c r="U73" s="378">
        <v>19.5</v>
      </c>
      <c r="V73" s="378">
        <v>20.5</v>
      </c>
      <c r="W73" s="378">
        <v>21.5</v>
      </c>
      <c r="X73" s="378">
        <v>22.5</v>
      </c>
      <c r="Y73" s="378">
        <v>23.5</v>
      </c>
      <c r="Z73" s="378">
        <v>24.5</v>
      </c>
      <c r="AA73" s="378">
        <v>25.5</v>
      </c>
      <c r="AB73" s="378">
        <v>26.5</v>
      </c>
      <c r="AC73" s="378">
        <v>27.5</v>
      </c>
      <c r="AD73" s="378">
        <v>28.5</v>
      </c>
      <c r="AE73" s="378">
        <v>29.5</v>
      </c>
    </row>
    <row r="74" spans="1:34" s="311" customFormat="1" ht="12.75" x14ac:dyDescent="0.2">
      <c r="A74" s="362" t="s">
        <v>256</v>
      </c>
      <c r="B74" s="355">
        <v>1</v>
      </c>
      <c r="C74" s="355">
        <v>2</v>
      </c>
      <c r="D74" s="355">
        <v>3</v>
      </c>
      <c r="E74" s="355">
        <v>4</v>
      </c>
      <c r="F74" s="355">
        <v>5</v>
      </c>
      <c r="G74" s="355">
        <v>6</v>
      </c>
      <c r="H74" s="355">
        <v>7</v>
      </c>
      <c r="I74" s="355">
        <v>8</v>
      </c>
      <c r="J74" s="355">
        <v>9</v>
      </c>
      <c r="K74" s="355">
        <v>10</v>
      </c>
      <c r="L74" s="355">
        <v>11</v>
      </c>
      <c r="M74" s="355">
        <v>12</v>
      </c>
      <c r="N74" s="355">
        <v>13</v>
      </c>
      <c r="O74" s="355">
        <v>14</v>
      </c>
      <c r="P74" s="355">
        <v>15</v>
      </c>
      <c r="Q74" s="355">
        <v>16</v>
      </c>
      <c r="R74" s="355">
        <v>17</v>
      </c>
      <c r="S74" s="355">
        <v>18</v>
      </c>
      <c r="T74" s="355">
        <v>19</v>
      </c>
      <c r="U74" s="355">
        <v>20</v>
      </c>
      <c r="V74" s="355">
        <v>21</v>
      </c>
      <c r="W74" s="355">
        <v>22</v>
      </c>
      <c r="X74" s="355">
        <v>23</v>
      </c>
      <c r="Y74" s="355">
        <v>24</v>
      </c>
      <c r="Z74" s="355">
        <v>25</v>
      </c>
      <c r="AA74" s="355">
        <v>26</v>
      </c>
      <c r="AB74" s="355">
        <v>27</v>
      </c>
      <c r="AC74" s="355">
        <v>28</v>
      </c>
      <c r="AD74" s="355">
        <v>29</v>
      </c>
      <c r="AE74" s="355">
        <v>30</v>
      </c>
    </row>
    <row r="75" spans="1:34" s="311" customFormat="1" ht="12.75" x14ac:dyDescent="0.2">
      <c r="A75" s="379" t="s">
        <v>648</v>
      </c>
      <c r="B75" s="373">
        <f t="shared" ref="B75:AE75" si="11">B68</f>
        <v>0</v>
      </c>
      <c r="C75" s="373">
        <f t="shared" si="11"/>
        <v>0</v>
      </c>
      <c r="D75" s="373">
        <f t="shared" si="11"/>
        <v>0</v>
      </c>
      <c r="E75" s="373">
        <f t="shared" si="11"/>
        <v>0</v>
      </c>
      <c r="F75" s="373">
        <f t="shared" si="11"/>
        <v>25660761.521544196</v>
      </c>
      <c r="G75" s="373">
        <f t="shared" si="11"/>
        <v>37559296.699543677</v>
      </c>
      <c r="H75" s="373">
        <f t="shared" si="11"/>
        <v>43735821.622808985</v>
      </c>
      <c r="I75" s="373">
        <f t="shared" si="11"/>
        <v>50348836.825875022</v>
      </c>
      <c r="J75" s="373">
        <f t="shared" si="11"/>
        <v>54478751.346234232</v>
      </c>
      <c r="K75" s="373">
        <f t="shared" si="11"/>
        <v>58825629.593877204</v>
      </c>
      <c r="L75" s="373">
        <f t="shared" si="11"/>
        <v>63067140.758286931</v>
      </c>
      <c r="M75" s="373">
        <f t="shared" si="11"/>
        <v>71601181.511554763</v>
      </c>
      <c r="N75" s="373">
        <f t="shared" si="11"/>
        <v>70348758.437777445</v>
      </c>
      <c r="O75" s="373">
        <f t="shared" si="11"/>
        <v>85118744.109734967</v>
      </c>
      <c r="P75" s="373">
        <f t="shared" si="11"/>
        <v>84563259.006790653</v>
      </c>
      <c r="Q75" s="373">
        <f t="shared" si="11"/>
        <v>95253053.006603971</v>
      </c>
      <c r="R75" s="373">
        <f t="shared" si="11"/>
        <v>100328221.25225849</v>
      </c>
      <c r="S75" s="373">
        <f t="shared" si="11"/>
        <v>106314163.75138913</v>
      </c>
      <c r="T75" s="373">
        <f t="shared" si="11"/>
        <v>112219808.60287876</v>
      </c>
      <c r="U75" s="373">
        <f t="shared" si="11"/>
        <v>118391243.02307659</v>
      </c>
      <c r="V75" s="373">
        <f t="shared" si="11"/>
        <v>114816282.73809351</v>
      </c>
      <c r="W75" s="373">
        <f t="shared" si="11"/>
        <v>131582036.13767117</v>
      </c>
      <c r="X75" s="373">
        <f t="shared" si="11"/>
        <v>138294012.15461475</v>
      </c>
      <c r="Y75" s="373">
        <f t="shared" si="11"/>
        <v>145993692.39028507</v>
      </c>
      <c r="Z75" s="373">
        <f t="shared" si="11"/>
        <v>153693620.65193176</v>
      </c>
      <c r="AA75" s="373">
        <f t="shared" si="11"/>
        <v>161743669.80256397</v>
      </c>
      <c r="AB75" s="373">
        <f t="shared" si="11"/>
        <v>171844669.78441748</v>
      </c>
      <c r="AC75" s="373">
        <f t="shared" si="11"/>
        <v>193989383.57641184</v>
      </c>
      <c r="AD75" s="373">
        <f t="shared" si="11"/>
        <v>193082208.22088486</v>
      </c>
      <c r="AE75" s="373">
        <f t="shared" si="11"/>
        <v>212652908.18091482</v>
      </c>
    </row>
    <row r="76" spans="1:34" s="311" customFormat="1" ht="12.75" x14ac:dyDescent="0.2">
      <c r="A76" s="370" t="s">
        <v>255</v>
      </c>
      <c r="B76" s="374">
        <f t="shared" ref="B76:AE76" si="12">-B67</f>
        <v>0</v>
      </c>
      <c r="C76" s="374">
        <f t="shared" si="12"/>
        <v>0</v>
      </c>
      <c r="D76" s="374">
        <f t="shared" si="12"/>
        <v>0</v>
      </c>
      <c r="E76" s="374">
        <f t="shared" si="12"/>
        <v>0</v>
      </c>
      <c r="F76" s="374">
        <f t="shared" si="12"/>
        <v>11388529.31513148</v>
      </c>
      <c r="G76" s="374">
        <f>-G67</f>
        <v>11388529.31513148</v>
      </c>
      <c r="H76" s="374">
        <f t="shared" si="12"/>
        <v>11388529.31513148</v>
      </c>
      <c r="I76" s="374">
        <f t="shared" si="12"/>
        <v>11388529.31513148</v>
      </c>
      <c r="J76" s="374">
        <f t="shared" si="12"/>
        <v>11388529.31513148</v>
      </c>
      <c r="K76" s="374">
        <f t="shared" si="12"/>
        <v>11388529.31513148</v>
      </c>
      <c r="L76" s="374">
        <f t="shared" si="12"/>
        <v>11388529.31513148</v>
      </c>
      <c r="M76" s="374">
        <f t="shared" si="12"/>
        <v>11388529.31513148</v>
      </c>
      <c r="N76" s="374">
        <f t="shared" si="12"/>
        <v>11388529.31513148</v>
      </c>
      <c r="O76" s="374">
        <f t="shared" si="12"/>
        <v>11388529.31513148</v>
      </c>
      <c r="P76" s="374">
        <f t="shared" si="12"/>
        <v>11388529.31513148</v>
      </c>
      <c r="Q76" s="374">
        <f t="shared" si="12"/>
        <v>11388529.31513148</v>
      </c>
      <c r="R76" s="374">
        <f t="shared" si="12"/>
        <v>11388529.31513148</v>
      </c>
      <c r="S76" s="374">
        <f t="shared" si="12"/>
        <v>11388529.31513148</v>
      </c>
      <c r="T76" s="374">
        <f t="shared" si="12"/>
        <v>11388529.31513148</v>
      </c>
      <c r="U76" s="374">
        <f t="shared" si="12"/>
        <v>11388529.31513148</v>
      </c>
      <c r="V76" s="374">
        <f t="shared" si="12"/>
        <v>11388529.31513148</v>
      </c>
      <c r="W76" s="374">
        <f t="shared" si="12"/>
        <v>11388529.31513148</v>
      </c>
      <c r="X76" s="374">
        <f t="shared" si="12"/>
        <v>11388529.31513148</v>
      </c>
      <c r="Y76" s="374">
        <f t="shared" si="12"/>
        <v>11388529.31513148</v>
      </c>
      <c r="Z76" s="374">
        <f t="shared" si="12"/>
        <v>11388529.31513148</v>
      </c>
      <c r="AA76" s="374">
        <f t="shared" si="12"/>
        <v>11388529.31513148</v>
      </c>
      <c r="AB76" s="374">
        <f t="shared" si="12"/>
        <v>11388529.31513148</v>
      </c>
      <c r="AC76" s="374">
        <f t="shared" si="12"/>
        <v>0</v>
      </c>
      <c r="AD76" s="374">
        <f t="shared" si="12"/>
        <v>0</v>
      </c>
      <c r="AE76" s="374">
        <f t="shared" si="12"/>
        <v>0</v>
      </c>
    </row>
    <row r="77" spans="1:34" s="311" customFormat="1" ht="12.75" x14ac:dyDescent="0.2">
      <c r="A77" s="370" t="s">
        <v>254</v>
      </c>
      <c r="B77" s="374">
        <f t="shared" ref="B77:AE77" si="13">B69</f>
        <v>0</v>
      </c>
      <c r="C77" s="374">
        <f t="shared" si="13"/>
        <v>0</v>
      </c>
      <c r="D77" s="374">
        <f t="shared" si="13"/>
        <v>0</v>
      </c>
      <c r="E77" s="374">
        <f t="shared" si="13"/>
        <v>0</v>
      </c>
      <c r="F77" s="374">
        <f t="shared" si="13"/>
        <v>0</v>
      </c>
      <c r="G77" s="374">
        <f t="shared" si="13"/>
        <v>0</v>
      </c>
      <c r="H77" s="374">
        <f t="shared" si="13"/>
        <v>0</v>
      </c>
      <c r="I77" s="374">
        <f t="shared" si="13"/>
        <v>0</v>
      </c>
      <c r="J77" s="374">
        <f t="shared" si="13"/>
        <v>0</v>
      </c>
      <c r="K77" s="374">
        <f t="shared" si="13"/>
        <v>0</v>
      </c>
      <c r="L77" s="374">
        <f t="shared" si="13"/>
        <v>0</v>
      </c>
      <c r="M77" s="374">
        <f t="shared" si="13"/>
        <v>0</v>
      </c>
      <c r="N77" s="374">
        <f t="shared" si="13"/>
        <v>0</v>
      </c>
      <c r="O77" s="374">
        <f t="shared" si="13"/>
        <v>0</v>
      </c>
      <c r="P77" s="374">
        <f t="shared" si="13"/>
        <v>0</v>
      </c>
      <c r="Q77" s="374">
        <f t="shared" si="13"/>
        <v>0</v>
      </c>
      <c r="R77" s="374">
        <f t="shared" si="13"/>
        <v>0</v>
      </c>
      <c r="S77" s="374">
        <f t="shared" si="13"/>
        <v>0</v>
      </c>
      <c r="T77" s="374">
        <f t="shared" si="13"/>
        <v>0</v>
      </c>
      <c r="U77" s="374">
        <f t="shared" si="13"/>
        <v>0</v>
      </c>
      <c r="V77" s="374">
        <f t="shared" si="13"/>
        <v>0</v>
      </c>
      <c r="W77" s="374">
        <f t="shared" si="13"/>
        <v>0</v>
      </c>
      <c r="X77" s="374">
        <f t="shared" si="13"/>
        <v>0</v>
      </c>
      <c r="Y77" s="374">
        <f t="shared" si="13"/>
        <v>0</v>
      </c>
      <c r="Z77" s="374">
        <f t="shared" si="13"/>
        <v>0</v>
      </c>
      <c r="AA77" s="374">
        <f t="shared" si="13"/>
        <v>0</v>
      </c>
      <c r="AB77" s="374">
        <f t="shared" si="13"/>
        <v>0</v>
      </c>
      <c r="AC77" s="374">
        <f t="shared" si="13"/>
        <v>0</v>
      </c>
      <c r="AD77" s="374">
        <f t="shared" si="13"/>
        <v>0</v>
      </c>
      <c r="AE77" s="374">
        <f t="shared" si="13"/>
        <v>0</v>
      </c>
    </row>
    <row r="78" spans="1:34" s="311" customFormat="1" ht="12.75" x14ac:dyDescent="0.2">
      <c r="A78" s="370" t="s">
        <v>253</v>
      </c>
      <c r="B78" s="374">
        <f>IF(SUM($B$71:B71)+SUM($A$78:A78)&gt;0,0,SUM($B$71:B71)-SUM($A$78:A78))</f>
        <v>0</v>
      </c>
      <c r="C78" s="374">
        <f>IF(SUM($B$71:C71)+SUM($A$78:B78)&gt;0,0,SUM($B$71:C71)-SUM($A$78:B78))</f>
        <v>0</v>
      </c>
      <c r="D78" s="374">
        <f>IF(SUM($B$71:D71)+SUM($A$78:C78)&gt;0,0,SUM($B$71:D71)-SUM($A$78:C78))</f>
        <v>0</v>
      </c>
      <c r="E78" s="374">
        <f>IF(SUM($B$71:E71)+SUM($A$78:D78)&gt;0,0,SUM($B$71:E71)-SUM($A$78:D78))</f>
        <v>0</v>
      </c>
      <c r="F78" s="374">
        <f>IF(SUM($B$71:F71)+SUM($A$78:E78)&gt;0,0,SUM($B$71:F71)-SUM($A$78:E78))</f>
        <v>-5132152.3043088391</v>
      </c>
      <c r="G78" s="374">
        <f>IF(SUM($B$71:G71)+SUM($A$78:F78)&gt;0,0,SUM($B$71:G71)-SUM($A$78:F78))</f>
        <v>-7511859.3399087358</v>
      </c>
      <c r="H78" s="374">
        <f>IF(SUM($B$71:H71)+SUM($A$78:G78)&gt;0,0,SUM($B$71:H71)-SUM($A$78:G78))</f>
        <v>-8747164.3245617952</v>
      </c>
      <c r="I78" s="374">
        <f>IF(SUM($B$71:I71)+SUM($A$78:H78)&gt;0,0,SUM($B$71:I71)-SUM($A$78:H78))</f>
        <v>-10069767.365175005</v>
      </c>
      <c r="J78" s="374">
        <f>IF(SUM($B$71:J71)+SUM($A$78:I78)&gt;0,0,SUM($B$71:J71)-SUM($A$78:I78))</f>
        <v>-10895750.26924685</v>
      </c>
      <c r="K78" s="374">
        <f>IF(SUM($B$71:K71)+SUM($A$78:J78)&gt;0,0,SUM($B$71:K71)-SUM($A$78:J78))</f>
        <v>-11765125.918775439</v>
      </c>
      <c r="L78" s="374">
        <f>IF(SUM($B$71:L71)+SUM($A$78:K78)&gt;0,0,SUM($B$71:L71)-SUM($A$78:K78))</f>
        <v>-12613428.151657388</v>
      </c>
      <c r="M78" s="374">
        <f>IF(SUM($B$71:M71)+SUM($A$78:L78)&gt;0,0,SUM($B$71:M71)-SUM($A$78:L78))</f>
        <v>-14320236.302310959</v>
      </c>
      <c r="N78" s="374">
        <f>IF(SUM($B$71:N71)+SUM($A$78:M78)&gt;0,0,SUM($B$71:N71)-SUM($A$78:M78))</f>
        <v>-14069751.687555492</v>
      </c>
      <c r="O78" s="374">
        <f>IF(SUM($B$71:O71)+SUM($A$78:N78)&gt;0,0,SUM($B$71:O71)-SUM($A$78:N78))</f>
        <v>-17023748.821946993</v>
      </c>
      <c r="P78" s="374">
        <f>IF(SUM($B$71:P71)+SUM($A$78:O78)&gt;0,0,SUM($B$71:P71)-SUM($A$78:O78))</f>
        <v>-16912651.801358134</v>
      </c>
      <c r="Q78" s="374">
        <f>IF(SUM($B$71:Q71)+SUM($A$78:P78)&gt;0,0,SUM($B$71:Q71)-SUM($A$78:P78))</f>
        <v>-19050610.601320803</v>
      </c>
      <c r="R78" s="374">
        <f>IF(SUM($B$71:R71)+SUM($A$78:Q78)&gt;0,0,SUM($B$71:R71)-SUM($A$78:Q78))</f>
        <v>-20065644.250451684</v>
      </c>
      <c r="S78" s="374">
        <f>IF(SUM($B$71:S71)+SUM($A$78:R78)&gt;0,0,SUM($B$71:S71)-SUM($A$78:R78))</f>
        <v>-21262832.750277817</v>
      </c>
      <c r="T78" s="374">
        <f>IF(SUM($B$71:T71)+SUM($A$78:S78)&gt;0,0,SUM($B$71:T71)-SUM($A$78:S78))</f>
        <v>-22443961.72057575</v>
      </c>
      <c r="U78" s="374">
        <f>IF(SUM($B$71:U71)+SUM($A$78:T78)&gt;0,0,SUM($B$71:U71)-SUM($A$78:T78))</f>
        <v>-23678248.604615331</v>
      </c>
      <c r="V78" s="374">
        <f>IF(SUM($B$71:V71)+SUM($A$78:U78)&gt;0,0,SUM($B$71:V71)-SUM($A$78:U78))</f>
        <v>-22963256.547618687</v>
      </c>
      <c r="W78" s="374">
        <f>IF(SUM($B$71:W71)+SUM($A$78:V78)&gt;0,0,SUM($B$71:W71)-SUM($A$78:V78))</f>
        <v>-26316407.227534235</v>
      </c>
      <c r="X78" s="374">
        <f>IF(SUM($B$71:X71)+SUM($A$78:W78)&gt;0,0,SUM($B$71:X71)-SUM($A$78:W78))</f>
        <v>-27658802.430922925</v>
      </c>
      <c r="Y78" s="374">
        <f>IF(SUM($B$71:Y71)+SUM($A$78:X78)&gt;0,0,SUM($B$71:Y71)-SUM($A$78:X78))</f>
        <v>-29198738.478057027</v>
      </c>
      <c r="Z78" s="374">
        <f>IF(SUM($B$71:Z71)+SUM($A$78:Y78)&gt;0,0,SUM($B$71:Z71)-SUM($A$78:Y78))</f>
        <v>-30738724.130386353</v>
      </c>
      <c r="AA78" s="374">
        <f>IF(SUM($B$71:AA71)+SUM($A$78:Z78)&gt;0,0,SUM($B$71:AA71)-SUM($A$78:Z78))</f>
        <v>-32348733.960512817</v>
      </c>
      <c r="AB78" s="374">
        <f>IF(SUM($B$71:AB71)+SUM($A$78:AA78)&gt;0,0,SUM($B$71:AB71)-SUM($A$78:AA78))</f>
        <v>-34368933.95688349</v>
      </c>
      <c r="AC78" s="374">
        <f>IF(SUM($B$71:AC71)+SUM($A$78:AB78)&gt;0,0,SUM($B$71:AC71)-SUM($A$78:AB78))</f>
        <v>-38797876.715282381</v>
      </c>
      <c r="AD78" s="374">
        <f>IF(SUM($B$71:AD71)+SUM($A$78:AC78)&gt;0,0,SUM($B$71:AD71)-SUM($A$78:AC78))</f>
        <v>-38616441.64417696</v>
      </c>
      <c r="AE78" s="374">
        <f>IF(SUM($B$71:AE71)+SUM($A$78:AD78)&gt;0,0,SUM($B$71:AE71)-SUM($A$78:AD78))</f>
        <v>-42530581.636182964</v>
      </c>
    </row>
    <row r="79" spans="1:34" s="311" customFormat="1" ht="12.75" x14ac:dyDescent="0.2">
      <c r="A79" s="370" t="s">
        <v>252</v>
      </c>
      <c r="B79" s="374">
        <f>IF(((SUM($B$58:B58)+SUM($B$60:B64))+SUM($B$81:B81))&lt;0,((SUM($B$58:B58)+SUM($B$60:B64))+SUM($B$81:B81))*0.2-SUM($A$79:A79),IF(SUM(A$79:$A79)&lt;0,0-SUM(A$79:$A79),0))</f>
        <v>-600000</v>
      </c>
      <c r="C79" s="374">
        <f>IF(((SUM($B$58:C58)+SUM($B$60:C64))+SUM($B$81:C81))&lt;0,((SUM($B$58:C58)+SUM($B$60:C64))+SUM($B$81:C81))*0.2-SUM($A$79:B79),IF(SUM($A$79:B79)&lt;0,0-SUM($A$79:B79),0))</f>
        <v>-21795592</v>
      </c>
      <c r="D79" s="374">
        <f>IF(((SUM($B$58:D58)+SUM($B$60:D64))+SUM($B$81:D81))&lt;0,((SUM($B$58:D58)+SUM($B$60:D64))+SUM($B$81:D81))*0.2-SUM($A$79:C79),IF(SUM($A$79:C79)&lt;0,0-SUM($A$79:C79),0))</f>
        <v>-19361091.776951566</v>
      </c>
      <c r="E79" s="374">
        <f>IF(((SUM($B$58:E58)+SUM($B$60:E64))+SUM($B$81:E81))&lt;0,((SUM($B$58:E58)+SUM($B$60:E64))+SUM($B$81:E81))*0.2-SUM($A$79:D79),IF(SUM($A$79:D79)&lt;0,0-SUM($A$79:D79),0))</f>
        <v>-26574492.113837317</v>
      </c>
      <c r="F79" s="374">
        <f>IF(((SUM($B$58:F58)+SUM($B$60:F64))+SUM($B$81:F81))&lt;0,((SUM($B$58:F58)+SUM($B$60:F64))+SUM($B$81:F81))*0.2-SUM($A$79:E79),IF(SUM($A$79:E79)&lt;0,0-SUM($A$79:E79),0))</f>
        <v>8584986.8630130216</v>
      </c>
      <c r="G79" s="374">
        <f>IF(((SUM($B$58:G58)+SUM($B$60:G64))+SUM($B$81:G81))&lt;0,((SUM($B$58:G58)+SUM($B$60:G64))+SUM($B$81:G81))*0.2-SUM($A$79:F79),IF(SUM($A$79:F79)&lt;0,0-SUM($A$79:F79),0))</f>
        <v>10914584.369626336</v>
      </c>
      <c r="H79" s="374">
        <f>IF(((SUM($B$58:H58)+SUM($B$60:H64))+SUM($B$81:H81))&lt;0,((SUM($B$58:H58)+SUM($B$60:H64))+SUM($B$81:H81))*0.2-SUM($A$79:G79),IF(SUM($A$79:G79)&lt;0,0-SUM($A$79:G79),0))</f>
        <v>12099779.825292818</v>
      </c>
      <c r="I79" s="374">
        <f>IF(((SUM($B$58:I58)+SUM($B$60:I64))+SUM($B$81:I81))&lt;0,((SUM($B$58:I58)+SUM($B$60:I64))+SUM($B$81:I81))*0.2-SUM($A$79:H79),IF(SUM($A$79:H79)&lt;0,0-SUM($A$79:H79),0))</f>
        <v>13372273.336919453</v>
      </c>
      <c r="J79" s="374">
        <f>IF(((SUM($B$58:J58)+SUM($B$60:J64))+SUM($B$81:J81))&lt;0,((SUM($B$58:J58)+SUM($B$60:J64))+SUM($B$81:J81))*0.2-SUM($A$79:I79),IF(SUM($A$79:I79)&lt;0,0-SUM($A$79:I79),0))</f>
        <v>14148146.712004712</v>
      </c>
      <c r="K79" s="374">
        <f>IF(((SUM($B$58:K58)+SUM($B$60:K64))+SUM($B$81:K81))&lt;0,((SUM($B$58:K58)+SUM($B$60:K64))+SUM($B$81:K81))*0.2-SUM($A$79:J79),IF(SUM($A$79:J79)&lt;0,0-SUM($A$79:J79),0))</f>
        <v>9211404.7839325424</v>
      </c>
      <c r="L79" s="374">
        <f>IF(((SUM($B$58:L58)+SUM($B$60:L64))+SUM($B$81:L81))&lt;0,((SUM($B$58:L58)+SUM($B$60:L64))+SUM($B$81:L81))*0.2-SUM($A$79:K79),IF(SUM($A$79:K79)&lt;0,0-SUM($A$79:K79),0))</f>
        <v>0</v>
      </c>
      <c r="M79" s="374">
        <f>IF(((SUM($B$58:M58)+SUM($B$60:M64))+SUM($B$81:M81))&lt;0,((SUM($B$58:M58)+SUM($B$60:M64))+SUM($B$81:M81))*0.2-SUM($A$79:L79),IF(SUM($A$79:L79)&lt;0,0-SUM($A$79:L79),0))</f>
        <v>0</v>
      </c>
      <c r="N79" s="374">
        <f>IF(((SUM($B$58:N58)+SUM($B$60:N64))+SUM($B$81:N81))&lt;0,((SUM($B$58:N58)+SUM($B$60:N64))+SUM($B$81:N81))*0.2-SUM($A$79:M79),IF(SUM($A$79:M79)&lt;0,0-SUM($A$79:M79),0))</f>
        <v>0</v>
      </c>
      <c r="O79" s="374">
        <f>IF(((SUM($B$58:O58)+SUM($B$60:O64))+SUM($B$81:O81))&lt;0,((SUM($B$58:O58)+SUM($B$60:O64))+SUM($B$81:O81))*0.2-SUM($A$79:N79),IF(SUM($A$79:N79)&lt;0,0-SUM($A$79:N79),0))</f>
        <v>0</v>
      </c>
      <c r="P79" s="374">
        <f>IF(((SUM($B$58:P58)+SUM($B$60:P64))+SUM($B$81:P81))&lt;0,((SUM($B$58:P58)+SUM($B$60:P64))+SUM($B$81:P81))*0.2-SUM($A$79:O79),IF(SUM($A$79:O79)&lt;0,0-SUM($A$79:O79),0))</f>
        <v>0</v>
      </c>
      <c r="Q79" s="374">
        <f>IF(((SUM($B$58:Q58)+SUM($B$60:Q64))+SUM($B$81:Q81))&lt;0,((SUM($B$58:Q58)+SUM($B$60:Q64))+SUM($B$81:Q81))*0.2-SUM($A$79:P79),IF(SUM($A$79:P79)&lt;0,0-SUM($A$79:P79),0))</f>
        <v>0</v>
      </c>
      <c r="R79" s="374">
        <f>IF(((SUM($B$58:R58)+SUM($B$60:R64))+SUM($B$81:R81))&lt;0,((SUM($B$58:R58)+SUM($B$60:R64))+SUM($B$81:R81))*0.2-SUM($A$79:Q79),IF(SUM($A$79:Q79)&lt;0,0-SUM($A$79:Q79),0))</f>
        <v>0</v>
      </c>
      <c r="S79" s="374">
        <f>IF(((SUM($B$58:S58)+SUM($B$60:S64))+SUM($B$81:S81))&lt;0,((SUM($B$58:S58)+SUM($B$60:S64))+SUM($B$81:S81))*0.2-SUM($A$79:R79),IF(SUM($A$79:R79)&lt;0,0-SUM($A$79:R79),0))</f>
        <v>0</v>
      </c>
      <c r="T79" s="374">
        <f>IF(((SUM($B$58:T58)+SUM($B$60:T64))+SUM($B$81:T81))&lt;0,((SUM($B$58:T58)+SUM($B$60:T64))+SUM($B$81:T81))*0.2-SUM($A$79:S79),IF(SUM($A$79:S79)&lt;0,0-SUM($A$79:S79),0))</f>
        <v>0</v>
      </c>
      <c r="U79" s="374">
        <f>IF(((SUM($B$58:U58)+SUM($B$60:U64))+SUM($B$81:U81))&lt;0,((SUM($B$58:U58)+SUM($B$60:U64))+SUM($B$81:U81))*0.2-SUM($A$79:T79),IF(SUM($A$79:T79)&lt;0,0-SUM($A$79:T79),0))</f>
        <v>0</v>
      </c>
      <c r="V79" s="374">
        <f>IF(((SUM($B$58:V58)+SUM($B$60:V64))+SUM($B$81:V81))&lt;0,((SUM($B$58:V58)+SUM($B$60:V64))+SUM($B$81:V81))*0.2-SUM($A$79:U79),IF(SUM($A$79:U79)&lt;0,0-SUM($A$79:U79),0))</f>
        <v>0</v>
      </c>
      <c r="W79" s="374">
        <f>IF(((SUM($B$58:W58)+SUM($B$60:W64))+SUM($B$81:W81))&lt;0,((SUM($B$58:W58)+SUM($B$60:W64))+SUM($B$81:W81))*0.2-SUM($A$79:V79),IF(SUM($A$79:V79)&lt;0,0-SUM($A$79:V79),0))</f>
        <v>0</v>
      </c>
      <c r="X79" s="374">
        <f>IF(((SUM($B$58:X58)+SUM($B$60:X64))+SUM($B$81:X81))&lt;0,((SUM($B$58:X58)+SUM($B$60:X64))+SUM($B$81:X81))*0.2-SUM($A$79:W79),IF(SUM($A$79:W79)&lt;0,0-SUM($A$79:W79),0))</f>
        <v>0</v>
      </c>
      <c r="Y79" s="374">
        <f>IF(((SUM($B$58:Y58)+SUM($B$60:Y64))+SUM($B$81:Y81))&lt;0,((SUM($B$58:Y58)+SUM($B$60:Y64))+SUM($B$81:Y81))*0.2-SUM($A$79:X79),IF(SUM($A$79:X79)&lt;0,0-SUM($A$79:X79),0))</f>
        <v>0</v>
      </c>
      <c r="Z79" s="374">
        <f>IF(((SUM($B$58:Z58)+SUM($B$60:Z64))+SUM($B$81:Z81))&lt;0,((SUM($B$58:Z58)+SUM($B$60:Z64))+SUM($B$81:Z81))*0.2-SUM($A$79:Y79),IF(SUM($A$79:Y79)&lt;0,0-SUM($A$79:Y79),0))</f>
        <v>0</v>
      </c>
      <c r="AA79" s="374">
        <f>IF(((SUM($B$58:AA58)+SUM($B$60:AA64))+SUM($B$81:AA81))&lt;0,((SUM($B$58:AA58)+SUM($B$60:AA64))+SUM($B$81:AA81))*0.2-SUM($A$79:Z79),IF(SUM($A$79:Z79)&lt;0,0-SUM($A$79:Z79),0))</f>
        <v>0</v>
      </c>
      <c r="AB79" s="374">
        <f>IF(((SUM($B$58:AB58)+SUM($B$60:AB64))+SUM($B$81:AB81))&lt;0,((SUM($B$58:AB58)+SUM($B$60:AB64))+SUM($B$81:AB81))*0.2-SUM($A$79:AA79),IF(SUM($A$79:AA79)&lt;0,0-SUM($A$79:AA79),0))</f>
        <v>0</v>
      </c>
      <c r="AC79" s="374">
        <f>IF(((SUM($B$58:AC58)+SUM($B$60:AC64))+SUM($B$81:AC81))&lt;0,((SUM($B$58:AC58)+SUM($B$60:AC64))+SUM($B$81:AC81))*0.2-SUM($A$79:AB79),IF(SUM($A$79:AB79)&lt;0,0-SUM($A$79:AB79),0))</f>
        <v>0</v>
      </c>
      <c r="AD79" s="374">
        <f>IF(((SUM($B$58:AD58)+SUM($B$60:AD64))+SUM($B$81:AD81))&lt;0,((SUM($B$58:AD58)+SUM($B$60:AD64))+SUM($B$81:AD81))*0.2-SUM($A$79:AC79),IF(SUM($A$79:AC79)&lt;0,0-SUM($A$79:AC79),0))</f>
        <v>0</v>
      </c>
      <c r="AE79" s="374">
        <f>IF(((SUM($B$58:AE58)+SUM($B$60:AE64))+SUM($B$81:AE81))&lt;0,((SUM($B$58:AE58)+SUM($B$60:AE64))+SUM($B$81:AE81))*0.2-SUM($A$79:AD79),IF(SUM($A$79:AD79)&lt;0,0-SUM($A$79:AD79),0))</f>
        <v>0</v>
      </c>
    </row>
    <row r="80" spans="1:34" s="311" customFormat="1" ht="12.75" x14ac:dyDescent="0.2">
      <c r="A80" s="370" t="s">
        <v>251</v>
      </c>
      <c r="B80" s="374">
        <f t="shared" ref="B80:AE80" si="14">-B58*(B38)</f>
        <v>0</v>
      </c>
      <c r="C80" s="374">
        <f t="shared" si="14"/>
        <v>0</v>
      </c>
      <c r="D80" s="374">
        <f t="shared" si="14"/>
        <v>0</v>
      </c>
      <c r="E80" s="374">
        <f t="shared" si="14"/>
        <v>0</v>
      </c>
      <c r="F80" s="374">
        <f t="shared" si="14"/>
        <v>0</v>
      </c>
      <c r="G80" s="374">
        <f t="shared" si="14"/>
        <v>0</v>
      </c>
      <c r="H80" s="374">
        <f t="shared" si="14"/>
        <v>0</v>
      </c>
      <c r="I80" s="374">
        <f t="shared" si="14"/>
        <v>0</v>
      </c>
      <c r="J80" s="374">
        <f t="shared" si="14"/>
        <v>0</v>
      </c>
      <c r="K80" s="374">
        <f t="shared" si="14"/>
        <v>0</v>
      </c>
      <c r="L80" s="374">
        <f t="shared" si="14"/>
        <v>0</v>
      </c>
      <c r="M80" s="374">
        <f t="shared" si="14"/>
        <v>0</v>
      </c>
      <c r="N80" s="374">
        <f t="shared" si="14"/>
        <v>0</v>
      </c>
      <c r="O80" s="374">
        <f t="shared" si="14"/>
        <v>0</v>
      </c>
      <c r="P80" s="374">
        <f t="shared" si="14"/>
        <v>0</v>
      </c>
      <c r="Q80" s="374">
        <f t="shared" si="14"/>
        <v>0</v>
      </c>
      <c r="R80" s="374">
        <f t="shared" si="14"/>
        <v>0</v>
      </c>
      <c r="S80" s="374">
        <f t="shared" si="14"/>
        <v>0</v>
      </c>
      <c r="T80" s="374">
        <f t="shared" si="14"/>
        <v>0</v>
      </c>
      <c r="U80" s="374">
        <f t="shared" si="14"/>
        <v>0</v>
      </c>
      <c r="V80" s="374">
        <f t="shared" si="14"/>
        <v>0</v>
      </c>
      <c r="W80" s="374">
        <f t="shared" si="14"/>
        <v>0</v>
      </c>
      <c r="X80" s="374">
        <f t="shared" si="14"/>
        <v>0</v>
      </c>
      <c r="Y80" s="374">
        <f t="shared" si="14"/>
        <v>0</v>
      </c>
      <c r="Z80" s="374">
        <f t="shared" si="14"/>
        <v>0</v>
      </c>
      <c r="AA80" s="374">
        <f t="shared" si="14"/>
        <v>0</v>
      </c>
      <c r="AB80" s="374">
        <f t="shared" si="14"/>
        <v>0</v>
      </c>
      <c r="AC80" s="374">
        <f t="shared" si="14"/>
        <v>0</v>
      </c>
      <c r="AD80" s="374">
        <f t="shared" si="14"/>
        <v>0</v>
      </c>
      <c r="AE80" s="374">
        <f t="shared" si="14"/>
        <v>0</v>
      </c>
    </row>
    <row r="81" spans="1:31" s="311" customFormat="1" ht="12.75" x14ac:dyDescent="0.2">
      <c r="A81" s="370" t="s">
        <v>433</v>
      </c>
      <c r="B81" s="374">
        <f>'6.2. Паспорт фин осв ввод'!N24*1000000*-1</f>
        <v>-3000000</v>
      </c>
      <c r="C81" s="374">
        <v>-108977960</v>
      </c>
      <c r="D81" s="374">
        <v>-96805458.884757802</v>
      </c>
      <c r="E81" s="374">
        <f>'6.2. Паспорт фин осв ввод'!Z24*1000000*-1</f>
        <v>-132872460.56918655</v>
      </c>
      <c r="F81" s="374">
        <v>0</v>
      </c>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row>
    <row r="82" spans="1:31" s="311" customFormat="1" ht="12.75" x14ac:dyDescent="0.2">
      <c r="A82" s="370" t="s">
        <v>250</v>
      </c>
      <c r="B82" s="371">
        <v>0</v>
      </c>
      <c r="C82" s="371">
        <v>0</v>
      </c>
      <c r="D82" s="371">
        <v>0</v>
      </c>
      <c r="E82" s="371">
        <v>0</v>
      </c>
      <c r="F82" s="371">
        <v>0</v>
      </c>
      <c r="G82" s="371">
        <v>0</v>
      </c>
      <c r="H82" s="371">
        <v>0</v>
      </c>
      <c r="I82" s="371">
        <v>0</v>
      </c>
      <c r="J82" s="371">
        <v>0</v>
      </c>
      <c r="K82" s="371">
        <v>0</v>
      </c>
      <c r="L82" s="371">
        <v>0</v>
      </c>
      <c r="M82" s="371">
        <v>0</v>
      </c>
      <c r="N82" s="371">
        <v>0</v>
      </c>
      <c r="O82" s="371">
        <v>0</v>
      </c>
      <c r="P82" s="371">
        <v>0</v>
      </c>
      <c r="Q82" s="371">
        <v>0</v>
      </c>
      <c r="R82" s="371">
        <v>0</v>
      </c>
      <c r="S82" s="371">
        <v>0</v>
      </c>
      <c r="T82" s="371">
        <v>0</v>
      </c>
      <c r="U82" s="371">
        <v>0</v>
      </c>
      <c r="V82" s="371">
        <v>0</v>
      </c>
      <c r="W82" s="371">
        <v>0</v>
      </c>
      <c r="X82" s="371">
        <v>0</v>
      </c>
      <c r="Y82" s="371">
        <v>0</v>
      </c>
      <c r="Z82" s="371">
        <v>0</v>
      </c>
      <c r="AA82" s="371">
        <v>0</v>
      </c>
      <c r="AB82" s="371">
        <v>0</v>
      </c>
      <c r="AC82" s="371">
        <v>0</v>
      </c>
      <c r="AD82" s="371">
        <v>0</v>
      </c>
      <c r="AE82" s="371">
        <v>0</v>
      </c>
    </row>
    <row r="83" spans="1:31" s="311" customFormat="1" ht="12.75" x14ac:dyDescent="0.2">
      <c r="A83" s="372" t="s">
        <v>249</v>
      </c>
      <c r="B83" s="373">
        <f>SUM(B75:B82)</f>
        <v>-3600000</v>
      </c>
      <c r="C83" s="373">
        <f t="shared" ref="C83:AE83" si="15">SUM(C75:C82)</f>
        <v>-130773552</v>
      </c>
      <c r="D83" s="373">
        <f t="shared" si="15"/>
        <v>-116166550.66170937</v>
      </c>
      <c r="E83" s="373">
        <f t="shared" si="15"/>
        <v>-159446952.68302387</v>
      </c>
      <c r="F83" s="373">
        <f t="shared" si="15"/>
        <v>40502125.395379856</v>
      </c>
      <c r="G83" s="373">
        <f t="shared" si="15"/>
        <v>52350551.044392757</v>
      </c>
      <c r="H83" s="373">
        <f t="shared" si="15"/>
        <v>58476966.438671485</v>
      </c>
      <c r="I83" s="373">
        <f t="shared" si="15"/>
        <v>65039872.112750947</v>
      </c>
      <c r="J83" s="373">
        <f t="shared" si="15"/>
        <v>69119677.104123563</v>
      </c>
      <c r="K83" s="373">
        <f t="shared" si="15"/>
        <v>67660437.774165779</v>
      </c>
      <c r="L83" s="373">
        <f t="shared" si="15"/>
        <v>61842241.921761021</v>
      </c>
      <c r="M83" s="373">
        <f t="shared" si="15"/>
        <v>68669474.52437529</v>
      </c>
      <c r="N83" s="373">
        <f t="shared" si="15"/>
        <v>67667536.065353438</v>
      </c>
      <c r="O83" s="373">
        <f t="shared" si="15"/>
        <v>79483524.602919459</v>
      </c>
      <c r="P83" s="373">
        <f t="shared" si="15"/>
        <v>79039136.520564005</v>
      </c>
      <c r="Q83" s="373">
        <f t="shared" si="15"/>
        <v>87590971.720414653</v>
      </c>
      <c r="R83" s="373">
        <f t="shared" si="15"/>
        <v>91651106.316938296</v>
      </c>
      <c r="S83" s="373">
        <f t="shared" si="15"/>
        <v>96439860.316242799</v>
      </c>
      <c r="T83" s="373">
        <f t="shared" si="15"/>
        <v>101164376.1974345</v>
      </c>
      <c r="U83" s="373">
        <f t="shared" si="15"/>
        <v>106101523.73359275</v>
      </c>
      <c r="V83" s="373">
        <f t="shared" si="15"/>
        <v>103241555.50560631</v>
      </c>
      <c r="W83" s="373">
        <f t="shared" si="15"/>
        <v>116654158.22526842</v>
      </c>
      <c r="X83" s="373">
        <f t="shared" si="15"/>
        <v>122023739.03882331</v>
      </c>
      <c r="Y83" s="373">
        <f t="shared" si="15"/>
        <v>128183483.22735953</v>
      </c>
      <c r="Z83" s="373">
        <f t="shared" si="15"/>
        <v>134343425.8366769</v>
      </c>
      <c r="AA83" s="373">
        <f t="shared" si="15"/>
        <v>140783465.15718263</v>
      </c>
      <c r="AB83" s="373">
        <f t="shared" si="15"/>
        <v>148864265.14266548</v>
      </c>
      <c r="AC83" s="373">
        <f t="shared" si="15"/>
        <v>155191506.86112946</v>
      </c>
      <c r="AD83" s="373">
        <f t="shared" si="15"/>
        <v>154465766.5767079</v>
      </c>
      <c r="AE83" s="373">
        <f t="shared" si="15"/>
        <v>170122326.54473186</v>
      </c>
    </row>
    <row r="84" spans="1:31" s="311" customFormat="1" ht="12.75" x14ac:dyDescent="0.2">
      <c r="A84" s="372" t="s">
        <v>649</v>
      </c>
      <c r="B84" s="373">
        <f>SUM($B$83:B83)</f>
        <v>-3600000</v>
      </c>
      <c r="C84" s="373">
        <f>SUM($B$83:C83)</f>
        <v>-134373552</v>
      </c>
      <c r="D84" s="373">
        <f>SUM($B$83:D83)</f>
        <v>-250540102.66170937</v>
      </c>
      <c r="E84" s="373">
        <f>SUM($B$83:E83)</f>
        <v>-409987055.34473324</v>
      </c>
      <c r="F84" s="373">
        <f>SUM($B$83:F83)</f>
        <v>-369484929.9493534</v>
      </c>
      <c r="G84" s="373">
        <f>SUM($B$83:G83)</f>
        <v>-317134378.90496063</v>
      </c>
      <c r="H84" s="373">
        <f>SUM($B$83:H83)</f>
        <v>-258657412.46628916</v>
      </c>
      <c r="I84" s="373">
        <f>SUM($B$83:I83)</f>
        <v>-193617540.35353822</v>
      </c>
      <c r="J84" s="373">
        <f>SUM($B$83:J83)</f>
        <v>-124497863.24941465</v>
      </c>
      <c r="K84" s="373">
        <f>SUM($B$83:K83)</f>
        <v>-56837425.475248873</v>
      </c>
      <c r="L84" s="373">
        <f>SUM($B$83:L83)</f>
        <v>5004816.4465121478</v>
      </c>
      <c r="M84" s="373">
        <f>SUM($B$83:M83)</f>
        <v>73674290.970887437</v>
      </c>
      <c r="N84" s="373">
        <f>SUM($B$83:N83)</f>
        <v>141341827.03624088</v>
      </c>
      <c r="O84" s="373">
        <f>SUM($B$83:O83)</f>
        <v>220825351.63916034</v>
      </c>
      <c r="P84" s="373">
        <f>SUM($B$83:P83)</f>
        <v>299864488.15972435</v>
      </c>
      <c r="Q84" s="373">
        <f>SUM($B$83:Q83)</f>
        <v>387455459.88013899</v>
      </c>
      <c r="R84" s="373">
        <f>SUM($B$83:R83)</f>
        <v>479106566.19707727</v>
      </c>
      <c r="S84" s="373">
        <f>SUM($B$83:S83)</f>
        <v>575546426.51332009</v>
      </c>
      <c r="T84" s="373">
        <f>SUM($B$83:T83)</f>
        <v>676710802.71075463</v>
      </c>
      <c r="U84" s="373">
        <f>SUM($B$83:U83)</f>
        <v>782812326.44434738</v>
      </c>
      <c r="V84" s="373">
        <f>SUM($B$83:V83)</f>
        <v>886053881.94995368</v>
      </c>
      <c r="W84" s="373">
        <f>SUM($B$83:W83)</f>
        <v>1002708040.1752222</v>
      </c>
      <c r="X84" s="373">
        <f>SUM($B$83:X83)</f>
        <v>1124731779.2140455</v>
      </c>
      <c r="Y84" s="373">
        <f>SUM($B$83:Y83)</f>
        <v>1252915262.4414051</v>
      </c>
      <c r="Z84" s="373">
        <f>SUM($B$83:Z83)</f>
        <v>1387258688.2780819</v>
      </c>
      <c r="AA84" s="373">
        <f>SUM($B$83:AA83)</f>
        <v>1528042153.4352646</v>
      </c>
      <c r="AB84" s="373">
        <f>SUM($B$83:AB83)</f>
        <v>1676906418.57793</v>
      </c>
      <c r="AC84" s="373">
        <f>SUM($B$83:AC83)</f>
        <v>1832097925.4390595</v>
      </c>
      <c r="AD84" s="373">
        <f>SUM($B$83:AD83)</f>
        <v>1986563692.0157673</v>
      </c>
      <c r="AE84" s="373">
        <f>SUM($B$83:AE83)</f>
        <v>2156686018.5604992</v>
      </c>
    </row>
    <row r="85" spans="1:31" s="311" customFormat="1" ht="27" customHeight="1" x14ac:dyDescent="0.2">
      <c r="A85" s="380" t="s">
        <v>434</v>
      </c>
      <c r="B85" s="381">
        <f t="shared" ref="B85:AE85" si="16">1/POWER((1+$B$43),B73)</f>
        <v>0.95402649883562884</v>
      </c>
      <c r="C85" s="381">
        <f t="shared" si="16"/>
        <v>0.86832301705254278</v>
      </c>
      <c r="D85" s="381">
        <f t="shared" si="16"/>
        <v>0.79031857381682236</v>
      </c>
      <c r="E85" s="381">
        <f t="shared" si="16"/>
        <v>0.71932153801476506</v>
      </c>
      <c r="F85" s="381">
        <f t="shared" si="16"/>
        <v>0.65470241013449082</v>
      </c>
      <c r="G85" s="381">
        <f t="shared" si="16"/>
        <v>0.59588824077044755</v>
      </c>
      <c r="H85" s="381">
        <f t="shared" si="16"/>
        <v>0.54235755053285484</v>
      </c>
      <c r="I85" s="381">
        <f t="shared" si="16"/>
        <v>0.49363570631915432</v>
      </c>
      <c r="J85" s="381">
        <f t="shared" si="16"/>
        <v>0.44929071295090039</v>
      </c>
      <c r="K85" s="381">
        <f t="shared" si="16"/>
        <v>0.40892938286238317</v>
      </c>
      <c r="L85" s="381">
        <f t="shared" si="16"/>
        <v>0.37219384987929666</v>
      </c>
      <c r="M85" s="381">
        <f t="shared" si="16"/>
        <v>0.3387583961766602</v>
      </c>
      <c r="N85" s="381">
        <f t="shared" si="16"/>
        <v>0.30832656428202437</v>
      </c>
      <c r="O85" s="381">
        <f t="shared" si="16"/>
        <v>0.28062852851736092</v>
      </c>
      <c r="P85" s="381">
        <f t="shared" si="16"/>
        <v>0.25541870257336935</v>
      </c>
      <c r="Q85" s="381">
        <f t="shared" si="16"/>
        <v>0.23247356200361272</v>
      </c>
      <c r="R85" s="381">
        <f t="shared" si="16"/>
        <v>0.21158966233149432</v>
      </c>
      <c r="S85" s="381">
        <f t="shared" si="16"/>
        <v>0.19258183519750091</v>
      </c>
      <c r="T85" s="381">
        <f t="shared" si="16"/>
        <v>0.17528154655274497</v>
      </c>
      <c r="U85" s="381">
        <f t="shared" si="16"/>
        <v>0.15953540234162647</v>
      </c>
      <c r="V85" s="381">
        <f t="shared" si="16"/>
        <v>0.14520378842416171</v>
      </c>
      <c r="W85" s="381">
        <f t="shared" si="16"/>
        <v>0.13215963267876735</v>
      </c>
      <c r="X85" s="381">
        <f t="shared" si="16"/>
        <v>0.12028727830960895</v>
      </c>
      <c r="Y85" s="381">
        <f t="shared" si="16"/>
        <v>0.10948145836862559</v>
      </c>
      <c r="Z85" s="381">
        <f t="shared" si="16"/>
        <v>9.9646362399768443E-2</v>
      </c>
      <c r="AA85" s="381">
        <f t="shared" si="16"/>
        <v>9.0694786929797461E-2</v>
      </c>
      <c r="AB85" s="381">
        <f t="shared" si="16"/>
        <v>8.2547362273411681E-2</v>
      </c>
      <c r="AC85" s="381">
        <f t="shared" si="16"/>
        <v>7.5131848797134526E-2</v>
      </c>
      <c r="AD85" s="381">
        <f t="shared" si="16"/>
        <v>6.8382496402234039E-2</v>
      </c>
      <c r="AE85" s="381">
        <f t="shared" si="16"/>
        <v>6.2239461547496142E-2</v>
      </c>
    </row>
    <row r="86" spans="1:31" s="311" customFormat="1" ht="12.75" x14ac:dyDescent="0.2">
      <c r="A86" s="379" t="s">
        <v>650</v>
      </c>
      <c r="B86" s="373">
        <f t="shared" ref="B86:AE86" si="17">B83*B85</f>
        <v>-3434495.3958082637</v>
      </c>
      <c r="C86" s="373">
        <f t="shared" si="17"/>
        <v>-113553685.22331759</v>
      </c>
      <c r="D86" s="373">
        <f t="shared" si="17"/>
        <v>-91808582.644181788</v>
      </c>
      <c r="E86" s="373">
        <f t="shared" si="17"/>
        <v>-114693627.2357202</v>
      </c>
      <c r="F86" s="373">
        <f t="shared" si="17"/>
        <v>26516839.111924559</v>
      </c>
      <c r="G86" s="373">
        <f t="shared" si="17"/>
        <v>31195077.765206717</v>
      </c>
      <c r="H86" s="373">
        <f t="shared" si="17"/>
        <v>31715424.280269828</v>
      </c>
      <c r="I86" s="373">
        <f t="shared" si="17"/>
        <v>32106003.209285282</v>
      </c>
      <c r="J86" s="373">
        <f t="shared" si="17"/>
        <v>31054829.005047701</v>
      </c>
      <c r="K86" s="373">
        <f t="shared" si="17"/>
        <v>27668341.063188292</v>
      </c>
      <c r="L86" s="373">
        <f t="shared" si="17"/>
        <v>23017302.106027067</v>
      </c>
      <c r="M86" s="373">
        <f t="shared" si="17"/>
        <v>23262361.056171399</v>
      </c>
      <c r="N86" s="373">
        <f t="shared" si="17"/>
        <v>20863698.908460401</v>
      </c>
      <c r="O86" s="373">
        <f t="shared" si="17"/>
        <v>22305344.55069074</v>
      </c>
      <c r="P86" s="373">
        <f t="shared" si="17"/>
        <v>20188073.702601872</v>
      </c>
      <c r="Q86" s="373">
        <f t="shared" si="17"/>
        <v>20362585.195202503</v>
      </c>
      <c r="R86" s="373">
        <f t="shared" si="17"/>
        <v>19392426.637908861</v>
      </c>
      <c r="S86" s="373">
        <f t="shared" si="17"/>
        <v>18572565.28589268</v>
      </c>
      <c r="T86" s="373">
        <f t="shared" si="17"/>
        <v>17732248.31593002</v>
      </c>
      <c r="U86" s="373">
        <f t="shared" si="17"/>
        <v>16926949.277898349</v>
      </c>
      <c r="V86" s="373">
        <f t="shared" si="17"/>
        <v>14991064.982217405</v>
      </c>
      <c r="W86" s="373">
        <f t="shared" si="17"/>
        <v>15416970.701502282</v>
      </c>
      <c r="X86" s="373">
        <f t="shared" si="17"/>
        <v>14677903.458142033</v>
      </c>
      <c r="Y86" s="373">
        <f t="shared" si="17"/>
        <v>14033714.682501579</v>
      </c>
      <c r="Z86" s="373">
        <f t="shared" si="17"/>
        <v>13386833.696947921</v>
      </c>
      <c r="AA86" s="373">
        <f t="shared" si="17"/>
        <v>12768326.375669245</v>
      </c>
      <c r="AB86" s="373">
        <f t="shared" si="17"/>
        <v>12288352.424296817</v>
      </c>
      <c r="AC86" s="373">
        <f t="shared" si="17"/>
        <v>11659824.828089844</v>
      </c>
      <c r="AD86" s="373">
        <f t="shared" si="17"/>
        <v>10562754.72720005</v>
      </c>
      <c r="AE86" s="373">
        <f t="shared" si="17"/>
        <v>10588322.00135142</v>
      </c>
    </row>
    <row r="87" spans="1:31" s="311" customFormat="1" ht="12.75" x14ac:dyDescent="0.2">
      <c r="A87" s="379" t="s">
        <v>651</v>
      </c>
      <c r="B87" s="373">
        <f>SUM($B$86:B86)</f>
        <v>-3434495.3958082637</v>
      </c>
      <c r="C87" s="373">
        <f>SUM($B$86:C86)</f>
        <v>-116988180.61912586</v>
      </c>
      <c r="D87" s="373">
        <f>SUM($B$86:D86)</f>
        <v>-208796763.26330763</v>
      </c>
      <c r="E87" s="373">
        <f>SUM($B$86:E86)</f>
        <v>-323490390.49902785</v>
      </c>
      <c r="F87" s="373">
        <f>SUM($B$86:F86)</f>
        <v>-296973551.38710332</v>
      </c>
      <c r="G87" s="373">
        <f>SUM($B$86:G86)</f>
        <v>-265778473.62189659</v>
      </c>
      <c r="H87" s="373">
        <f>SUM($B$86:H86)</f>
        <v>-234063049.34162676</v>
      </c>
      <c r="I87" s="373">
        <f>SUM($B$86:I86)</f>
        <v>-201957046.13234147</v>
      </c>
      <c r="J87" s="373">
        <f>SUM($B$86:J86)</f>
        <v>-170902217.12729377</v>
      </c>
      <c r="K87" s="373">
        <f>SUM($B$86:K86)</f>
        <v>-143233876.06410548</v>
      </c>
      <c r="L87" s="373">
        <f>SUM($B$86:L86)</f>
        <v>-120216573.95807841</v>
      </c>
      <c r="M87" s="373">
        <f>SUM($B$86:M86)</f>
        <v>-96954212.901907012</v>
      </c>
      <c r="N87" s="373">
        <f>SUM($B$86:N86)</f>
        <v>-76090513.993446618</v>
      </c>
      <c r="O87" s="373">
        <f>SUM($B$86:O86)</f>
        <v>-53785169.442755878</v>
      </c>
      <c r="P87" s="373">
        <f>SUM($B$86:P86)</f>
        <v>-33597095.740154006</v>
      </c>
      <c r="Q87" s="373">
        <f>SUM($B$86:Q86)</f>
        <v>-13234510.544951502</v>
      </c>
      <c r="R87" s="373">
        <f>SUM($B$86:R86)</f>
        <v>6157916.0929573588</v>
      </c>
      <c r="S87" s="373">
        <f>SUM($B$86:S86)</f>
        <v>24730481.378850039</v>
      </c>
      <c r="T87" s="373">
        <f>SUM($B$86:T86)</f>
        <v>42462729.694780059</v>
      </c>
      <c r="U87" s="373">
        <f>SUM($B$86:U86)</f>
        <v>59389678.972678408</v>
      </c>
      <c r="V87" s="373">
        <f>SUM($B$86:V86)</f>
        <v>74380743.954895809</v>
      </c>
      <c r="W87" s="373">
        <f>SUM($B$86:W86)</f>
        <v>89797714.656398088</v>
      </c>
      <c r="X87" s="373">
        <f>SUM($B$86:X86)</f>
        <v>104475618.11454011</v>
      </c>
      <c r="Y87" s="373">
        <f>SUM($B$86:Y86)</f>
        <v>118509332.7970417</v>
      </c>
      <c r="Z87" s="373">
        <f>SUM($B$86:Z86)</f>
        <v>131896166.49398962</v>
      </c>
      <c r="AA87" s="373">
        <f>SUM($B$86:AA86)</f>
        <v>144664492.86965886</v>
      </c>
      <c r="AB87" s="373">
        <f>SUM($B$86:AB86)</f>
        <v>156952845.29395568</v>
      </c>
      <c r="AC87" s="373">
        <f>SUM($B$86:AC86)</f>
        <v>168612670.12204552</v>
      </c>
      <c r="AD87" s="373">
        <f>SUM($B$86:AD86)</f>
        <v>179175424.84924558</v>
      </c>
      <c r="AE87" s="373">
        <f>SUM($B$86:AE86)</f>
        <v>189763746.85059699</v>
      </c>
    </row>
    <row r="88" spans="1:31" s="311" customFormat="1" ht="12.75" x14ac:dyDescent="0.2">
      <c r="A88" s="379" t="s">
        <v>652</v>
      </c>
      <c r="B88" s="382">
        <f>IF((ISERR(IRR($B$83:B83))),0,IF(IRR($B$83:B83)&lt;0,0,IRR($B$83:B83)))</f>
        <v>0</v>
      </c>
      <c r="C88" s="382">
        <f>IF((ISERR(IRR($B$83:C83))),0,IF(IRR($B$83:C83)&lt;0,0,IRR($B$83:C83)))</f>
        <v>0</v>
      </c>
      <c r="D88" s="382">
        <f>IF((ISERR(IRR($B$83:D83))),0,IF(IRR($B$83:D83)&lt;0,0,IRR($B$83:D83)))</f>
        <v>0</v>
      </c>
      <c r="E88" s="382">
        <f>IF((ISERR(IRR($B$83:E83))),0,IF(IRR($B$83:E83)&lt;0,0,IRR($B$83:E83)))</f>
        <v>0</v>
      </c>
      <c r="F88" s="382">
        <f>IF((ISERR(IRR($B$83:F83))),0,IF(IRR($B$83:F83)&lt;0,0,IRR($B$83:F83)))</f>
        <v>0</v>
      </c>
      <c r="G88" s="382">
        <f>IF((ISERR(IRR($B$83:G83))),0,IF(IRR($B$83:G83)&lt;0,0,IRR($B$83:G83)))</f>
        <v>0</v>
      </c>
      <c r="H88" s="382">
        <f>IF((ISERR(IRR($B$83:H83))),0,IF(IRR($B$83:H83)&lt;0,0,IRR($B$83:H83)))</f>
        <v>0</v>
      </c>
      <c r="I88" s="382">
        <f>IF((ISERR(IRR($B$83:I83))),0,IF(IRR($B$83:I83)&lt;0,0,IRR($B$83:I83)))</f>
        <v>0</v>
      </c>
      <c r="J88" s="382">
        <f>IF((ISERR(IRR($B$83:J83))),0,IF(IRR($B$83:J83)&lt;0,0,IRR($B$83:J83)))</f>
        <v>0</v>
      </c>
      <c r="K88" s="382">
        <f>IF((ISERR(IRR($B$83:K83))),0,IF(IRR($B$83:K83)&lt;0,0,IRR($B$83:K83)))</f>
        <v>0</v>
      </c>
      <c r="L88" s="382">
        <f>IF((ISERR(IRR($B$83:L83))),0,IF(IRR($B$83:L83)&lt;0,0,IRR($B$83:L83)))</f>
        <v>2.3369775203347931E-3</v>
      </c>
      <c r="M88" s="382">
        <f>IF((ISERR(IRR($B$83:M83))),0,IF(IRR($B$83:M83)&lt;0,0,IRR($B$83:M83)))</f>
        <v>2.9555447023064563E-2</v>
      </c>
      <c r="N88" s="382">
        <f>IF((ISERR(IRR($B$83:N83))),0,IF(IRR($B$83:N83)&lt;0,0,IRR($B$83:N83)))</f>
        <v>4.9594262241647646E-2</v>
      </c>
      <c r="O88" s="382">
        <f>IF((ISERR(IRR($B$83:O83))),0,IF(IRR($B$83:O83)&lt;0,0,IRR($B$83:O83)))</f>
        <v>6.73400651680931E-2</v>
      </c>
      <c r="P88" s="382">
        <f>IF((ISERR(IRR($B$83:P83))),0,IF(IRR($B$83:P83)&lt;0,0,IRR($B$83:P83)))</f>
        <v>8.0747904258896774E-2</v>
      </c>
      <c r="Q88" s="382">
        <f>IF((ISERR(IRR($B$83:Q83))),0,IF(IRR($B$83:Q83)&lt;0,0,IRR($B$83:Q83)))</f>
        <v>9.2198672597908482E-2</v>
      </c>
      <c r="R88" s="382">
        <f>IF((ISERR(IRR($B$83:R83))),0,IF(IRR($B$83:R83)&lt;0,0,IRR($B$83:R83)))</f>
        <v>0.10150201633974221</v>
      </c>
      <c r="S88" s="382">
        <f>IF((ISERR(IRR($B$83:S83))),0,IF(IRR($B$83:S83)&lt;0,0,IRR($B$83:S83)))</f>
        <v>0.10918718181329146</v>
      </c>
      <c r="T88" s="382">
        <f>IF((ISERR(IRR($B$83:T83))),0,IF(IRR($B$83:T83)&lt;0,0,IRR($B$83:T83)))</f>
        <v>0.11557463471896945</v>
      </c>
      <c r="U88" s="382">
        <f>IF((ISERR(IRR($B$83:U83))),0,IF(IRR($B$83:U83)&lt;0,0,IRR($B$83:U83)))</f>
        <v>0.12092644425546029</v>
      </c>
      <c r="V88" s="382">
        <f>IF((ISERR(IRR($B$83:V83))),0,IF(IRR($B$83:V83)&lt;0,0,IRR($B$83:V83)))</f>
        <v>0.1251311216097839</v>
      </c>
      <c r="W88" s="382">
        <f>IF((ISERR(IRR($B$83:W83))),0,IF(IRR($B$83:W83)&lt;0,0,IRR($B$83:W83)))</f>
        <v>0.12899084282778617</v>
      </c>
      <c r="X88" s="382">
        <f>IF((ISERR(IRR($B$83:X83))),0,IF(IRR($B$83:X83)&lt;0,0,IRR($B$83:X83)))</f>
        <v>0.13227817443906909</v>
      </c>
      <c r="Y88" s="382">
        <f>IF((ISERR(IRR($B$83:Y83))),0,IF(IRR($B$83:Y83)&lt;0,0,IRR($B$83:Y83)))</f>
        <v>0.13510451952307756</v>
      </c>
      <c r="Z88" s="382">
        <f>IF((ISERR(IRR($B$83:Z83))),0,IF(IRR($B$83:Z83)&lt;0,0,IRR($B$83:Z83)))</f>
        <v>0.13754000652867227</v>
      </c>
      <c r="AA88" s="382">
        <f>IF((ISERR(IRR($B$83:AA83))),0,IF(IRR($B$83:AA83)&lt;0,0,IRR($B$83:AA83)))</f>
        <v>0.13964726949978989</v>
      </c>
      <c r="AB88" s="382">
        <f>IF((ISERR(IRR($B$83:AB83))),0,IF(IRR($B$83:AB83)&lt;0,0,IRR($B$83:AB83)))</f>
        <v>0.14149354590660801</v>
      </c>
      <c r="AC88" s="382">
        <f>IF((ISERR(IRR($B$83:AC83))),0,IF(IRR($B$83:AC83)&lt;0,0,IRR($B$83:AC83)))</f>
        <v>0.14309372092168138</v>
      </c>
      <c r="AD88" s="382">
        <f>IF((ISERR(IRR($B$83:AD83))),0,IF(IRR($B$83:AD83)&lt;0,0,IRR($B$83:AD83)))</f>
        <v>0.14442368775674286</v>
      </c>
      <c r="AE88" s="382">
        <f>IF((ISERR(IRR($B$83:AE83))),0,IF(IRR($B$83:AE83)&lt;0,0,IRR($B$83:AE83)))</f>
        <v>0.14565035942264148</v>
      </c>
    </row>
    <row r="89" spans="1:31" s="311" customFormat="1" ht="12.75" x14ac:dyDescent="0.2">
      <c r="A89" s="379" t="s">
        <v>653</v>
      </c>
      <c r="B89" s="383">
        <f t="shared" ref="B89:AE89" si="18">IF(AND(B84&gt;0,A84&lt;0),(B74-(B84/(B84-A84))),0)</f>
        <v>0</v>
      </c>
      <c r="C89" s="383">
        <f t="shared" si="18"/>
        <v>0</v>
      </c>
      <c r="D89" s="383">
        <f t="shared" si="18"/>
        <v>0</v>
      </c>
      <c r="E89" s="383">
        <f t="shared" si="18"/>
        <v>0</v>
      </c>
      <c r="F89" s="383">
        <f t="shared" si="18"/>
        <v>0</v>
      </c>
      <c r="G89" s="383">
        <f t="shared" si="18"/>
        <v>0</v>
      </c>
      <c r="H89" s="383">
        <f t="shared" si="18"/>
        <v>0</v>
      </c>
      <c r="I89" s="383">
        <f t="shared" si="18"/>
        <v>0</v>
      </c>
      <c r="J89" s="383">
        <f t="shared" si="18"/>
        <v>0</v>
      </c>
      <c r="K89" s="383">
        <f t="shared" si="18"/>
        <v>0</v>
      </c>
      <c r="L89" s="383">
        <f t="shared" si="18"/>
        <v>10.91907123204162</v>
      </c>
      <c r="M89" s="383">
        <f t="shared" si="18"/>
        <v>0</v>
      </c>
      <c r="N89" s="383">
        <f t="shared" si="18"/>
        <v>0</v>
      </c>
      <c r="O89" s="383">
        <f t="shared" si="18"/>
        <v>0</v>
      </c>
      <c r="P89" s="383">
        <f t="shared" si="18"/>
        <v>0</v>
      </c>
      <c r="Q89" s="383">
        <f t="shared" si="18"/>
        <v>0</v>
      </c>
      <c r="R89" s="383">
        <f t="shared" si="18"/>
        <v>0</v>
      </c>
      <c r="S89" s="383">
        <f t="shared" si="18"/>
        <v>0</v>
      </c>
      <c r="T89" s="383">
        <f t="shared" si="18"/>
        <v>0</v>
      </c>
      <c r="U89" s="383">
        <f t="shared" si="18"/>
        <v>0</v>
      </c>
      <c r="V89" s="383">
        <f t="shared" si="18"/>
        <v>0</v>
      </c>
      <c r="W89" s="383">
        <f t="shared" si="18"/>
        <v>0</v>
      </c>
      <c r="X89" s="383">
        <f t="shared" si="18"/>
        <v>0</v>
      </c>
      <c r="Y89" s="383">
        <f t="shared" si="18"/>
        <v>0</v>
      </c>
      <c r="Z89" s="383">
        <f t="shared" si="18"/>
        <v>0</v>
      </c>
      <c r="AA89" s="383">
        <f t="shared" si="18"/>
        <v>0</v>
      </c>
      <c r="AB89" s="383">
        <f t="shared" si="18"/>
        <v>0</v>
      </c>
      <c r="AC89" s="383">
        <f t="shared" si="18"/>
        <v>0</v>
      </c>
      <c r="AD89" s="383">
        <f t="shared" si="18"/>
        <v>0</v>
      </c>
      <c r="AE89" s="383">
        <f t="shared" si="18"/>
        <v>0</v>
      </c>
    </row>
    <row r="90" spans="1:31" s="311" customFormat="1" ht="13.5" thickBot="1" x14ac:dyDescent="0.25">
      <c r="A90" s="384" t="s">
        <v>654</v>
      </c>
      <c r="B90" s="385">
        <f t="shared" ref="B90:AE90" si="19">IF(AND(B87&gt;0,A87&lt;0),(B74-(B87/(B87-A87))),0)</f>
        <v>0</v>
      </c>
      <c r="C90" s="385">
        <f t="shared" si="19"/>
        <v>0</v>
      </c>
      <c r="D90" s="385">
        <f t="shared" si="19"/>
        <v>0</v>
      </c>
      <c r="E90" s="385">
        <f t="shared" si="19"/>
        <v>0</v>
      </c>
      <c r="F90" s="385">
        <f t="shared" si="19"/>
        <v>0</v>
      </c>
      <c r="G90" s="385">
        <f t="shared" si="19"/>
        <v>0</v>
      </c>
      <c r="H90" s="385">
        <f t="shared" si="19"/>
        <v>0</v>
      </c>
      <c r="I90" s="385">
        <f t="shared" si="19"/>
        <v>0</v>
      </c>
      <c r="J90" s="385">
        <f t="shared" si="19"/>
        <v>0</v>
      </c>
      <c r="K90" s="385">
        <f t="shared" si="19"/>
        <v>0</v>
      </c>
      <c r="L90" s="385">
        <f t="shared" si="19"/>
        <v>0</v>
      </c>
      <c r="M90" s="385">
        <f t="shared" si="19"/>
        <v>0</v>
      </c>
      <c r="N90" s="385">
        <f t="shared" si="19"/>
        <v>0</v>
      </c>
      <c r="O90" s="385">
        <f t="shared" si="19"/>
        <v>0</v>
      </c>
      <c r="P90" s="385">
        <f t="shared" si="19"/>
        <v>0</v>
      </c>
      <c r="Q90" s="385">
        <f t="shared" si="19"/>
        <v>0</v>
      </c>
      <c r="R90" s="385">
        <f t="shared" si="19"/>
        <v>16.682457682685275</v>
      </c>
      <c r="S90" s="385">
        <f t="shared" si="19"/>
        <v>0</v>
      </c>
      <c r="T90" s="385">
        <f t="shared" si="19"/>
        <v>0</v>
      </c>
      <c r="U90" s="385">
        <f t="shared" si="19"/>
        <v>0</v>
      </c>
      <c r="V90" s="385">
        <f t="shared" si="19"/>
        <v>0</v>
      </c>
      <c r="W90" s="385">
        <f t="shared" si="19"/>
        <v>0</v>
      </c>
      <c r="X90" s="385">
        <f t="shared" si="19"/>
        <v>0</v>
      </c>
      <c r="Y90" s="385">
        <f t="shared" si="19"/>
        <v>0</v>
      </c>
      <c r="Z90" s="385">
        <f t="shared" si="19"/>
        <v>0</v>
      </c>
      <c r="AA90" s="385">
        <f t="shared" si="19"/>
        <v>0</v>
      </c>
      <c r="AB90" s="385">
        <f t="shared" si="19"/>
        <v>0</v>
      </c>
      <c r="AC90" s="385">
        <f t="shared" si="19"/>
        <v>0</v>
      </c>
      <c r="AD90" s="385">
        <f t="shared" si="19"/>
        <v>0</v>
      </c>
      <c r="AE90" s="385">
        <f t="shared" si="19"/>
        <v>0</v>
      </c>
    </row>
    <row r="91" spans="1:31" s="311" customFormat="1" ht="12.75" x14ac:dyDescent="0.2">
      <c r="A91" s="386"/>
      <c r="B91" s="386">
        <v>2021</v>
      </c>
      <c r="C91" s="386">
        <f t="shared" ref="C91:AE92" si="20">B91+1</f>
        <v>2022</v>
      </c>
      <c r="D91" s="386">
        <f t="shared" si="20"/>
        <v>2023</v>
      </c>
      <c r="E91" s="386">
        <f t="shared" si="20"/>
        <v>2024</v>
      </c>
      <c r="F91" s="386">
        <f t="shared" si="20"/>
        <v>2025</v>
      </c>
      <c r="G91" s="386">
        <f t="shared" si="20"/>
        <v>2026</v>
      </c>
      <c r="H91" s="386">
        <f t="shared" si="20"/>
        <v>2027</v>
      </c>
      <c r="I91" s="386">
        <f t="shared" si="20"/>
        <v>2028</v>
      </c>
      <c r="J91" s="386">
        <f t="shared" si="20"/>
        <v>2029</v>
      </c>
      <c r="K91" s="386">
        <f t="shared" si="20"/>
        <v>2030</v>
      </c>
      <c r="L91" s="386">
        <f t="shared" si="20"/>
        <v>2031</v>
      </c>
      <c r="M91" s="386">
        <f t="shared" si="20"/>
        <v>2032</v>
      </c>
      <c r="N91" s="386">
        <f t="shared" si="20"/>
        <v>2033</v>
      </c>
      <c r="O91" s="386">
        <f t="shared" si="20"/>
        <v>2034</v>
      </c>
      <c r="P91" s="386">
        <f t="shared" si="20"/>
        <v>2035</v>
      </c>
      <c r="Q91" s="386">
        <f t="shared" si="20"/>
        <v>2036</v>
      </c>
      <c r="R91" s="386">
        <f t="shared" si="20"/>
        <v>2037</v>
      </c>
      <c r="S91" s="386">
        <f t="shared" si="20"/>
        <v>2038</v>
      </c>
      <c r="T91" s="386">
        <f t="shared" si="20"/>
        <v>2039</v>
      </c>
      <c r="U91" s="386">
        <f t="shared" si="20"/>
        <v>2040</v>
      </c>
      <c r="V91" s="386">
        <f t="shared" si="20"/>
        <v>2041</v>
      </c>
      <c r="W91" s="386">
        <f t="shared" si="20"/>
        <v>2042</v>
      </c>
      <c r="X91" s="386">
        <f t="shared" si="20"/>
        <v>2043</v>
      </c>
      <c r="Y91" s="386">
        <f t="shared" si="20"/>
        <v>2044</v>
      </c>
      <c r="Z91" s="386">
        <f t="shared" si="20"/>
        <v>2045</v>
      </c>
      <c r="AA91" s="386">
        <f t="shared" si="20"/>
        <v>2046</v>
      </c>
      <c r="AB91" s="386">
        <f t="shared" si="20"/>
        <v>2047</v>
      </c>
      <c r="AC91" s="386">
        <f t="shared" si="20"/>
        <v>2048</v>
      </c>
      <c r="AD91" s="386">
        <f t="shared" si="20"/>
        <v>2049</v>
      </c>
      <c r="AE91" s="386">
        <f t="shared" si="20"/>
        <v>2050</v>
      </c>
    </row>
    <row r="92" spans="1:31" s="390" customFormat="1" ht="12.75" hidden="1" x14ac:dyDescent="0.2">
      <c r="A92" s="389"/>
      <c r="B92" s="389">
        <v>1</v>
      </c>
      <c r="C92" s="389">
        <f>B92+1</f>
        <v>2</v>
      </c>
      <c r="D92" s="389">
        <f t="shared" si="20"/>
        <v>3</v>
      </c>
      <c r="E92" s="389">
        <f t="shared" si="20"/>
        <v>4</v>
      </c>
      <c r="F92" s="389">
        <f t="shared" si="20"/>
        <v>5</v>
      </c>
      <c r="G92" s="389">
        <f t="shared" si="20"/>
        <v>6</v>
      </c>
      <c r="H92" s="389">
        <f t="shared" si="20"/>
        <v>7</v>
      </c>
      <c r="I92" s="389">
        <f t="shared" si="20"/>
        <v>8</v>
      </c>
      <c r="J92" s="389">
        <f t="shared" si="20"/>
        <v>9</v>
      </c>
      <c r="K92" s="389">
        <f t="shared" si="20"/>
        <v>10</v>
      </c>
      <c r="L92" s="389">
        <f t="shared" si="20"/>
        <v>11</v>
      </c>
      <c r="M92" s="389">
        <f t="shared" si="20"/>
        <v>12</v>
      </c>
      <c r="N92" s="389">
        <f t="shared" si="20"/>
        <v>13</v>
      </c>
      <c r="O92" s="389">
        <f t="shared" si="20"/>
        <v>14</v>
      </c>
      <c r="P92" s="389">
        <f t="shared" si="20"/>
        <v>15</v>
      </c>
      <c r="Q92" s="389">
        <f t="shared" si="20"/>
        <v>16</v>
      </c>
      <c r="R92" s="389">
        <f t="shared" si="20"/>
        <v>17</v>
      </c>
      <c r="S92" s="389">
        <f t="shared" si="20"/>
        <v>18</v>
      </c>
      <c r="T92" s="389">
        <f t="shared" si="20"/>
        <v>19</v>
      </c>
      <c r="U92" s="389">
        <f t="shared" si="20"/>
        <v>20</v>
      </c>
      <c r="V92" s="389">
        <f t="shared" si="20"/>
        <v>21</v>
      </c>
      <c r="W92" s="389">
        <f t="shared" si="20"/>
        <v>22</v>
      </c>
      <c r="X92" s="389">
        <f t="shared" si="20"/>
        <v>23</v>
      </c>
      <c r="Y92" s="389">
        <f t="shared" si="20"/>
        <v>24</v>
      </c>
      <c r="Z92" s="389">
        <f t="shared" si="20"/>
        <v>25</v>
      </c>
      <c r="AA92" s="389">
        <f t="shared" si="20"/>
        <v>26</v>
      </c>
      <c r="AB92" s="389">
        <f t="shared" si="20"/>
        <v>27</v>
      </c>
      <c r="AC92" s="389">
        <f t="shared" si="20"/>
        <v>28</v>
      </c>
      <c r="AD92" s="389">
        <f t="shared" si="20"/>
        <v>29</v>
      </c>
      <c r="AE92" s="389">
        <f t="shared" si="20"/>
        <v>30</v>
      </c>
    </row>
    <row r="93" spans="1:31" s="311" customFormat="1" ht="12.75" hidden="1" x14ac:dyDescent="0.2">
      <c r="A93" s="488" t="s">
        <v>655</v>
      </c>
      <c r="B93" s="488"/>
      <c r="C93" s="488"/>
      <c r="D93" s="488"/>
      <c r="E93" s="488"/>
      <c r="F93" s="488"/>
      <c r="G93" s="488"/>
      <c r="H93" s="488"/>
      <c r="I93" s="488"/>
      <c r="J93" s="488"/>
      <c r="K93" s="488"/>
      <c r="L93" s="488"/>
      <c r="M93" s="488"/>
      <c r="N93" s="488"/>
      <c r="O93" s="488"/>
      <c r="P93" s="488"/>
      <c r="Q93" s="488"/>
      <c r="R93" s="488"/>
      <c r="S93" s="488"/>
      <c r="T93" s="488"/>
      <c r="U93" s="488"/>
      <c r="V93" s="488"/>
      <c r="W93" s="488"/>
      <c r="X93" s="488"/>
      <c r="Y93" s="488"/>
      <c r="Z93" s="488"/>
      <c r="AA93" s="488"/>
      <c r="AB93" s="488"/>
      <c r="AC93" s="488"/>
    </row>
    <row r="94" spans="1:31" s="311" customFormat="1" ht="12.75" hidden="1" x14ac:dyDescent="0.2">
      <c r="A94" s="488" t="s">
        <v>656</v>
      </c>
      <c r="B94" s="488"/>
      <c r="C94" s="488"/>
      <c r="D94" s="488"/>
      <c r="E94" s="488"/>
      <c r="F94" s="488"/>
      <c r="G94" s="488"/>
      <c r="H94" s="488"/>
      <c r="I94" s="488"/>
      <c r="J94" s="321"/>
      <c r="K94" s="321"/>
      <c r="L94" s="321"/>
      <c r="M94" s="321"/>
      <c r="N94" s="321"/>
      <c r="O94" s="321"/>
      <c r="P94" s="321"/>
      <c r="Q94" s="321"/>
      <c r="R94" s="321"/>
      <c r="S94" s="321"/>
      <c r="T94" s="321"/>
      <c r="U94" s="321"/>
      <c r="V94" s="321"/>
      <c r="W94" s="321"/>
      <c r="X94" s="321"/>
      <c r="Y94" s="321"/>
      <c r="Z94" s="321"/>
      <c r="AA94" s="321"/>
      <c r="AB94" s="321"/>
      <c r="AC94" s="321"/>
    </row>
    <row r="95" spans="1:31" s="311" customFormat="1" ht="12.75" hidden="1" x14ac:dyDescent="0.2">
      <c r="A95" s="321"/>
      <c r="B95" s="321"/>
      <c r="C95" s="387"/>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c r="AC95" s="321"/>
    </row>
    <row r="96" spans="1:31" s="311" customFormat="1" ht="12.75" hidden="1" x14ac:dyDescent="0.2">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row>
    <row r="97" spans="1:71" s="311" customFormat="1" ht="12.75" hidden="1" x14ac:dyDescent="0.2">
      <c r="N97" s="321"/>
    </row>
    <row r="98" spans="1:71" s="311" customFormat="1" ht="12.75" hidden="1" x14ac:dyDescent="0.2">
      <c r="N98" s="321"/>
    </row>
    <row r="99" spans="1:71" s="311" customFormat="1" ht="12.75" hidden="1" x14ac:dyDescent="0.2">
      <c r="N99" s="321"/>
    </row>
    <row r="100" spans="1:71" s="257" customFormat="1" ht="15.75" hidden="1" x14ac:dyDescent="0.2">
      <c r="A100" s="258" t="s">
        <v>604</v>
      </c>
      <c r="B100" s="259" t="e">
        <f>(A99+-A98)/-A98</f>
        <v>#DIV/0!</v>
      </c>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49"/>
      <c r="AR100" s="249"/>
      <c r="AS100" s="249"/>
    </row>
    <row r="101" spans="1:71" s="257" customFormat="1" ht="15.75" hidden="1" x14ac:dyDescent="0.2">
      <c r="A101" s="260"/>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49"/>
      <c r="AR101" s="249"/>
      <c r="AS101" s="249"/>
    </row>
    <row r="102" spans="1:71" s="250" customFormat="1" ht="12.75" hidden="1" x14ac:dyDescent="0.2">
      <c r="A102" s="261" t="s">
        <v>605</v>
      </c>
      <c r="B102" s="261" t="s">
        <v>606</v>
      </c>
      <c r="C102" s="261" t="s">
        <v>607</v>
      </c>
      <c r="D102" s="261" t="s">
        <v>608</v>
      </c>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49"/>
      <c r="AR102" s="249"/>
      <c r="AS102" s="249"/>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2"/>
      <c r="BQ102" s="262"/>
      <c r="BR102" s="262"/>
      <c r="BS102" s="262"/>
    </row>
    <row r="103" spans="1:71" s="250" customFormat="1" ht="12.75" hidden="1" x14ac:dyDescent="0.2">
      <c r="A103" s="263">
        <f>G28/1000/1000</f>
        <v>1.6682457682685273E-5</v>
      </c>
      <c r="B103" s="264">
        <f>L86</f>
        <v>23017302.106027067</v>
      </c>
      <c r="C103" s="265">
        <f>G26</f>
        <v>0</v>
      </c>
      <c r="D103" s="265">
        <f>G27</f>
        <v>10.91907123204162</v>
      </c>
      <c r="E103" s="250" t="s">
        <v>609</v>
      </c>
    </row>
    <row r="104" spans="1:71" s="250" customFormat="1" ht="12.75" hidden="1" x14ac:dyDescent="0.2">
      <c r="A104" s="266"/>
      <c r="B104" s="262"/>
      <c r="C104" s="262"/>
      <c r="D104" s="262"/>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49"/>
      <c r="AR104" s="249"/>
      <c r="AS104" s="249"/>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s="250" customFormat="1" ht="12.75" hidden="1" x14ac:dyDescent="0.2">
      <c r="A105" s="267"/>
      <c r="B105" s="268">
        <v>2016</v>
      </c>
      <c r="C105" s="268">
        <v>2017</v>
      </c>
      <c r="D105" s="269">
        <f t="shared" ref="D105:AP105" si="21">C105+1</f>
        <v>2018</v>
      </c>
      <c r="E105" s="269">
        <f t="shared" si="21"/>
        <v>2019</v>
      </c>
      <c r="F105" s="269">
        <f t="shared" si="21"/>
        <v>2020</v>
      </c>
      <c r="G105" s="269">
        <f t="shared" si="21"/>
        <v>2021</v>
      </c>
      <c r="H105" s="269">
        <f t="shared" si="21"/>
        <v>2022</v>
      </c>
      <c r="I105" s="269">
        <f t="shared" si="21"/>
        <v>2023</v>
      </c>
      <c r="J105" s="269">
        <f t="shared" si="21"/>
        <v>2024</v>
      </c>
      <c r="K105" s="269">
        <f t="shared" si="21"/>
        <v>2025</v>
      </c>
      <c r="L105" s="269">
        <f t="shared" si="21"/>
        <v>2026</v>
      </c>
      <c r="M105" s="269">
        <f t="shared" si="21"/>
        <v>2027</v>
      </c>
      <c r="N105" s="269">
        <f t="shared" si="21"/>
        <v>2028</v>
      </c>
      <c r="O105" s="269">
        <f t="shared" si="21"/>
        <v>2029</v>
      </c>
      <c r="P105" s="269">
        <f t="shared" si="21"/>
        <v>2030</v>
      </c>
      <c r="Q105" s="269">
        <f t="shared" si="21"/>
        <v>2031</v>
      </c>
      <c r="R105" s="269">
        <f t="shared" si="21"/>
        <v>2032</v>
      </c>
      <c r="S105" s="269">
        <f t="shared" si="21"/>
        <v>2033</v>
      </c>
      <c r="T105" s="269">
        <f t="shared" si="21"/>
        <v>2034</v>
      </c>
      <c r="U105" s="269">
        <f t="shared" si="21"/>
        <v>2035</v>
      </c>
      <c r="V105" s="269">
        <f t="shared" si="21"/>
        <v>2036</v>
      </c>
      <c r="W105" s="269">
        <f t="shared" si="21"/>
        <v>2037</v>
      </c>
      <c r="X105" s="269">
        <f t="shared" si="21"/>
        <v>2038</v>
      </c>
      <c r="Y105" s="269">
        <f t="shared" si="21"/>
        <v>2039</v>
      </c>
      <c r="Z105" s="269">
        <f t="shared" si="21"/>
        <v>2040</v>
      </c>
      <c r="AA105" s="269">
        <f t="shared" si="21"/>
        <v>2041</v>
      </c>
      <c r="AB105" s="269">
        <f t="shared" si="21"/>
        <v>2042</v>
      </c>
      <c r="AC105" s="269">
        <f t="shared" si="21"/>
        <v>2043</v>
      </c>
      <c r="AD105" s="269">
        <f t="shared" si="21"/>
        <v>2044</v>
      </c>
      <c r="AE105" s="269">
        <f t="shared" si="21"/>
        <v>2045</v>
      </c>
      <c r="AF105" s="269">
        <f t="shared" si="21"/>
        <v>2046</v>
      </c>
      <c r="AG105" s="269">
        <f t="shared" si="21"/>
        <v>2047</v>
      </c>
      <c r="AH105" s="269">
        <f t="shared" si="21"/>
        <v>2048</v>
      </c>
      <c r="AI105" s="269">
        <f t="shared" si="21"/>
        <v>2049</v>
      </c>
      <c r="AJ105" s="269">
        <f t="shared" si="21"/>
        <v>2050</v>
      </c>
      <c r="AK105" s="269">
        <f t="shared" si="21"/>
        <v>2051</v>
      </c>
      <c r="AL105" s="269">
        <f t="shared" si="21"/>
        <v>2052</v>
      </c>
      <c r="AM105" s="269">
        <f t="shared" si="21"/>
        <v>2053</v>
      </c>
      <c r="AN105" s="269">
        <f t="shared" si="21"/>
        <v>2054</v>
      </c>
      <c r="AO105" s="269">
        <f t="shared" si="21"/>
        <v>2055</v>
      </c>
      <c r="AP105" s="269">
        <f t="shared" si="21"/>
        <v>2056</v>
      </c>
      <c r="AQ105" s="249"/>
      <c r="AR105" s="249"/>
      <c r="AS105" s="249"/>
      <c r="AT105" s="257"/>
      <c r="AU105" s="257"/>
      <c r="AV105" s="257"/>
      <c r="AW105" s="257"/>
      <c r="AX105" s="257"/>
      <c r="AY105" s="257"/>
      <c r="AZ105" s="257"/>
      <c r="BA105" s="257"/>
      <c r="BB105" s="257"/>
      <c r="BC105" s="257"/>
      <c r="BD105" s="257"/>
      <c r="BE105" s="257"/>
      <c r="BF105" s="257"/>
      <c r="BG105" s="257"/>
    </row>
    <row r="106" spans="1:71" s="250" customFormat="1" ht="25.5" hidden="1" x14ac:dyDescent="0.2">
      <c r="A106" s="270" t="s">
        <v>610</v>
      </c>
      <c r="B106" s="271"/>
      <c r="C106" s="271">
        <f>C107*$B$111*$B$112*1000</f>
        <v>0</v>
      </c>
      <c r="D106" s="271">
        <f>D107*$B$111*$B$112*1000</f>
        <v>0</v>
      </c>
      <c r="E106" s="271">
        <f>E107*$B$110*$B$109*1000</f>
        <v>0</v>
      </c>
      <c r="F106" s="271">
        <f t="shared" ref="F106:L106" si="22">F107*$B$110*$B$109*1000</f>
        <v>0</v>
      </c>
      <c r="G106" s="271">
        <f t="shared" si="22"/>
        <v>0</v>
      </c>
      <c r="H106" s="271">
        <f t="shared" si="22"/>
        <v>0</v>
      </c>
      <c r="I106" s="271">
        <f t="shared" si="22"/>
        <v>0</v>
      </c>
      <c r="J106" s="271">
        <f t="shared" si="22"/>
        <v>33955145.481600001</v>
      </c>
      <c r="K106" s="271">
        <f t="shared" si="22"/>
        <v>41231248.084800005</v>
      </c>
      <c r="L106" s="271">
        <f t="shared" si="22"/>
        <v>43656615.619199999</v>
      </c>
      <c r="M106" s="271">
        <f>M107*$B$110*$B$109*1000</f>
        <v>46081983.1536</v>
      </c>
      <c r="N106" s="271">
        <f t="shared" ref="N106:AP106" si="23">N107*$B$110*$B$109*1000</f>
        <v>46567056.66048</v>
      </c>
      <c r="O106" s="271">
        <f t="shared" si="23"/>
        <v>47052130.167359985</v>
      </c>
      <c r="P106" s="271">
        <f t="shared" si="23"/>
        <v>47537203.674239993</v>
      </c>
      <c r="Q106" s="271">
        <f t="shared" si="23"/>
        <v>49962571.208639987</v>
      </c>
      <c r="R106" s="271">
        <f t="shared" si="23"/>
        <v>52387938.743039995</v>
      </c>
      <c r="S106" s="271">
        <f t="shared" si="23"/>
        <v>52387938.743039995</v>
      </c>
      <c r="T106" s="271">
        <f t="shared" si="23"/>
        <v>52387938.743039995</v>
      </c>
      <c r="U106" s="271">
        <f t="shared" si="23"/>
        <v>52387938.743039995</v>
      </c>
      <c r="V106" s="271">
        <f t="shared" si="23"/>
        <v>52387938.743039995</v>
      </c>
      <c r="W106" s="271">
        <f t="shared" si="23"/>
        <v>52387938.743039995</v>
      </c>
      <c r="X106" s="271">
        <f t="shared" si="23"/>
        <v>52387938.743039995</v>
      </c>
      <c r="Y106" s="271">
        <f t="shared" si="23"/>
        <v>52387938.743039995</v>
      </c>
      <c r="Z106" s="271">
        <f t="shared" si="23"/>
        <v>52387938.743039995</v>
      </c>
      <c r="AA106" s="271">
        <f t="shared" si="23"/>
        <v>52387938.743039995</v>
      </c>
      <c r="AB106" s="271">
        <f t="shared" si="23"/>
        <v>52387938.743039995</v>
      </c>
      <c r="AC106" s="271">
        <f t="shared" si="23"/>
        <v>52387938.743039995</v>
      </c>
      <c r="AD106" s="271">
        <f t="shared" si="23"/>
        <v>52387938.743039995</v>
      </c>
      <c r="AE106" s="271">
        <f t="shared" si="23"/>
        <v>52387938.743039995</v>
      </c>
      <c r="AF106" s="271">
        <f t="shared" si="23"/>
        <v>52873012.249920011</v>
      </c>
      <c r="AG106" s="271">
        <f t="shared" si="23"/>
        <v>53358085.756800003</v>
      </c>
      <c r="AH106" s="271">
        <f t="shared" si="23"/>
        <v>53358085.756800003</v>
      </c>
      <c r="AI106" s="271">
        <f t="shared" si="23"/>
        <v>53358085.756800003</v>
      </c>
      <c r="AJ106" s="271">
        <f t="shared" si="23"/>
        <v>53358085.756800003</v>
      </c>
      <c r="AK106" s="271">
        <f t="shared" si="23"/>
        <v>53358085.756800003</v>
      </c>
      <c r="AL106" s="271">
        <f t="shared" si="23"/>
        <v>53358085.756800003</v>
      </c>
      <c r="AM106" s="271">
        <f t="shared" si="23"/>
        <v>53358085.756800003</v>
      </c>
      <c r="AN106" s="271">
        <f t="shared" si="23"/>
        <v>53358085.756800003</v>
      </c>
      <c r="AO106" s="271">
        <f t="shared" si="23"/>
        <v>53358085.756800003</v>
      </c>
      <c r="AP106" s="271">
        <f t="shared" si="23"/>
        <v>53358085.756800003</v>
      </c>
      <c r="AQ106" s="249"/>
      <c r="AR106" s="249"/>
      <c r="AS106" s="249"/>
      <c r="AT106" s="257"/>
      <c r="AU106" s="257"/>
      <c r="AV106" s="257"/>
      <c r="AW106" s="257"/>
      <c r="AX106" s="257"/>
      <c r="AY106" s="257"/>
      <c r="AZ106" s="257"/>
      <c r="BA106" s="257"/>
      <c r="BB106" s="257"/>
      <c r="BC106" s="257"/>
      <c r="BD106" s="257"/>
      <c r="BE106" s="257"/>
      <c r="BF106" s="257"/>
      <c r="BG106" s="257"/>
    </row>
    <row r="107" spans="1:71" s="250" customFormat="1" ht="12.75" hidden="1" x14ac:dyDescent="0.2">
      <c r="A107" s="270" t="s">
        <v>611</v>
      </c>
      <c r="B107" s="269"/>
      <c r="C107" s="269">
        <f t="shared" ref="C107:E107" si="24">B107+$I$120*C111</f>
        <v>0</v>
      </c>
      <c r="D107" s="269">
        <f t="shared" si="24"/>
        <v>0</v>
      </c>
      <c r="E107" s="269">
        <f t="shared" si="24"/>
        <v>0</v>
      </c>
      <c r="F107" s="269">
        <f>E107+$I$118*F111</f>
        <v>0</v>
      </c>
      <c r="G107" s="269">
        <f>F107+$I$118*G111</f>
        <v>0</v>
      </c>
      <c r="H107" s="269">
        <f t="shared" ref="H107:AP107" si="25">G107+$I$118*H111</f>
        <v>0</v>
      </c>
      <c r="I107" s="269">
        <f t="shared" si="25"/>
        <v>0</v>
      </c>
      <c r="J107" s="269">
        <f t="shared" si="25"/>
        <v>10.416</v>
      </c>
      <c r="K107" s="269">
        <f t="shared" si="25"/>
        <v>12.648</v>
      </c>
      <c r="L107" s="269">
        <f t="shared" si="25"/>
        <v>13.391999999999999</v>
      </c>
      <c r="M107" s="269">
        <f t="shared" si="25"/>
        <v>14.135999999999999</v>
      </c>
      <c r="N107" s="269">
        <f t="shared" si="25"/>
        <v>14.284799999999999</v>
      </c>
      <c r="O107" s="269">
        <f t="shared" si="25"/>
        <v>14.433599999999998</v>
      </c>
      <c r="P107" s="269">
        <f t="shared" si="25"/>
        <v>14.582399999999998</v>
      </c>
      <c r="Q107" s="269">
        <f t="shared" si="25"/>
        <v>15.326399999999998</v>
      </c>
      <c r="R107" s="269">
        <f t="shared" si="25"/>
        <v>16.070399999999999</v>
      </c>
      <c r="S107" s="269">
        <f t="shared" si="25"/>
        <v>16.070399999999999</v>
      </c>
      <c r="T107" s="269">
        <f t="shared" si="25"/>
        <v>16.070399999999999</v>
      </c>
      <c r="U107" s="269">
        <f t="shared" si="25"/>
        <v>16.070399999999999</v>
      </c>
      <c r="V107" s="269">
        <f t="shared" si="25"/>
        <v>16.070399999999999</v>
      </c>
      <c r="W107" s="269">
        <f t="shared" si="25"/>
        <v>16.070399999999999</v>
      </c>
      <c r="X107" s="269">
        <f t="shared" si="25"/>
        <v>16.070399999999999</v>
      </c>
      <c r="Y107" s="269">
        <f t="shared" si="25"/>
        <v>16.070399999999999</v>
      </c>
      <c r="Z107" s="269">
        <f t="shared" si="25"/>
        <v>16.070399999999999</v>
      </c>
      <c r="AA107" s="269">
        <f t="shared" si="25"/>
        <v>16.070399999999999</v>
      </c>
      <c r="AB107" s="269">
        <f t="shared" si="25"/>
        <v>16.070399999999999</v>
      </c>
      <c r="AC107" s="269">
        <f t="shared" si="25"/>
        <v>16.070399999999999</v>
      </c>
      <c r="AD107" s="269">
        <f t="shared" si="25"/>
        <v>16.070399999999999</v>
      </c>
      <c r="AE107" s="269">
        <f t="shared" si="25"/>
        <v>16.070399999999999</v>
      </c>
      <c r="AF107" s="269">
        <f t="shared" si="25"/>
        <v>16.219200000000001</v>
      </c>
      <c r="AG107" s="269">
        <f t="shared" si="25"/>
        <v>16.368000000000002</v>
      </c>
      <c r="AH107" s="269">
        <f t="shared" si="25"/>
        <v>16.368000000000002</v>
      </c>
      <c r="AI107" s="269">
        <f t="shared" si="25"/>
        <v>16.368000000000002</v>
      </c>
      <c r="AJ107" s="269">
        <f t="shared" si="25"/>
        <v>16.368000000000002</v>
      </c>
      <c r="AK107" s="269">
        <f t="shared" si="25"/>
        <v>16.368000000000002</v>
      </c>
      <c r="AL107" s="269">
        <f t="shared" si="25"/>
        <v>16.368000000000002</v>
      </c>
      <c r="AM107" s="269">
        <f t="shared" si="25"/>
        <v>16.368000000000002</v>
      </c>
      <c r="AN107" s="269">
        <f t="shared" si="25"/>
        <v>16.368000000000002</v>
      </c>
      <c r="AO107" s="269">
        <f t="shared" si="25"/>
        <v>16.368000000000002</v>
      </c>
      <c r="AP107" s="269">
        <f t="shared" si="25"/>
        <v>16.368000000000002</v>
      </c>
      <c r="AQ107" s="249"/>
      <c r="AR107" s="249"/>
      <c r="AS107" s="249"/>
      <c r="AT107" s="257"/>
      <c r="AU107" s="257"/>
      <c r="AV107" s="257"/>
      <c r="AW107" s="257"/>
      <c r="AX107" s="257"/>
      <c r="AY107" s="257"/>
      <c r="AZ107" s="257"/>
      <c r="BA107" s="257"/>
      <c r="BB107" s="257"/>
      <c r="BC107" s="257"/>
      <c r="BD107" s="257"/>
      <c r="BE107" s="257"/>
      <c r="BF107" s="257"/>
      <c r="BG107" s="257"/>
    </row>
    <row r="108" spans="1:71" s="250" customFormat="1" ht="12.75" hidden="1" x14ac:dyDescent="0.2">
      <c r="A108" s="270" t="s">
        <v>612</v>
      </c>
      <c r="B108" s="272">
        <v>0.93</v>
      </c>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c r="AH108" s="269"/>
      <c r="AI108" s="269"/>
      <c r="AJ108" s="269"/>
      <c r="AK108" s="269"/>
      <c r="AL108" s="269"/>
      <c r="AM108" s="269"/>
      <c r="AN108" s="269"/>
      <c r="AO108" s="269"/>
      <c r="AP108" s="269"/>
      <c r="AQ108" s="249"/>
      <c r="AR108" s="249"/>
      <c r="AS108" s="249"/>
      <c r="AT108" s="257"/>
      <c r="AU108" s="257"/>
      <c r="AV108" s="257"/>
      <c r="AW108" s="257"/>
      <c r="AX108" s="257"/>
      <c r="AY108" s="257"/>
      <c r="AZ108" s="257"/>
      <c r="BA108" s="257"/>
      <c r="BB108" s="257"/>
      <c r="BC108" s="257"/>
      <c r="BD108" s="257"/>
      <c r="BE108" s="257"/>
      <c r="BF108" s="257"/>
      <c r="BG108" s="257"/>
    </row>
    <row r="109" spans="1:71" s="250" customFormat="1" ht="12.75" hidden="1" x14ac:dyDescent="0.2">
      <c r="A109" s="270" t="s">
        <v>613</v>
      </c>
      <c r="B109" s="272">
        <v>4380</v>
      </c>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c r="AH109" s="269"/>
      <c r="AI109" s="269"/>
      <c r="AJ109" s="269"/>
      <c r="AK109" s="269"/>
      <c r="AL109" s="269"/>
      <c r="AM109" s="269"/>
      <c r="AN109" s="269"/>
      <c r="AO109" s="269"/>
      <c r="AP109" s="269"/>
      <c r="AQ109" s="249"/>
      <c r="AR109" s="249"/>
      <c r="AS109" s="249"/>
      <c r="AT109" s="257"/>
      <c r="AU109" s="257"/>
      <c r="AV109" s="257"/>
      <c r="AW109" s="257"/>
      <c r="AX109" s="257"/>
      <c r="AY109" s="257"/>
      <c r="AZ109" s="257"/>
      <c r="BA109" s="257"/>
      <c r="BB109" s="257"/>
      <c r="BC109" s="257"/>
      <c r="BD109" s="257"/>
      <c r="BE109" s="257"/>
      <c r="BF109" s="257"/>
      <c r="BG109" s="257"/>
    </row>
    <row r="110" spans="1:71" s="250" customFormat="1" ht="12.75" hidden="1" x14ac:dyDescent="0.2">
      <c r="A110" s="270" t="s">
        <v>614</v>
      </c>
      <c r="B110" s="268">
        <f>$B$129</f>
        <v>0.74426999999999999</v>
      </c>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49"/>
      <c r="AR110" s="249"/>
      <c r="AS110" s="249"/>
      <c r="AT110" s="257"/>
      <c r="AU110" s="257"/>
      <c r="AV110" s="257"/>
      <c r="AW110" s="257"/>
      <c r="AX110" s="257"/>
      <c r="AY110" s="257"/>
      <c r="AZ110" s="257"/>
      <c r="BA110" s="257"/>
      <c r="BB110" s="257"/>
      <c r="BC110" s="257"/>
      <c r="BD110" s="257"/>
      <c r="BE110" s="257"/>
      <c r="BF110" s="257"/>
      <c r="BG110" s="257"/>
    </row>
    <row r="111" spans="1:71" s="250" customFormat="1" hidden="1" x14ac:dyDescent="0.2">
      <c r="A111" s="273" t="s">
        <v>615</v>
      </c>
      <c r="B111" s="274">
        <v>0</v>
      </c>
      <c r="C111" s="275">
        <v>0</v>
      </c>
      <c r="D111" s="275">
        <v>0</v>
      </c>
      <c r="E111" s="275">
        <v>0</v>
      </c>
      <c r="F111" s="274">
        <v>0</v>
      </c>
      <c r="G111" s="274">
        <v>0</v>
      </c>
      <c r="H111" s="274">
        <v>0</v>
      </c>
      <c r="I111" s="274">
        <v>0</v>
      </c>
      <c r="J111" s="274">
        <v>0.7</v>
      </c>
      <c r="K111" s="274">
        <v>0.15</v>
      </c>
      <c r="L111" s="274">
        <v>0.05</v>
      </c>
      <c r="M111" s="274">
        <v>0.05</v>
      </c>
      <c r="N111" s="274">
        <v>0.01</v>
      </c>
      <c r="O111" s="274">
        <v>0.01</v>
      </c>
      <c r="P111" s="274">
        <v>0.01</v>
      </c>
      <c r="Q111" s="274">
        <v>0.05</v>
      </c>
      <c r="R111" s="274">
        <v>0.05</v>
      </c>
      <c r="S111" s="274">
        <v>0</v>
      </c>
      <c r="T111" s="274">
        <v>0</v>
      </c>
      <c r="U111" s="274">
        <v>0</v>
      </c>
      <c r="V111" s="274">
        <v>0</v>
      </c>
      <c r="W111" s="274">
        <v>0</v>
      </c>
      <c r="X111" s="274">
        <v>0</v>
      </c>
      <c r="Y111" s="274">
        <v>0</v>
      </c>
      <c r="Z111" s="274">
        <v>0</v>
      </c>
      <c r="AA111" s="274">
        <v>0</v>
      </c>
      <c r="AB111" s="274">
        <v>0</v>
      </c>
      <c r="AC111" s="274">
        <v>0</v>
      </c>
      <c r="AD111" s="274">
        <v>0</v>
      </c>
      <c r="AE111" s="274">
        <v>0</v>
      </c>
      <c r="AF111" s="274">
        <v>0.01</v>
      </c>
      <c r="AG111" s="274">
        <v>0.01</v>
      </c>
      <c r="AH111" s="274">
        <v>0</v>
      </c>
      <c r="AI111" s="274">
        <v>0</v>
      </c>
      <c r="AJ111" s="274">
        <v>0</v>
      </c>
      <c r="AK111" s="274">
        <v>0</v>
      </c>
      <c r="AL111" s="274">
        <v>0</v>
      </c>
      <c r="AM111" s="274">
        <v>0</v>
      </c>
      <c r="AN111" s="274">
        <v>0</v>
      </c>
      <c r="AO111" s="274">
        <v>0</v>
      </c>
      <c r="AP111" s="274">
        <v>0</v>
      </c>
      <c r="AQ111" s="249"/>
      <c r="AR111" s="249"/>
      <c r="AS111" s="249"/>
      <c r="AT111" s="257"/>
      <c r="AU111" s="257"/>
      <c r="AV111" s="257"/>
      <c r="AW111" s="257"/>
      <c r="AX111" s="257"/>
      <c r="AY111" s="257"/>
      <c r="AZ111" s="257"/>
      <c r="BA111" s="257"/>
      <c r="BB111" s="257"/>
      <c r="BC111" s="257"/>
      <c r="BD111" s="257"/>
      <c r="BE111" s="257"/>
      <c r="BF111" s="257"/>
      <c r="BG111" s="257"/>
    </row>
    <row r="112" spans="1:71" s="250" customFormat="1" ht="12.75" hidden="1" x14ac:dyDescent="0.2">
      <c r="A112" s="266"/>
      <c r="B112" s="262"/>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Q112" s="249"/>
      <c r="AR112" s="249"/>
      <c r="AS112" s="249"/>
      <c r="AT112" s="262"/>
      <c r="AU112" s="262"/>
      <c r="AV112" s="262"/>
      <c r="AW112" s="262"/>
      <c r="AX112" s="262"/>
      <c r="AY112" s="262"/>
      <c r="AZ112" s="262"/>
      <c r="BA112" s="262"/>
      <c r="BB112" s="262"/>
      <c r="BC112" s="262"/>
      <c r="BD112" s="262"/>
      <c r="BE112" s="262"/>
      <c r="BF112" s="262"/>
      <c r="BG112" s="262"/>
      <c r="BH112" s="262"/>
      <c r="BI112" s="262"/>
      <c r="BJ112" s="262"/>
      <c r="BK112" s="262"/>
      <c r="BL112" s="262"/>
      <c r="BM112" s="262"/>
      <c r="BN112" s="262"/>
      <c r="BO112" s="262"/>
      <c r="BP112" s="262"/>
      <c r="BQ112" s="262"/>
      <c r="BR112" s="262"/>
      <c r="BS112" s="262"/>
    </row>
    <row r="113" spans="1:71" s="250" customFormat="1" ht="12.75" hidden="1" x14ac:dyDescent="0.2">
      <c r="A113" s="266"/>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262"/>
      <c r="AC113" s="262"/>
      <c r="AD113" s="262"/>
      <c r="AE113" s="262"/>
      <c r="AF113" s="262"/>
      <c r="AG113" s="262"/>
      <c r="AH113" s="262"/>
      <c r="AI113" s="262"/>
      <c r="AJ113" s="262"/>
      <c r="AK113" s="262"/>
      <c r="AL113" s="262"/>
      <c r="AM113" s="262"/>
      <c r="AN113" s="262"/>
      <c r="AO113" s="262"/>
      <c r="AP113" s="262"/>
      <c r="AQ113" s="249"/>
      <c r="AR113" s="249"/>
      <c r="AS113" s="249"/>
      <c r="AT113" s="262"/>
      <c r="AU113" s="262"/>
      <c r="AV113" s="262"/>
      <c r="AW113" s="262"/>
      <c r="AX113" s="262"/>
      <c r="AY113" s="262"/>
      <c r="AZ113" s="262"/>
      <c r="BA113" s="262"/>
      <c r="BB113" s="262"/>
      <c r="BC113" s="262"/>
      <c r="BD113" s="262"/>
      <c r="BE113" s="262"/>
      <c r="BF113" s="262"/>
      <c r="BG113" s="262"/>
      <c r="BH113" s="262"/>
      <c r="BI113" s="262"/>
      <c r="BJ113" s="262"/>
      <c r="BK113" s="262"/>
      <c r="BL113" s="262"/>
      <c r="BM113" s="262"/>
      <c r="BN113" s="262"/>
      <c r="BO113" s="262"/>
      <c r="BP113" s="262"/>
      <c r="BQ113" s="262"/>
      <c r="BR113" s="262"/>
      <c r="BS113" s="262"/>
    </row>
    <row r="114" spans="1:71" s="250" customFormat="1" ht="12.75" hidden="1" x14ac:dyDescent="0.2">
      <c r="A114" s="267"/>
      <c r="B114" s="489" t="s">
        <v>616</v>
      </c>
      <c r="C114" s="490"/>
      <c r="D114" s="489" t="s">
        <v>617</v>
      </c>
      <c r="E114" s="490"/>
      <c r="F114" s="267"/>
      <c r="G114" s="267"/>
      <c r="H114" s="267"/>
      <c r="I114" s="267"/>
      <c r="J114" s="267"/>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49"/>
      <c r="AR114" s="249"/>
      <c r="AS114" s="249"/>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s="250" customFormat="1" ht="12.75" hidden="1" x14ac:dyDescent="0.2">
      <c r="A115" s="270" t="s">
        <v>618</v>
      </c>
      <c r="B115" s="276"/>
      <c r="C115" s="267" t="s">
        <v>619</v>
      </c>
      <c r="D115" s="276">
        <v>16</v>
      </c>
      <c r="E115" s="267" t="s">
        <v>619</v>
      </c>
      <c r="F115" s="267"/>
      <c r="G115" s="267"/>
      <c r="H115" s="267"/>
      <c r="I115" s="267"/>
      <c r="J115" s="267"/>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49"/>
      <c r="AR115" s="249"/>
      <c r="AS115" s="249"/>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s="250" customFormat="1" ht="38.25" hidden="1" x14ac:dyDescent="0.2">
      <c r="A116" s="270" t="s">
        <v>618</v>
      </c>
      <c r="B116" s="267">
        <f>$B$110*B115</f>
        <v>0</v>
      </c>
      <c r="C116" s="267" t="s">
        <v>126</v>
      </c>
      <c r="D116" s="267">
        <f>D115*B108</f>
        <v>14.88</v>
      </c>
      <c r="E116" s="267" t="s">
        <v>126</v>
      </c>
      <c r="F116" s="270" t="s">
        <v>620</v>
      </c>
      <c r="G116" s="267">
        <f>D115-B115</f>
        <v>16</v>
      </c>
      <c r="H116" s="267" t="s">
        <v>619</v>
      </c>
      <c r="I116" s="267">
        <f>$B$108*G116</f>
        <v>14.88</v>
      </c>
      <c r="J116" s="267" t="s">
        <v>126</v>
      </c>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49"/>
      <c r="AR116" s="249"/>
      <c r="AS116" s="249"/>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s="250" customFormat="1" ht="25.5" hidden="1" x14ac:dyDescent="0.2">
      <c r="A117" s="267"/>
      <c r="B117" s="267"/>
      <c r="C117" s="267"/>
      <c r="D117" s="267"/>
      <c r="E117" s="267"/>
      <c r="F117" s="270" t="s">
        <v>621</v>
      </c>
      <c r="G117" s="277">
        <v>9.4623655913978499</v>
      </c>
      <c r="H117" s="267" t="s">
        <v>619</v>
      </c>
      <c r="I117" s="276">
        <f>'2. паспорт  ТП'!H22</f>
        <v>8.8000000000000007</v>
      </c>
      <c r="J117" s="267" t="s">
        <v>126</v>
      </c>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49"/>
      <c r="AR117" s="249"/>
      <c r="AS117" s="249"/>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s="250" customFormat="1" ht="51" hidden="1" x14ac:dyDescent="0.2">
      <c r="A118" s="278"/>
      <c r="B118" s="279"/>
      <c r="C118" s="279"/>
      <c r="D118" s="279"/>
      <c r="E118" s="279"/>
      <c r="F118" s="280" t="s">
        <v>622</v>
      </c>
      <c r="G118" s="267">
        <f>G116</f>
        <v>16</v>
      </c>
      <c r="H118" s="267" t="s">
        <v>619</v>
      </c>
      <c r="I118" s="272">
        <f>I116</f>
        <v>14.88</v>
      </c>
      <c r="J118" s="267" t="s">
        <v>126</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49"/>
      <c r="AR118" s="249"/>
      <c r="AS118" s="249"/>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s="250" customFormat="1" ht="13.5" hidden="1" thickBot="1" x14ac:dyDescent="0.25">
      <c r="A119" s="281"/>
      <c r="C119" s="262"/>
      <c r="D119" s="262"/>
      <c r="E119" s="262"/>
      <c r="F119" s="262"/>
      <c r="G119" s="262"/>
      <c r="H119" s="262"/>
      <c r="I119" s="262"/>
      <c r="J119" s="262"/>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49"/>
      <c r="AR119" s="249"/>
      <c r="AS119" s="249"/>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s="250" customFormat="1" ht="15.75" hidden="1" x14ac:dyDescent="0.2">
      <c r="A120" s="282" t="s">
        <v>623</v>
      </c>
      <c r="B120" s="283">
        <f>B124/1000000</f>
        <v>0</v>
      </c>
      <c r="D120" s="480" t="s">
        <v>284</v>
      </c>
      <c r="E120" s="284" t="s">
        <v>624</v>
      </c>
      <c r="F120" s="285">
        <v>35</v>
      </c>
      <c r="G120" s="481"/>
    </row>
    <row r="121" spans="1:71" s="250" customFormat="1" ht="15.75" hidden="1" x14ac:dyDescent="0.2">
      <c r="A121" s="282" t="s">
        <v>284</v>
      </c>
      <c r="B121" s="286">
        <v>30</v>
      </c>
      <c r="D121" s="480"/>
      <c r="E121" s="284" t="s">
        <v>625</v>
      </c>
      <c r="F121" s="285">
        <v>30</v>
      </c>
      <c r="G121" s="481"/>
    </row>
    <row r="122" spans="1:71" s="250" customFormat="1" ht="15.75" hidden="1" x14ac:dyDescent="0.2">
      <c r="A122" s="282" t="s">
        <v>626</v>
      </c>
      <c r="B122" s="286" t="s">
        <v>627</v>
      </c>
      <c r="C122" s="287" t="s">
        <v>628</v>
      </c>
      <c r="D122" s="480"/>
      <c r="E122" s="284" t="s">
        <v>629</v>
      </c>
      <c r="F122" s="285">
        <v>30</v>
      </c>
      <c r="G122" s="481"/>
    </row>
    <row r="123" spans="1:71" s="250" customFormat="1" ht="15.75" hidden="1" x14ac:dyDescent="0.2">
      <c r="A123" s="288"/>
      <c r="B123" s="289"/>
      <c r="C123" s="287"/>
      <c r="D123" s="480"/>
      <c r="E123" s="284" t="s">
        <v>630</v>
      </c>
      <c r="F123" s="285">
        <v>30</v>
      </c>
      <c r="G123" s="481"/>
    </row>
    <row r="124" spans="1:71" s="250" customFormat="1" ht="12.75" hidden="1" x14ac:dyDescent="0.2">
      <c r="A124" s="282" t="s">
        <v>631</v>
      </c>
      <c r="B124" s="290">
        <f>B126*1000000</f>
        <v>0</v>
      </c>
      <c r="C124" s="290"/>
      <c r="D124" s="290"/>
    </row>
    <row r="125" spans="1:71" s="250" customFormat="1" ht="12.75" hidden="1" x14ac:dyDescent="0.2">
      <c r="A125" s="282" t="s">
        <v>632</v>
      </c>
      <c r="B125" s="291">
        <v>1E-3</v>
      </c>
      <c r="C125" s="250">
        <v>2018</v>
      </c>
      <c r="D125" s="250">
        <v>2019</v>
      </c>
      <c r="E125" s="250">
        <v>2020</v>
      </c>
      <c r="F125" s="250">
        <v>2021</v>
      </c>
      <c r="G125" s="250">
        <v>2022</v>
      </c>
      <c r="H125" s="250">
        <v>2023</v>
      </c>
      <c r="I125" s="250">
        <v>2024</v>
      </c>
    </row>
    <row r="126" spans="1:71" s="250" customFormat="1" ht="12.75" hidden="1" x14ac:dyDescent="0.2">
      <c r="A126" s="281"/>
      <c r="B126" s="292">
        <f>SUM(C126:F126)</f>
        <v>0</v>
      </c>
      <c r="C126" s="292">
        <v>0</v>
      </c>
      <c r="D126" s="292">
        <v>0</v>
      </c>
      <c r="E126" s="292" t="s">
        <v>374</v>
      </c>
      <c r="F126" s="292" t="s">
        <v>374</v>
      </c>
    </row>
    <row r="127" spans="1:71" s="250" customFormat="1" ht="25.5" hidden="1" x14ac:dyDescent="0.2">
      <c r="A127" s="282" t="s">
        <v>633</v>
      </c>
      <c r="B127" s="293">
        <v>9.8699999999999996E-2</v>
      </c>
    </row>
    <row r="128" spans="1:71" s="250" customFormat="1" ht="15.75" hidden="1" x14ac:dyDescent="0.2">
      <c r="A128" s="294"/>
      <c r="B128" s="295"/>
    </row>
    <row r="129" spans="1:51" s="250" customFormat="1" ht="25.5" hidden="1" x14ac:dyDescent="0.2">
      <c r="A129" s="296" t="s">
        <v>634</v>
      </c>
      <c r="B129" s="297">
        <v>0.74426999999999999</v>
      </c>
    </row>
    <row r="130" spans="1:51" s="250" customFormat="1" ht="12.75" hidden="1" x14ac:dyDescent="0.2"/>
    <row r="131" spans="1:51" s="250" customFormat="1" ht="12.75" hidden="1" x14ac:dyDescent="0.2">
      <c r="A131" s="281"/>
      <c r="C131" s="250" t="s">
        <v>635</v>
      </c>
    </row>
    <row r="132" spans="1:51" s="250" customFormat="1" ht="15.75" hidden="1" x14ac:dyDescent="0.2">
      <c r="A132" s="282" t="s">
        <v>636</v>
      </c>
      <c r="B132" s="248"/>
      <c r="C132" s="298"/>
    </row>
    <row r="133" spans="1:51" s="250" customFormat="1" ht="12.75" hidden="1" x14ac:dyDescent="0.2">
      <c r="A133" s="282"/>
      <c r="B133" s="299">
        <v>2016</v>
      </c>
      <c r="C133" s="299">
        <f>B133+1</f>
        <v>2017</v>
      </c>
      <c r="D133" s="299">
        <f t="shared" ref="D133:AY133" si="26">C133+1</f>
        <v>2018</v>
      </c>
      <c r="E133" s="299">
        <f t="shared" si="26"/>
        <v>2019</v>
      </c>
      <c r="F133" s="299">
        <f t="shared" si="26"/>
        <v>2020</v>
      </c>
      <c r="G133" s="299">
        <f t="shared" si="26"/>
        <v>2021</v>
      </c>
      <c r="H133" s="299">
        <f t="shared" si="26"/>
        <v>2022</v>
      </c>
      <c r="I133" s="299">
        <f t="shared" si="26"/>
        <v>2023</v>
      </c>
      <c r="J133" s="299">
        <f t="shared" si="26"/>
        <v>2024</v>
      </c>
      <c r="K133" s="299">
        <f t="shared" si="26"/>
        <v>2025</v>
      </c>
      <c r="L133" s="299">
        <f t="shared" si="26"/>
        <v>2026</v>
      </c>
      <c r="M133" s="299">
        <f t="shared" si="26"/>
        <v>2027</v>
      </c>
      <c r="N133" s="299">
        <f t="shared" si="26"/>
        <v>2028</v>
      </c>
      <c r="O133" s="299">
        <f t="shared" si="26"/>
        <v>2029</v>
      </c>
      <c r="P133" s="299">
        <f t="shared" si="26"/>
        <v>2030</v>
      </c>
      <c r="Q133" s="299">
        <f t="shared" si="26"/>
        <v>2031</v>
      </c>
      <c r="R133" s="299">
        <f t="shared" si="26"/>
        <v>2032</v>
      </c>
      <c r="S133" s="299">
        <f t="shared" si="26"/>
        <v>2033</v>
      </c>
      <c r="T133" s="299">
        <f t="shared" si="26"/>
        <v>2034</v>
      </c>
      <c r="U133" s="299">
        <f t="shared" si="26"/>
        <v>2035</v>
      </c>
      <c r="V133" s="299">
        <f t="shared" si="26"/>
        <v>2036</v>
      </c>
      <c r="W133" s="299">
        <f t="shared" si="26"/>
        <v>2037</v>
      </c>
      <c r="X133" s="299">
        <f t="shared" si="26"/>
        <v>2038</v>
      </c>
      <c r="Y133" s="299">
        <f t="shared" si="26"/>
        <v>2039</v>
      </c>
      <c r="Z133" s="299">
        <f t="shared" si="26"/>
        <v>2040</v>
      </c>
      <c r="AA133" s="299">
        <f t="shared" si="26"/>
        <v>2041</v>
      </c>
      <c r="AB133" s="299">
        <f t="shared" si="26"/>
        <v>2042</v>
      </c>
      <c r="AC133" s="299">
        <f t="shared" si="26"/>
        <v>2043</v>
      </c>
      <c r="AD133" s="299">
        <f t="shared" si="26"/>
        <v>2044</v>
      </c>
      <c r="AE133" s="299">
        <f t="shared" si="26"/>
        <v>2045</v>
      </c>
      <c r="AF133" s="299">
        <f t="shared" si="26"/>
        <v>2046</v>
      </c>
      <c r="AG133" s="299">
        <f t="shared" si="26"/>
        <v>2047</v>
      </c>
      <c r="AH133" s="299">
        <f t="shared" si="26"/>
        <v>2048</v>
      </c>
      <c r="AI133" s="299">
        <f t="shared" si="26"/>
        <v>2049</v>
      </c>
      <c r="AJ133" s="299">
        <f t="shared" si="26"/>
        <v>2050</v>
      </c>
      <c r="AK133" s="299">
        <f t="shared" si="26"/>
        <v>2051</v>
      </c>
      <c r="AL133" s="299">
        <f t="shared" si="26"/>
        <v>2052</v>
      </c>
      <c r="AM133" s="299">
        <f t="shared" si="26"/>
        <v>2053</v>
      </c>
      <c r="AN133" s="299">
        <f t="shared" si="26"/>
        <v>2054</v>
      </c>
      <c r="AO133" s="299">
        <f t="shared" si="26"/>
        <v>2055</v>
      </c>
      <c r="AP133" s="299">
        <f t="shared" si="26"/>
        <v>2056</v>
      </c>
      <c r="AQ133" s="299">
        <f t="shared" si="26"/>
        <v>2057</v>
      </c>
      <c r="AR133" s="299">
        <f t="shared" si="26"/>
        <v>2058</v>
      </c>
      <c r="AS133" s="299">
        <f t="shared" si="26"/>
        <v>2059</v>
      </c>
      <c r="AT133" s="299">
        <f t="shared" si="26"/>
        <v>2060</v>
      </c>
      <c r="AU133" s="299">
        <f t="shared" si="26"/>
        <v>2061</v>
      </c>
      <c r="AV133" s="299">
        <f t="shared" si="26"/>
        <v>2062</v>
      </c>
      <c r="AW133" s="299">
        <f t="shared" si="26"/>
        <v>2063</v>
      </c>
      <c r="AX133" s="299">
        <f t="shared" si="26"/>
        <v>2064</v>
      </c>
      <c r="AY133" s="299">
        <f t="shared" si="26"/>
        <v>2065</v>
      </c>
    </row>
    <row r="134" spans="1:51" s="250" customFormat="1" ht="12.75" hidden="1" x14ac:dyDescent="0.2">
      <c r="A134" s="282" t="s">
        <v>637</v>
      </c>
      <c r="B134" s="300"/>
      <c r="C134" s="301"/>
      <c r="D134" s="301"/>
      <c r="E134" s="301"/>
      <c r="F134" s="301">
        <v>6.2E-2</v>
      </c>
      <c r="G134" s="301">
        <v>5.0999999999999997E-2</v>
      </c>
      <c r="H134" s="301">
        <v>4.8000000000000001E-2</v>
      </c>
      <c r="I134" s="301">
        <v>4.7E-2</v>
      </c>
      <c r="J134" s="301">
        <v>4.7E-2</v>
      </c>
      <c r="K134" s="301">
        <v>4.7E-2</v>
      </c>
      <c r="L134" s="301">
        <v>4.7E-2</v>
      </c>
      <c r="M134" s="301">
        <v>4.7E-2</v>
      </c>
      <c r="N134" s="301">
        <v>4.7E-2</v>
      </c>
      <c r="O134" s="301">
        <v>4.7E-2</v>
      </c>
      <c r="P134" s="301">
        <v>4.7E-2</v>
      </c>
      <c r="Q134" s="301">
        <v>4.7E-2</v>
      </c>
      <c r="R134" s="301">
        <v>4.7E-2</v>
      </c>
      <c r="S134" s="301">
        <v>4.7E-2</v>
      </c>
      <c r="T134" s="301">
        <v>4.7E-2</v>
      </c>
      <c r="U134" s="301">
        <v>4.7E-2</v>
      </c>
      <c r="V134" s="301">
        <v>4.7E-2</v>
      </c>
      <c r="W134" s="301">
        <v>4.7E-2</v>
      </c>
      <c r="X134" s="301">
        <v>4.7E-2</v>
      </c>
      <c r="Y134" s="301">
        <v>4.7E-2</v>
      </c>
      <c r="Z134" s="301">
        <v>4.7E-2</v>
      </c>
      <c r="AA134" s="301">
        <v>4.7E-2</v>
      </c>
      <c r="AB134" s="301">
        <v>4.7E-2</v>
      </c>
      <c r="AC134" s="301">
        <v>4.7E-2</v>
      </c>
      <c r="AD134" s="301">
        <v>4.7E-2</v>
      </c>
      <c r="AE134" s="301">
        <v>4.7E-2</v>
      </c>
      <c r="AF134" s="301">
        <v>4.7E-2</v>
      </c>
      <c r="AG134" s="301">
        <v>4.7E-2</v>
      </c>
      <c r="AH134" s="301">
        <v>4.7E-2</v>
      </c>
      <c r="AI134" s="301">
        <v>4.7E-2</v>
      </c>
      <c r="AJ134" s="301">
        <v>4.2000000000000003E-2</v>
      </c>
      <c r="AK134" s="301">
        <v>4.2000000000000003E-2</v>
      </c>
      <c r="AL134" s="301">
        <v>4.2000000000000003E-2</v>
      </c>
      <c r="AM134" s="301">
        <v>4.2000000000000003E-2</v>
      </c>
      <c r="AN134" s="301">
        <v>4.2000000000000003E-2</v>
      </c>
      <c r="AO134" s="301">
        <v>4.2000000000000003E-2</v>
      </c>
      <c r="AP134" s="301">
        <v>4.2000000000000003E-2</v>
      </c>
      <c r="AQ134" s="301">
        <v>4.2000000000000003E-2</v>
      </c>
      <c r="AR134" s="301">
        <v>4.2000000000000003E-2</v>
      </c>
      <c r="AS134" s="301">
        <v>4.2000000000000003E-2</v>
      </c>
      <c r="AT134" s="301">
        <v>4.2000000000000003E-2</v>
      </c>
      <c r="AU134" s="301">
        <f t="shared" ref="AU134:AY134" si="27">AT134</f>
        <v>4.2000000000000003E-2</v>
      </c>
      <c r="AV134" s="301">
        <f t="shared" si="27"/>
        <v>4.2000000000000003E-2</v>
      </c>
      <c r="AW134" s="301">
        <f t="shared" si="27"/>
        <v>4.2000000000000003E-2</v>
      </c>
      <c r="AX134" s="301">
        <f t="shared" si="27"/>
        <v>4.2000000000000003E-2</v>
      </c>
      <c r="AY134" s="301">
        <f t="shared" si="27"/>
        <v>4.2000000000000003E-2</v>
      </c>
    </row>
    <row r="135" spans="1:51" s="250" customFormat="1" hidden="1" x14ac:dyDescent="0.2">
      <c r="A135" s="282" t="s">
        <v>638</v>
      </c>
      <c r="B135" s="302"/>
      <c r="C135" s="303">
        <f>(1+B135)*(1+C134)-1</f>
        <v>0</v>
      </c>
      <c r="D135" s="303">
        <f>(1+C135)*(1+D134)-1</f>
        <v>0</v>
      </c>
      <c r="E135" s="303">
        <f>(1+D135)*(1+E134)-1</f>
        <v>0</v>
      </c>
      <c r="F135" s="303">
        <f t="shared" ref="F135:AY135" si="28">(1+E135)*(1+F134)-1</f>
        <v>6.2000000000000055E-2</v>
      </c>
      <c r="G135" s="303">
        <f>(1+F135)*(1+G134)-1</f>
        <v>0.1161620000000001</v>
      </c>
      <c r="H135" s="303">
        <f t="shared" si="28"/>
        <v>0.16973777600000006</v>
      </c>
      <c r="I135" s="303">
        <f t="shared" si="28"/>
        <v>0.22471545147200001</v>
      </c>
      <c r="J135" s="303">
        <f t="shared" si="28"/>
        <v>0.28227707769118382</v>
      </c>
      <c r="K135" s="303">
        <f t="shared" si="28"/>
        <v>0.34254410034266947</v>
      </c>
      <c r="L135" s="303">
        <f t="shared" si="28"/>
        <v>0.40564367305877491</v>
      </c>
      <c r="M135" s="303">
        <f t="shared" si="28"/>
        <v>0.47170892569253731</v>
      </c>
      <c r="N135" s="303">
        <f t="shared" si="28"/>
        <v>0.54087924520008657</v>
      </c>
      <c r="O135" s="303">
        <f t="shared" si="28"/>
        <v>0.61330056972449043</v>
      </c>
      <c r="P135" s="303">
        <f t="shared" si="28"/>
        <v>0.68912569650154132</v>
      </c>
      <c r="Q135" s="303">
        <f t="shared" si="28"/>
        <v>0.7685146042371136</v>
      </c>
      <c r="R135" s="303">
        <f t="shared" si="28"/>
        <v>0.8516347906362578</v>
      </c>
      <c r="S135" s="303">
        <f t="shared" si="28"/>
        <v>0.93866162579616175</v>
      </c>
      <c r="T135" s="303">
        <f t="shared" si="28"/>
        <v>1.0297787222085812</v>
      </c>
      <c r="U135" s="303">
        <f t="shared" si="28"/>
        <v>1.1251783221523843</v>
      </c>
      <c r="V135" s="303">
        <f t="shared" si="28"/>
        <v>1.2250617032935462</v>
      </c>
      <c r="W135" s="303">
        <f t="shared" si="28"/>
        <v>1.3296396033483426</v>
      </c>
      <c r="X135" s="303">
        <f t="shared" si="28"/>
        <v>1.4391326647057148</v>
      </c>
      <c r="Y135" s="303">
        <f t="shared" si="28"/>
        <v>1.553771899946883</v>
      </c>
      <c r="Z135" s="303">
        <f t="shared" si="28"/>
        <v>1.6737991792443863</v>
      </c>
      <c r="AA135" s="303">
        <f t="shared" si="28"/>
        <v>1.7994677406688724</v>
      </c>
      <c r="AB135" s="303">
        <f t="shared" si="28"/>
        <v>1.9310427244803092</v>
      </c>
      <c r="AC135" s="303">
        <f t="shared" si="28"/>
        <v>2.0688017325308836</v>
      </c>
      <c r="AD135" s="303">
        <f t="shared" si="28"/>
        <v>2.2130354139598349</v>
      </c>
      <c r="AE135" s="303">
        <f t="shared" si="28"/>
        <v>2.364048078415947</v>
      </c>
      <c r="AF135" s="303">
        <f t="shared" si="28"/>
        <v>2.5221583381014963</v>
      </c>
      <c r="AG135" s="303">
        <f t="shared" si="28"/>
        <v>2.6876997799922662</v>
      </c>
      <c r="AH135" s="303">
        <f t="shared" si="28"/>
        <v>2.8610216696519024</v>
      </c>
      <c r="AI135" s="303">
        <f t="shared" si="28"/>
        <v>3.0424896881255412</v>
      </c>
      <c r="AJ135" s="303">
        <f t="shared" si="28"/>
        <v>3.2122742550268137</v>
      </c>
      <c r="AK135" s="303">
        <f t="shared" si="28"/>
        <v>3.3891897737379404</v>
      </c>
      <c r="AL135" s="303">
        <f t="shared" si="28"/>
        <v>3.5735357442349338</v>
      </c>
      <c r="AM135" s="303">
        <f t="shared" si="28"/>
        <v>3.7656242454928011</v>
      </c>
      <c r="AN135" s="303">
        <f t="shared" si="28"/>
        <v>3.9657804638034992</v>
      </c>
      <c r="AO135" s="303">
        <f t="shared" si="28"/>
        <v>4.1743432432832464</v>
      </c>
      <c r="AP135" s="303">
        <f t="shared" si="28"/>
        <v>4.3916656595011432</v>
      </c>
      <c r="AQ135" s="303">
        <f t="shared" si="28"/>
        <v>4.6181156172001918</v>
      </c>
      <c r="AR135" s="303">
        <f t="shared" si="28"/>
        <v>4.8540764731225998</v>
      </c>
      <c r="AS135" s="303">
        <f t="shared" si="28"/>
        <v>5.0999476849937491</v>
      </c>
      <c r="AT135" s="303">
        <f t="shared" si="28"/>
        <v>5.3561454877634871</v>
      </c>
      <c r="AU135" s="303">
        <f t="shared" si="28"/>
        <v>5.6231035982495534</v>
      </c>
      <c r="AV135" s="303">
        <f t="shared" si="28"/>
        <v>5.9012739493760353</v>
      </c>
      <c r="AW135" s="303">
        <f>(1+AV135)*(1+AW134)-1</f>
        <v>6.1911274552498288</v>
      </c>
      <c r="AX135" s="303">
        <f t="shared" si="28"/>
        <v>6.4931548083703214</v>
      </c>
      <c r="AY135" s="303">
        <f t="shared" si="28"/>
        <v>6.8078673103218756</v>
      </c>
    </row>
    <row r="136" spans="1:51" s="250" customFormat="1" ht="15.75" hidden="1" x14ac:dyDescent="0.2">
      <c r="A136" s="251"/>
      <c r="B136" s="304"/>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c r="AA136" s="305"/>
      <c r="AB136" s="305"/>
      <c r="AC136" s="305"/>
      <c r="AD136" s="305"/>
      <c r="AE136" s="305"/>
      <c r="AF136" s="305"/>
      <c r="AG136" s="305"/>
      <c r="AH136" s="305"/>
      <c r="AI136" s="305"/>
      <c r="AJ136" s="305"/>
      <c r="AK136" s="305"/>
      <c r="AL136" s="305"/>
      <c r="AM136" s="305"/>
      <c r="AN136" s="305"/>
      <c r="AO136" s="305"/>
      <c r="AP136" s="305"/>
      <c r="AQ136" s="249"/>
    </row>
    <row r="137" spans="1:51" s="250" customFormat="1" ht="12.75" hidden="1" x14ac:dyDescent="0.2">
      <c r="A137" s="281"/>
      <c r="B137" s="300">
        <v>2016</v>
      </c>
      <c r="C137" s="300">
        <f>B137+1</f>
        <v>2017</v>
      </c>
      <c r="D137" s="300">
        <f t="shared" ref="D137:S138" si="29">C137+1</f>
        <v>2018</v>
      </c>
      <c r="E137" s="300">
        <f t="shared" si="29"/>
        <v>2019</v>
      </c>
      <c r="F137" s="300">
        <f t="shared" si="29"/>
        <v>2020</v>
      </c>
      <c r="G137" s="300">
        <f t="shared" si="29"/>
        <v>2021</v>
      </c>
      <c r="H137" s="300">
        <f t="shared" si="29"/>
        <v>2022</v>
      </c>
      <c r="I137" s="300">
        <f t="shared" si="29"/>
        <v>2023</v>
      </c>
      <c r="J137" s="300">
        <f t="shared" si="29"/>
        <v>2024</v>
      </c>
      <c r="K137" s="300">
        <f t="shared" si="29"/>
        <v>2025</v>
      </c>
      <c r="L137" s="300">
        <f t="shared" si="29"/>
        <v>2026</v>
      </c>
      <c r="M137" s="300">
        <f t="shared" si="29"/>
        <v>2027</v>
      </c>
      <c r="N137" s="300">
        <f t="shared" si="29"/>
        <v>2028</v>
      </c>
      <c r="O137" s="300">
        <f t="shared" si="29"/>
        <v>2029</v>
      </c>
      <c r="P137" s="300">
        <f t="shared" si="29"/>
        <v>2030</v>
      </c>
      <c r="Q137" s="300">
        <f t="shared" si="29"/>
        <v>2031</v>
      </c>
      <c r="R137" s="300">
        <f t="shared" si="29"/>
        <v>2032</v>
      </c>
      <c r="S137" s="300">
        <f t="shared" si="29"/>
        <v>2033</v>
      </c>
      <c r="T137" s="300">
        <f t="shared" ref="T137:AI138" si="30">S137+1</f>
        <v>2034</v>
      </c>
      <c r="U137" s="300">
        <f t="shared" si="30"/>
        <v>2035</v>
      </c>
      <c r="V137" s="300">
        <f t="shared" si="30"/>
        <v>2036</v>
      </c>
      <c r="W137" s="300">
        <f t="shared" si="30"/>
        <v>2037</v>
      </c>
      <c r="X137" s="300">
        <f t="shared" si="30"/>
        <v>2038</v>
      </c>
      <c r="Y137" s="300">
        <f t="shared" si="30"/>
        <v>2039</v>
      </c>
      <c r="Z137" s="300">
        <f t="shared" si="30"/>
        <v>2040</v>
      </c>
      <c r="AA137" s="300">
        <f t="shared" si="30"/>
        <v>2041</v>
      </c>
      <c r="AB137" s="300">
        <f t="shared" si="30"/>
        <v>2042</v>
      </c>
      <c r="AC137" s="300">
        <f t="shared" si="30"/>
        <v>2043</v>
      </c>
      <c r="AD137" s="300">
        <f t="shared" si="30"/>
        <v>2044</v>
      </c>
      <c r="AE137" s="300">
        <f t="shared" si="30"/>
        <v>2045</v>
      </c>
      <c r="AF137" s="300">
        <f t="shared" si="30"/>
        <v>2046</v>
      </c>
      <c r="AG137" s="300">
        <f t="shared" si="30"/>
        <v>2047</v>
      </c>
      <c r="AH137" s="300">
        <f t="shared" si="30"/>
        <v>2048</v>
      </c>
      <c r="AI137" s="300">
        <f t="shared" si="30"/>
        <v>2049</v>
      </c>
      <c r="AJ137" s="300">
        <f t="shared" ref="AJ137:AY138" si="31">AI137+1</f>
        <v>2050</v>
      </c>
      <c r="AK137" s="300">
        <f t="shared" si="31"/>
        <v>2051</v>
      </c>
      <c r="AL137" s="300">
        <f t="shared" si="31"/>
        <v>2052</v>
      </c>
      <c r="AM137" s="300">
        <f t="shared" si="31"/>
        <v>2053</v>
      </c>
      <c r="AN137" s="300">
        <f t="shared" si="31"/>
        <v>2054</v>
      </c>
      <c r="AO137" s="300">
        <f t="shared" si="31"/>
        <v>2055</v>
      </c>
      <c r="AP137" s="300">
        <f t="shared" si="31"/>
        <v>2056</v>
      </c>
      <c r="AQ137" s="300">
        <f t="shared" si="31"/>
        <v>2057</v>
      </c>
      <c r="AR137" s="300">
        <f t="shared" si="31"/>
        <v>2058</v>
      </c>
      <c r="AS137" s="300">
        <f t="shared" si="31"/>
        <v>2059</v>
      </c>
      <c r="AT137" s="300">
        <f t="shared" si="31"/>
        <v>2060</v>
      </c>
      <c r="AU137" s="300">
        <f t="shared" si="31"/>
        <v>2061</v>
      </c>
      <c r="AV137" s="300">
        <f t="shared" si="31"/>
        <v>2062</v>
      </c>
      <c r="AW137" s="300">
        <f t="shared" si="31"/>
        <v>2063</v>
      </c>
      <c r="AX137" s="300">
        <f t="shared" si="31"/>
        <v>2064</v>
      </c>
      <c r="AY137" s="300">
        <f t="shared" si="31"/>
        <v>2065</v>
      </c>
    </row>
    <row r="138" spans="1:51" s="250" customFormat="1" ht="15.75" hidden="1" x14ac:dyDescent="0.2">
      <c r="A138" s="281"/>
      <c r="B138" s="306">
        <v>0</v>
      </c>
      <c r="C138" s="306">
        <v>0</v>
      </c>
      <c r="D138" s="306">
        <v>0</v>
      </c>
      <c r="E138" s="306">
        <v>0</v>
      </c>
      <c r="F138" s="306">
        <v>1</v>
      </c>
      <c r="G138" s="306">
        <f t="shared" si="29"/>
        <v>2</v>
      </c>
      <c r="H138" s="306">
        <f t="shared" si="29"/>
        <v>3</v>
      </c>
      <c r="I138" s="306">
        <f t="shared" si="29"/>
        <v>4</v>
      </c>
      <c r="J138" s="306">
        <f t="shared" si="29"/>
        <v>5</v>
      </c>
      <c r="K138" s="306">
        <f t="shared" si="29"/>
        <v>6</v>
      </c>
      <c r="L138" s="306">
        <f t="shared" si="29"/>
        <v>7</v>
      </c>
      <c r="M138" s="306">
        <f t="shared" si="29"/>
        <v>8</v>
      </c>
      <c r="N138" s="306">
        <f t="shared" si="29"/>
        <v>9</v>
      </c>
      <c r="O138" s="306">
        <f t="shared" si="29"/>
        <v>10</v>
      </c>
      <c r="P138" s="306">
        <f t="shared" si="29"/>
        <v>11</v>
      </c>
      <c r="Q138" s="306">
        <f t="shared" si="29"/>
        <v>12</v>
      </c>
      <c r="R138" s="306">
        <f t="shared" si="29"/>
        <v>13</v>
      </c>
      <c r="S138" s="306">
        <f t="shared" si="29"/>
        <v>14</v>
      </c>
      <c r="T138" s="306">
        <f t="shared" si="30"/>
        <v>15</v>
      </c>
      <c r="U138" s="306">
        <f t="shared" si="30"/>
        <v>16</v>
      </c>
      <c r="V138" s="306">
        <f t="shared" si="30"/>
        <v>17</v>
      </c>
      <c r="W138" s="306">
        <f t="shared" si="30"/>
        <v>18</v>
      </c>
      <c r="X138" s="306">
        <f t="shared" si="30"/>
        <v>19</v>
      </c>
      <c r="Y138" s="306">
        <f t="shared" si="30"/>
        <v>20</v>
      </c>
      <c r="Z138" s="306">
        <f t="shared" si="30"/>
        <v>21</v>
      </c>
      <c r="AA138" s="306">
        <f t="shared" si="30"/>
        <v>22</v>
      </c>
      <c r="AB138" s="306">
        <f t="shared" si="30"/>
        <v>23</v>
      </c>
      <c r="AC138" s="306">
        <f t="shared" si="30"/>
        <v>24</v>
      </c>
      <c r="AD138" s="306">
        <f t="shared" si="30"/>
        <v>25</v>
      </c>
      <c r="AE138" s="306">
        <f t="shared" si="30"/>
        <v>26</v>
      </c>
      <c r="AF138" s="306">
        <f t="shared" si="30"/>
        <v>27</v>
      </c>
      <c r="AG138" s="306">
        <f t="shared" si="30"/>
        <v>28</v>
      </c>
      <c r="AH138" s="306">
        <f t="shared" si="30"/>
        <v>29</v>
      </c>
      <c r="AI138" s="306">
        <f t="shared" si="30"/>
        <v>30</v>
      </c>
      <c r="AJ138" s="306">
        <f t="shared" si="31"/>
        <v>31</v>
      </c>
      <c r="AK138" s="306">
        <f t="shared" si="31"/>
        <v>32</v>
      </c>
      <c r="AL138" s="306">
        <f t="shared" si="31"/>
        <v>33</v>
      </c>
      <c r="AM138" s="306">
        <f t="shared" si="31"/>
        <v>34</v>
      </c>
      <c r="AN138" s="306">
        <f t="shared" si="31"/>
        <v>35</v>
      </c>
      <c r="AO138" s="306">
        <f t="shared" si="31"/>
        <v>36</v>
      </c>
      <c r="AP138" s="306">
        <f>AO138+1</f>
        <v>37</v>
      </c>
      <c r="AQ138" s="306">
        <f t="shared" si="31"/>
        <v>38</v>
      </c>
      <c r="AR138" s="306">
        <f t="shared" si="31"/>
        <v>39</v>
      </c>
      <c r="AS138" s="306">
        <f t="shared" si="31"/>
        <v>40</v>
      </c>
      <c r="AT138" s="306">
        <f t="shared" si="31"/>
        <v>41</v>
      </c>
      <c r="AU138" s="306">
        <f t="shared" si="31"/>
        <v>42</v>
      </c>
      <c r="AV138" s="306">
        <f t="shared" si="31"/>
        <v>43</v>
      </c>
      <c r="AW138" s="306">
        <f t="shared" si="31"/>
        <v>44</v>
      </c>
      <c r="AX138" s="306">
        <f t="shared" si="31"/>
        <v>45</v>
      </c>
      <c r="AY138" s="306">
        <f t="shared" si="31"/>
        <v>46</v>
      </c>
    </row>
    <row r="139" spans="1:51" s="250" customFormat="1" hidden="1" x14ac:dyDescent="0.2">
      <c r="A139" s="281"/>
      <c r="B139" s="307">
        <f>AVERAGE(A138:B138)</f>
        <v>0</v>
      </c>
      <c r="C139" s="307">
        <f>AVERAGE(B138:C138)</f>
        <v>0</v>
      </c>
      <c r="D139" s="307">
        <f>AVERAGE(C138:D138)</f>
        <v>0</v>
      </c>
      <c r="E139" s="307">
        <f>AVERAGE(D138:E138)</f>
        <v>0</v>
      </c>
      <c r="F139" s="307">
        <f t="shared" ref="F139:AO139" si="32">AVERAGE(E138:F138)</f>
        <v>0.5</v>
      </c>
      <c r="G139" s="307">
        <f t="shared" si="32"/>
        <v>1.5</v>
      </c>
      <c r="H139" s="307">
        <f t="shared" si="32"/>
        <v>2.5</v>
      </c>
      <c r="I139" s="307">
        <f t="shared" si="32"/>
        <v>3.5</v>
      </c>
      <c r="J139" s="307">
        <f t="shared" si="32"/>
        <v>4.5</v>
      </c>
      <c r="K139" s="307">
        <f t="shared" si="32"/>
        <v>5.5</v>
      </c>
      <c r="L139" s="307">
        <f t="shared" si="32"/>
        <v>6.5</v>
      </c>
      <c r="M139" s="307">
        <f t="shared" si="32"/>
        <v>7.5</v>
      </c>
      <c r="N139" s="307">
        <f t="shared" si="32"/>
        <v>8.5</v>
      </c>
      <c r="O139" s="307">
        <f t="shared" si="32"/>
        <v>9.5</v>
      </c>
      <c r="P139" s="307">
        <f t="shared" si="32"/>
        <v>10.5</v>
      </c>
      <c r="Q139" s="307">
        <f t="shared" si="32"/>
        <v>11.5</v>
      </c>
      <c r="R139" s="307">
        <f t="shared" si="32"/>
        <v>12.5</v>
      </c>
      <c r="S139" s="307">
        <f t="shared" si="32"/>
        <v>13.5</v>
      </c>
      <c r="T139" s="307">
        <f t="shared" si="32"/>
        <v>14.5</v>
      </c>
      <c r="U139" s="307">
        <f t="shared" si="32"/>
        <v>15.5</v>
      </c>
      <c r="V139" s="307">
        <f t="shared" si="32"/>
        <v>16.5</v>
      </c>
      <c r="W139" s="307">
        <f t="shared" si="32"/>
        <v>17.5</v>
      </c>
      <c r="X139" s="307">
        <f t="shared" si="32"/>
        <v>18.5</v>
      </c>
      <c r="Y139" s="307">
        <f t="shared" si="32"/>
        <v>19.5</v>
      </c>
      <c r="Z139" s="307">
        <f t="shared" si="32"/>
        <v>20.5</v>
      </c>
      <c r="AA139" s="307">
        <f t="shared" si="32"/>
        <v>21.5</v>
      </c>
      <c r="AB139" s="307">
        <f t="shared" si="32"/>
        <v>22.5</v>
      </c>
      <c r="AC139" s="307">
        <f t="shared" si="32"/>
        <v>23.5</v>
      </c>
      <c r="AD139" s="307">
        <f t="shared" si="32"/>
        <v>24.5</v>
      </c>
      <c r="AE139" s="307">
        <f t="shared" si="32"/>
        <v>25.5</v>
      </c>
      <c r="AF139" s="307">
        <f t="shared" si="32"/>
        <v>26.5</v>
      </c>
      <c r="AG139" s="307">
        <f t="shared" si="32"/>
        <v>27.5</v>
      </c>
      <c r="AH139" s="307">
        <f t="shared" si="32"/>
        <v>28.5</v>
      </c>
      <c r="AI139" s="307">
        <f t="shared" si="32"/>
        <v>29.5</v>
      </c>
      <c r="AJ139" s="307">
        <f t="shared" si="32"/>
        <v>30.5</v>
      </c>
      <c r="AK139" s="307">
        <f t="shared" si="32"/>
        <v>31.5</v>
      </c>
      <c r="AL139" s="307">
        <f t="shared" si="32"/>
        <v>32.5</v>
      </c>
      <c r="AM139" s="307">
        <f t="shared" si="32"/>
        <v>33.5</v>
      </c>
      <c r="AN139" s="307">
        <f t="shared" si="32"/>
        <v>34.5</v>
      </c>
      <c r="AO139" s="307">
        <f t="shared" si="32"/>
        <v>35.5</v>
      </c>
      <c r="AP139" s="307">
        <f>AVERAGE(AO138:AP138)</f>
        <v>36.5</v>
      </c>
      <c r="AQ139" s="307">
        <f t="shared" ref="AQ139:AY139" si="33">AVERAGE(AP138:AQ138)</f>
        <v>37.5</v>
      </c>
      <c r="AR139" s="307">
        <f t="shared" si="33"/>
        <v>38.5</v>
      </c>
      <c r="AS139" s="307">
        <f t="shared" si="33"/>
        <v>39.5</v>
      </c>
      <c r="AT139" s="307">
        <f t="shared" si="33"/>
        <v>40.5</v>
      </c>
      <c r="AU139" s="307">
        <f t="shared" si="33"/>
        <v>41.5</v>
      </c>
      <c r="AV139" s="307">
        <f t="shared" si="33"/>
        <v>42.5</v>
      </c>
      <c r="AW139" s="307">
        <f t="shared" si="33"/>
        <v>43.5</v>
      </c>
      <c r="AX139" s="307">
        <f t="shared" si="33"/>
        <v>44.5</v>
      </c>
      <c r="AY139" s="307">
        <f t="shared" si="33"/>
        <v>45.5</v>
      </c>
    </row>
    <row r="140" spans="1:51" s="250" customFormat="1" ht="12.75" hidden="1" x14ac:dyDescent="0.2">
      <c r="A140" s="281"/>
      <c r="AQ140" s="249"/>
    </row>
    <row r="141" spans="1:51" s="250" customFormat="1" ht="12.75" hidden="1" x14ac:dyDescent="0.2">
      <c r="A141" s="281"/>
    </row>
    <row r="142" spans="1:51" s="250" customFormat="1" ht="12.75" hidden="1" x14ac:dyDescent="0.2">
      <c r="A142" s="281"/>
    </row>
    <row r="143" spans="1:51" s="250" customFormat="1" ht="12.75" hidden="1" x14ac:dyDescent="0.2">
      <c r="A143" s="281"/>
    </row>
    <row r="144" spans="1:51" s="250" customFormat="1" ht="12.75" hidden="1" x14ac:dyDescent="0.2">
      <c r="A144" s="281"/>
    </row>
    <row r="145" spans="1:71" s="250" customFormat="1" ht="12.75" hidden="1" x14ac:dyDescent="0.2">
      <c r="A145" s="281"/>
    </row>
    <row r="146" spans="1:71" s="250" customFormat="1" ht="12.75" hidden="1" x14ac:dyDescent="0.2">
      <c r="A146" s="281"/>
    </row>
    <row r="147" spans="1:71" s="250" customFormat="1" ht="12.75" hidden="1" x14ac:dyDescent="0.2">
      <c r="A147" s="281"/>
    </row>
    <row r="148" spans="1:71" s="250" customFormat="1" ht="12.75" hidden="1" x14ac:dyDescent="0.2">
      <c r="A148" s="281"/>
    </row>
    <row r="149" spans="1:71" s="250" customFormat="1" ht="12.75" hidden="1" x14ac:dyDescent="0.2">
      <c r="A149" s="281"/>
    </row>
    <row r="150" spans="1:71" s="250" customFormat="1" ht="12.75" hidden="1" x14ac:dyDescent="0.2">
      <c r="A150" s="281"/>
    </row>
    <row r="151" spans="1:71" s="250" customFormat="1" ht="12.75" hidden="1" x14ac:dyDescent="0.2">
      <c r="A151" s="281"/>
    </row>
    <row r="152" spans="1:71" s="250" customFormat="1" ht="12.75" hidden="1" x14ac:dyDescent="0.2">
      <c r="A152" s="281"/>
    </row>
    <row r="153" spans="1:71" s="250" customFormat="1" ht="12.75" hidden="1" x14ac:dyDescent="0.2">
      <c r="A153" s="281"/>
    </row>
    <row r="154" spans="1:71" s="250" customFormat="1" ht="12.75" hidden="1" x14ac:dyDescent="0.2">
      <c r="A154" s="266"/>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49"/>
      <c r="AR154" s="249"/>
      <c r="AS154" s="249"/>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s="250" customFormat="1" ht="12.75" hidden="1" x14ac:dyDescent="0.2">
      <c r="A155" s="266"/>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49"/>
      <c r="AR155" s="249"/>
      <c r="AS155" s="249"/>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s="250" customFormat="1" ht="12.75" hidden="1" x14ac:dyDescent="0.2">
      <c r="A156" s="266"/>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49"/>
      <c r="AR156" s="249"/>
      <c r="AS156" s="249"/>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s="250" customFormat="1" ht="12.75" hidden="1" x14ac:dyDescent="0.2">
      <c r="A157" s="266"/>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49"/>
      <c r="AR157" s="249"/>
      <c r="AS157" s="249"/>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s="250" customFormat="1" ht="12.75" hidden="1" x14ac:dyDescent="0.2">
      <c r="A158" s="266"/>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49"/>
      <c r="AR158" s="249"/>
      <c r="AS158" s="249"/>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s="250" customFormat="1" ht="12.75" hidden="1" x14ac:dyDescent="0.2">
      <c r="A159" s="266"/>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49"/>
      <c r="AR159" s="249"/>
      <c r="AS159" s="249"/>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s="250" customFormat="1" ht="12.75" hidden="1" x14ac:dyDescent="0.2">
      <c r="A160" s="266"/>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49"/>
      <c r="AR160" s="249"/>
      <c r="AS160" s="249"/>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s="250" customFormat="1" ht="12.75" hidden="1" x14ac:dyDescent="0.2">
      <c r="A161" s="266"/>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49"/>
      <c r="AR161" s="249"/>
      <c r="AS161" s="249"/>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s="250" customFormat="1" ht="12.75" hidden="1" x14ac:dyDescent="0.2">
      <c r="A162" s="266"/>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49"/>
      <c r="AR162" s="249"/>
      <c r="AS162" s="249"/>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s="250" customFormat="1" ht="12.75" hidden="1" x14ac:dyDescent="0.2">
      <c r="A163" s="266"/>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49"/>
      <c r="AR163" s="249"/>
      <c r="AS163" s="249"/>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s="250" customFormat="1" ht="12.75" hidden="1" x14ac:dyDescent="0.2">
      <c r="A164" s="266"/>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49"/>
      <c r="AR164" s="249"/>
      <c r="AS164" s="249"/>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s="250" customFormat="1" ht="12.75" hidden="1" x14ac:dyDescent="0.2">
      <c r="A165" s="266"/>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49"/>
      <c r="AR165" s="249"/>
      <c r="AS165" s="249"/>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s="250" customFormat="1" ht="12.75" hidden="1" x14ac:dyDescent="0.2">
      <c r="A166" s="266"/>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49"/>
      <c r="AR166" s="249"/>
      <c r="AS166" s="249"/>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s="250" customFormat="1" ht="12.75" hidden="1" x14ac:dyDescent="0.2">
      <c r="A167" s="266"/>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49"/>
      <c r="AR167" s="249"/>
      <c r="AS167" s="249"/>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s="250" customFormat="1" ht="12.75" hidden="1" x14ac:dyDescent="0.2">
      <c r="A168" s="266"/>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49"/>
      <c r="AR168" s="249"/>
      <c r="AS168" s="249"/>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s="250" customFormat="1" ht="12.75" hidden="1" x14ac:dyDescent="0.2">
      <c r="A169" s="266"/>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49"/>
      <c r="AR169" s="249"/>
      <c r="AS169" s="249"/>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s="250" customFormat="1" ht="12.75" hidden="1" x14ac:dyDescent="0.2">
      <c r="A170" s="266"/>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49"/>
      <c r="AR170" s="249"/>
      <c r="AS170" s="249"/>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s="250" customFormat="1" ht="12.75" hidden="1" x14ac:dyDescent="0.2">
      <c r="A171" s="266"/>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49"/>
      <c r="AR171" s="249"/>
      <c r="AS171" s="249"/>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s="250" customFormat="1" ht="12.75" hidden="1" x14ac:dyDescent="0.2">
      <c r="A172" s="266"/>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49"/>
      <c r="AR172" s="249"/>
      <c r="AS172" s="249"/>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s="250" customFormat="1" ht="12.75" hidden="1" x14ac:dyDescent="0.2">
      <c r="A173" s="266"/>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49"/>
      <c r="AR173" s="249"/>
      <c r="AS173" s="249"/>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s="250" customFormat="1" ht="12.75" hidden="1" x14ac:dyDescent="0.2">
      <c r="A174" s="266"/>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49"/>
      <c r="AR174" s="249"/>
      <c r="AS174" s="249"/>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s="250" customFormat="1" ht="12.75" hidden="1" x14ac:dyDescent="0.2">
      <c r="A175" s="266"/>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49"/>
      <c r="AR175" s="249"/>
      <c r="AS175" s="249"/>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s="250" customFormat="1" ht="12.75" hidden="1" x14ac:dyDescent="0.2">
      <c r="A176" s="266"/>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49"/>
      <c r="AR176" s="249"/>
      <c r="AS176" s="249"/>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s="250" customFormat="1" ht="12.75" hidden="1" x14ac:dyDescent="0.2">
      <c r="A177" s="266"/>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49"/>
      <c r="AR177" s="249"/>
      <c r="AS177" s="249"/>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s="250" customFormat="1" ht="12.75" hidden="1" x14ac:dyDescent="0.2">
      <c r="A178" s="266"/>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49"/>
      <c r="AR178" s="249"/>
      <c r="AS178" s="249"/>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s="250" customFormat="1" ht="12.75" x14ac:dyDescent="0.2">
      <c r="A179" s="266"/>
      <c r="B179" s="262">
        <v>1</v>
      </c>
      <c r="C179" s="262">
        <v>2</v>
      </c>
      <c r="D179" s="262">
        <f>C179+1</f>
        <v>3</v>
      </c>
      <c r="E179" s="262">
        <f t="shared" ref="E179:M179" si="34">D179+1</f>
        <v>4</v>
      </c>
      <c r="F179" s="262">
        <f t="shared" si="34"/>
        <v>5</v>
      </c>
      <c r="G179" s="262">
        <f t="shared" si="34"/>
        <v>6</v>
      </c>
      <c r="H179" s="262">
        <f t="shared" si="34"/>
        <v>7</v>
      </c>
      <c r="I179" s="262">
        <f t="shared" si="34"/>
        <v>8</v>
      </c>
      <c r="J179" s="262">
        <f t="shared" si="34"/>
        <v>9</v>
      </c>
      <c r="K179" s="262">
        <f t="shared" si="34"/>
        <v>10</v>
      </c>
      <c r="L179" s="262">
        <f t="shared" si="34"/>
        <v>11</v>
      </c>
      <c r="M179" s="262">
        <f t="shared" si="34"/>
        <v>12</v>
      </c>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49"/>
      <c r="AR179" s="249"/>
      <c r="AS179" s="249"/>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s="250" customFormat="1" ht="12.75" x14ac:dyDescent="0.2">
      <c r="A180" s="266"/>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49"/>
      <c r="AR180" s="249"/>
      <c r="AS180" s="249"/>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s="250" customFormat="1" ht="12.75" x14ac:dyDescent="0.2">
      <c r="A181" s="266"/>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49"/>
      <c r="AR181" s="249"/>
      <c r="AS181" s="249"/>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s="250" customFormat="1" ht="12.75" x14ac:dyDescent="0.2">
      <c r="A182" s="266"/>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49"/>
      <c r="AR182" s="249"/>
      <c r="AS182" s="249"/>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2021-03-30T23:29:36Z</dcterms:modified>
</cp:coreProperties>
</file>