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К 20-01\K 20-01 паспорт_карта\"/>
    </mc:Choice>
  </mc:AlternateContent>
  <xr:revisionPtr revIDLastSave="0" documentId="13_ncr:1_{E0ABB643-4FB4-44CA-A83A-5ACEA4282282}"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AE65" i="32" l="1"/>
  <c r="E67" i="32"/>
  <c r="F67" i="32" s="1"/>
  <c r="D67" i="32"/>
  <c r="C67" i="32"/>
  <c r="C65" i="32"/>
  <c r="D65" i="32"/>
  <c r="D58" i="29"/>
  <c r="C58" i="29"/>
  <c r="D52" i="29"/>
  <c r="C52" i="29"/>
  <c r="V58" i="29"/>
  <c r="V52" i="29"/>
  <c r="G67" i="32" l="1"/>
  <c r="F65" i="32"/>
  <c r="E65" i="32"/>
  <c r="F24" i="29"/>
  <c r="D24" i="29"/>
  <c r="D27" i="29"/>
  <c r="P32" i="29"/>
  <c r="T32" i="29" s="1"/>
  <c r="L32" i="29"/>
  <c r="T33" i="29"/>
  <c r="T30" i="29"/>
  <c r="C34" i="29"/>
  <c r="T24" i="29"/>
  <c r="L24" i="29"/>
  <c r="V30" i="29"/>
  <c r="G65" i="32" l="1"/>
  <c r="H67" i="32"/>
  <c r="AF25" i="29"/>
  <c r="AF26" i="29"/>
  <c r="AF28" i="29"/>
  <c r="AF29" i="29"/>
  <c r="AF31" i="29"/>
  <c r="AF33" i="29"/>
  <c r="V25" i="29"/>
  <c r="V26" i="29"/>
  <c r="V27" i="29"/>
  <c r="V28" i="29"/>
  <c r="V29" i="29"/>
  <c r="V31" i="29"/>
  <c r="V32" i="29"/>
  <c r="V33" i="29"/>
  <c r="V34" i="29"/>
  <c r="AF32" i="29"/>
  <c r="T25" i="29"/>
  <c r="T26" i="29"/>
  <c r="T27" i="29"/>
  <c r="AF27" i="29" s="1"/>
  <c r="T28" i="29"/>
  <c r="T29" i="29"/>
  <c r="AF30" i="29"/>
  <c r="T31" i="29"/>
  <c r="T34" i="29"/>
  <c r="AF34" i="29" s="1"/>
  <c r="AF24" i="29"/>
  <c r="I67" i="32" l="1"/>
  <c r="H65" i="32"/>
  <c r="E25" i="29"/>
  <c r="E26" i="29"/>
  <c r="E28" i="29"/>
  <c r="E29" i="29"/>
  <c r="E31" i="29"/>
  <c r="E33" i="29"/>
  <c r="E34" i="29"/>
  <c r="E35" i="29"/>
  <c r="E36" i="29"/>
  <c r="E37" i="29"/>
  <c r="E38" i="29"/>
  <c r="E39" i="29"/>
  <c r="E40" i="29"/>
  <c r="E41" i="29"/>
  <c r="E42" i="29"/>
  <c r="E43" i="29"/>
  <c r="E44" i="29"/>
  <c r="E45" i="29"/>
  <c r="E46" i="29"/>
  <c r="E47" i="29"/>
  <c r="E48" i="29"/>
  <c r="E49" i="29"/>
  <c r="E50" i="29"/>
  <c r="E51" i="29"/>
  <c r="E53" i="29"/>
  <c r="E54" i="29"/>
  <c r="E55" i="29"/>
  <c r="E56" i="29"/>
  <c r="E57" i="29"/>
  <c r="E59" i="29"/>
  <c r="E60" i="29"/>
  <c r="E61" i="29"/>
  <c r="E62" i="29"/>
  <c r="E63" i="29"/>
  <c r="E64" i="29"/>
  <c r="J67" i="32" l="1"/>
  <c r="I65" i="32"/>
  <c r="E24" i="29"/>
  <c r="E27" i="29"/>
  <c r="E30" i="29"/>
  <c r="E32" i="29"/>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9" i="29"/>
  <c r="F60" i="29"/>
  <c r="F61" i="29"/>
  <c r="F62" i="29"/>
  <c r="F63" i="29"/>
  <c r="F64" i="29"/>
  <c r="N24" i="29"/>
  <c r="V24" i="29" s="1"/>
  <c r="N30" i="29"/>
  <c r="C81" i="32"/>
  <c r="AG32" i="29"/>
  <c r="AG25" i="29"/>
  <c r="AG26" i="29"/>
  <c r="AG28" i="29"/>
  <c r="AG29" i="29"/>
  <c r="AG31" i="29"/>
  <c r="AG33" i="29"/>
  <c r="AG34" i="29"/>
  <c r="V35" i="29"/>
  <c r="AG35" i="29" s="1"/>
  <c r="V36" i="29"/>
  <c r="AG36" i="29" s="1"/>
  <c r="V37" i="29"/>
  <c r="AG37" i="29" s="1"/>
  <c r="V38" i="29"/>
  <c r="AG38" i="29" s="1"/>
  <c r="V39" i="29"/>
  <c r="AG39" i="29" s="1"/>
  <c r="V40" i="29"/>
  <c r="AG40" i="29" s="1"/>
  <c r="V41" i="29"/>
  <c r="AG41" i="29" s="1"/>
  <c r="V42" i="29"/>
  <c r="AG42" i="29" s="1"/>
  <c r="V43" i="29"/>
  <c r="AG43" i="29" s="1"/>
  <c r="V44" i="29"/>
  <c r="AG44" i="29" s="1"/>
  <c r="V45" i="29"/>
  <c r="AG45" i="29" s="1"/>
  <c r="V46" i="29"/>
  <c r="AG46" i="29" s="1"/>
  <c r="V47" i="29"/>
  <c r="AG47" i="29" s="1"/>
  <c r="V48" i="29"/>
  <c r="AG48" i="29" s="1"/>
  <c r="V49" i="29"/>
  <c r="AG49" i="29" s="1"/>
  <c r="V50" i="29"/>
  <c r="AG50" i="29" s="1"/>
  <c r="V51" i="29"/>
  <c r="AG51" i="29" s="1"/>
  <c r="V53" i="29"/>
  <c r="AG53" i="29" s="1"/>
  <c r="V54" i="29"/>
  <c r="AG54" i="29" s="1"/>
  <c r="V55" i="29"/>
  <c r="AG55" i="29" s="1"/>
  <c r="V56" i="29"/>
  <c r="AG56" i="29" s="1"/>
  <c r="V57" i="29"/>
  <c r="AG57" i="29" s="1"/>
  <c r="V59" i="29"/>
  <c r="AG59" i="29" s="1"/>
  <c r="V60" i="29"/>
  <c r="AG60" i="29" s="1"/>
  <c r="V61" i="29"/>
  <c r="AG61" i="29" s="1"/>
  <c r="V62" i="29"/>
  <c r="AG62" i="29" s="1"/>
  <c r="V63" i="29"/>
  <c r="AG63" i="29" s="1"/>
  <c r="V64" i="29"/>
  <c r="AG64" i="29" s="1"/>
  <c r="A5" i="32"/>
  <c r="C49" i="32"/>
  <c r="K67" i="32" l="1"/>
  <c r="J65" i="32"/>
  <c r="B81" i="32"/>
  <c r="AG24" i="29"/>
  <c r="E58" i="29"/>
  <c r="E52" i="29"/>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E59" i="32"/>
  <c r="I59" i="32"/>
  <c r="G59" i="32"/>
  <c r="F59" i="32"/>
  <c r="E59" i="32"/>
  <c r="D59" i="32"/>
  <c r="C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5" i="32" l="1"/>
  <c r="K59" i="32" s="1"/>
  <c r="L67" i="32"/>
  <c r="I66" i="32"/>
  <c r="AE66" i="32"/>
  <c r="E66" i="32"/>
  <c r="L80" i="32"/>
  <c r="AB80" i="32"/>
  <c r="F66" i="32"/>
  <c r="K66" i="32"/>
  <c r="H80" i="32"/>
  <c r="T80" i="32"/>
  <c r="G66" i="32"/>
  <c r="I80" i="32"/>
  <c r="D80" i="32"/>
  <c r="D66" i="32"/>
  <c r="P80" i="32"/>
  <c r="X80" i="32"/>
  <c r="C66" i="32"/>
  <c r="M67" i="32" l="1"/>
  <c r="L65" i="32"/>
  <c r="L59" i="32" s="1"/>
  <c r="L66" i="32" s="1"/>
  <c r="AG27" i="29"/>
  <c r="N67" i="32" l="1"/>
  <c r="M65" i="32"/>
  <c r="M59" i="32" s="1"/>
  <c r="M66" i="32" s="1"/>
  <c r="F30" i="29"/>
  <c r="AG30" i="29"/>
  <c r="B24" i="32"/>
  <c r="C50" i="7"/>
  <c r="N52" i="29"/>
  <c r="F52" i="29"/>
  <c r="O67" i="32" l="1"/>
  <c r="N65" i="32"/>
  <c r="AG52" i="29"/>
  <c r="B28" i="32"/>
  <c r="H60" i="32" s="1"/>
  <c r="B49" i="32"/>
  <c r="B58" i="32" s="1"/>
  <c r="B34" i="32"/>
  <c r="J61" i="32" s="1"/>
  <c r="N58" i="29"/>
  <c r="F58" i="29"/>
  <c r="B27" i="26"/>
  <c r="P67" i="32" l="1"/>
  <c r="O65" i="32"/>
  <c r="O59" i="32" s="1"/>
  <c r="O66" i="32" s="1"/>
  <c r="AG58" i="29"/>
  <c r="J59" i="32"/>
  <c r="J66" i="32" s="1"/>
  <c r="R61" i="32"/>
  <c r="C68" i="32"/>
  <c r="C51" i="7"/>
  <c r="B79" i="32"/>
  <c r="C79" i="32" s="1"/>
  <c r="B66" i="32"/>
  <c r="B68" i="32" s="1"/>
  <c r="B80" i="32"/>
  <c r="H59" i="32"/>
  <c r="H66" i="32" s="1"/>
  <c r="N60" i="32"/>
  <c r="Q67" i="32" l="1"/>
  <c r="P65" i="32"/>
  <c r="P59" i="32" s="1"/>
  <c r="P66" i="32" s="1"/>
  <c r="C76" i="32"/>
  <c r="D81" i="32"/>
  <c r="E68" i="32" s="1"/>
  <c r="N59" i="32"/>
  <c r="N66" i="32" s="1"/>
  <c r="T60" i="32"/>
  <c r="B70" i="32"/>
  <c r="B71" i="32" s="1"/>
  <c r="B75" i="32"/>
  <c r="C70" i="32"/>
  <c r="C71" i="32" s="1"/>
  <c r="C72" i="32" s="1"/>
  <c r="C75" i="32"/>
  <c r="Z61" i="32"/>
  <c r="D76" i="32"/>
  <c r="D68" i="32"/>
  <c r="C54" i="16"/>
  <c r="B25" i="26" s="1"/>
  <c r="D9" i="31"/>
  <c r="C9" i="31"/>
  <c r="B9" i="31"/>
  <c r="D8" i="31"/>
  <c r="D10" i="31" s="1"/>
  <c r="D11" i="31" s="1"/>
  <c r="C8" i="31"/>
  <c r="C10" i="31" s="1"/>
  <c r="C11" i="31" s="1"/>
  <c r="B8" i="31"/>
  <c r="E7" i="31"/>
  <c r="D6" i="31"/>
  <c r="C6" i="31"/>
  <c r="E6" i="31" s="1"/>
  <c r="B6" i="31"/>
  <c r="E5" i="31"/>
  <c r="E4" i="31"/>
  <c r="R67" i="32" l="1"/>
  <c r="Q65" i="32"/>
  <c r="Q59" i="32" s="1"/>
  <c r="Q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E8" i="31"/>
  <c r="Z60" i="32"/>
  <c r="E75" i="32"/>
  <c r="E70" i="32"/>
  <c r="E71" i="32" s="1"/>
  <c r="E72" i="32" s="1"/>
  <c r="E9" i="31"/>
  <c r="D75" i="32"/>
  <c r="D70" i="32"/>
  <c r="D71" i="32" s="1"/>
  <c r="D72" i="32" s="1"/>
  <c r="B72" i="32"/>
  <c r="B78" i="32"/>
  <c r="B83" i="32" s="1"/>
  <c r="C12" i="31"/>
  <c r="D12" i="31"/>
  <c r="B10" i="31"/>
  <c r="S67" i="32" l="1"/>
  <c r="R65" i="32"/>
  <c r="R59" i="32" s="1"/>
  <c r="R66" i="32" s="1"/>
  <c r="F76" i="32"/>
  <c r="C78" i="32"/>
  <c r="C83" i="32" s="1"/>
  <c r="C86" i="32" s="1"/>
  <c r="B86" i="32"/>
  <c r="B88" i="32"/>
  <c r="B84" i="32"/>
  <c r="B89" i="32" s="1"/>
  <c r="F75" i="32"/>
  <c r="F70" i="32"/>
  <c r="F71" i="32" s="1"/>
  <c r="E10" i="31"/>
  <c r="B11" i="31"/>
  <c r="T67" i="32" l="1"/>
  <c r="S65" i="32"/>
  <c r="S59" i="32" s="1"/>
  <c r="S66" i="32" s="1"/>
  <c r="G76" i="32"/>
  <c r="D78" i="32"/>
  <c r="D83" i="32" s="1"/>
  <c r="D86" i="32" s="1"/>
  <c r="D87" i="32" s="1"/>
  <c r="G68" i="32"/>
  <c r="G75" i="32" s="1"/>
  <c r="C88" i="32"/>
  <c r="C84" i="32"/>
  <c r="C89" i="32" s="1"/>
  <c r="E78" i="32"/>
  <c r="E83" i="32" s="1"/>
  <c r="E84" i="32" s="1"/>
  <c r="H76" i="32"/>
  <c r="H68" i="32"/>
  <c r="F72" i="32"/>
  <c r="C87" i="32"/>
  <c r="B87" i="32"/>
  <c r="B90" i="32" s="1"/>
  <c r="E11" i="31"/>
  <c r="B12" i="31"/>
  <c r="E12" i="31" s="1"/>
  <c r="U67" i="32" l="1"/>
  <c r="T65" i="32"/>
  <c r="T59" i="32" s="1"/>
  <c r="T66" i="32" s="1"/>
  <c r="D84" i="32"/>
  <c r="D89" i="32" s="1"/>
  <c r="D88" i="32"/>
  <c r="G70" i="32"/>
  <c r="G71" i="32" s="1"/>
  <c r="G72" i="32" s="1"/>
  <c r="F78" i="32"/>
  <c r="F83" i="32" s="1"/>
  <c r="F88" i="32" s="1"/>
  <c r="H75" i="32"/>
  <c r="H70" i="32"/>
  <c r="H71" i="32" s="1"/>
  <c r="C90" i="32"/>
  <c r="I76" i="32"/>
  <c r="I68" i="32"/>
  <c r="E88" i="32"/>
  <c r="E86" i="32"/>
  <c r="D90" i="32"/>
  <c r="D26" i="5"/>
  <c r="V67" i="32" l="1"/>
  <c r="U65" i="32"/>
  <c r="U59" i="32" s="1"/>
  <c r="U66" i="32" s="1"/>
  <c r="E89" i="32"/>
  <c r="G78" i="32"/>
  <c r="G83" i="32" s="1"/>
  <c r="G84" i="32" s="1"/>
  <c r="F86" i="32"/>
  <c r="F87" i="32" s="1"/>
  <c r="F84" i="32"/>
  <c r="F89" i="32" s="1"/>
  <c r="I75" i="32"/>
  <c r="I70" i="32"/>
  <c r="I71" i="32" s="1"/>
  <c r="E87" i="32"/>
  <c r="E90" i="32" s="1"/>
  <c r="J68" i="32"/>
  <c r="J76" i="32"/>
  <c r="H72" i="32"/>
  <c r="W67" i="32" l="1"/>
  <c r="V65" i="32"/>
  <c r="V59" i="32" s="1"/>
  <c r="V66" i="32" s="1"/>
  <c r="G88" i="32"/>
  <c r="G86" i="32"/>
  <c r="G87" i="32" s="1"/>
  <c r="G90" i="32" s="1"/>
  <c r="H78" i="32"/>
  <c r="H83" i="32" s="1"/>
  <c r="H84" i="32" s="1"/>
  <c r="H89" i="32" s="1"/>
  <c r="G89" i="32"/>
  <c r="K68" i="32"/>
  <c r="K76" i="32"/>
  <c r="I72" i="32"/>
  <c r="J75" i="32"/>
  <c r="J70" i="32"/>
  <c r="J71" i="32" s="1"/>
  <c r="J72" i="32" s="1"/>
  <c r="F90" i="32"/>
  <c r="X67" i="32" l="1"/>
  <c r="W65" i="32"/>
  <c r="W59" i="32" s="1"/>
  <c r="W66" i="32" s="1"/>
  <c r="H88" i="32"/>
  <c r="H86" i="32"/>
  <c r="H87" i="32" s="1"/>
  <c r="H90" i="32" s="1"/>
  <c r="I78" i="32"/>
  <c r="I83" i="32" s="1"/>
  <c r="I88" i="32" s="1"/>
  <c r="K75" i="32"/>
  <c r="K70" i="32"/>
  <c r="K71" i="32" s="1"/>
  <c r="L68" i="32"/>
  <c r="L76" i="32"/>
  <c r="G26" i="5"/>
  <c r="Y67" i="32" l="1"/>
  <c r="X65" i="32"/>
  <c r="X59" i="32" s="1"/>
  <c r="X66" i="32" s="1"/>
  <c r="J78" i="32"/>
  <c r="J83" i="32" s="1"/>
  <c r="J84" i="32" s="1"/>
  <c r="I86" i="32"/>
  <c r="I87" i="32" s="1"/>
  <c r="I90" i="32" s="1"/>
  <c r="I84" i="32"/>
  <c r="I89" i="32" s="1"/>
  <c r="M68" i="32"/>
  <c r="M76" i="32"/>
  <c r="L75" i="32"/>
  <c r="L70" i="32"/>
  <c r="L71" i="32" s="1"/>
  <c r="K72" i="32"/>
  <c r="Z67" i="32" l="1"/>
  <c r="Y65" i="32"/>
  <c r="Y59" i="32" s="1"/>
  <c r="Y66" i="32" s="1"/>
  <c r="J88" i="32"/>
  <c r="J89" i="32"/>
  <c r="J86" i="32"/>
  <c r="J87" i="32" s="1"/>
  <c r="J90" i="32" s="1"/>
  <c r="K78" i="32"/>
  <c r="K83" i="32" s="1"/>
  <c r="K86" i="32" s="1"/>
  <c r="L72" i="32"/>
  <c r="N68" i="32"/>
  <c r="N76" i="32"/>
  <c r="M70" i="32"/>
  <c r="M71" i="32" s="1"/>
  <c r="M75" i="32"/>
  <c r="AA67" i="32" l="1"/>
  <c r="Z65" i="32"/>
  <c r="Z59" i="32" s="1"/>
  <c r="Z66" i="32" s="1"/>
  <c r="K87" i="32"/>
  <c r="K90" i="32" s="1"/>
  <c r="L78" i="32"/>
  <c r="L83" i="32" s="1"/>
  <c r="L84" i="32" s="1"/>
  <c r="K88" i="32"/>
  <c r="K84" i="32"/>
  <c r="K89" i="32" s="1"/>
  <c r="O76" i="32"/>
  <c r="O68" i="32"/>
  <c r="M72" i="32"/>
  <c r="N75" i="32"/>
  <c r="N70" i="32"/>
  <c r="N71" i="32" s="1"/>
  <c r="N72" i="32" s="1"/>
  <c r="AB67" i="32" l="1"/>
  <c r="AA65" i="32"/>
  <c r="AA59" i="32" s="1"/>
  <c r="AA66" i="32" s="1"/>
  <c r="L88" i="32"/>
  <c r="L89" i="32"/>
  <c r="L86" i="32"/>
  <c r="L87" i="32" s="1"/>
  <c r="M78" i="32"/>
  <c r="M83" i="32" s="1"/>
  <c r="M86" i="32" s="1"/>
  <c r="P76" i="32"/>
  <c r="P68" i="32"/>
  <c r="O75" i="32"/>
  <c r="O70" i="32"/>
  <c r="O71" i="32" s="1"/>
  <c r="O72" i="32" s="1"/>
  <c r="AC67" i="32" l="1"/>
  <c r="AB65" i="32"/>
  <c r="AB59" i="32" s="1"/>
  <c r="AB66" i="32" s="1"/>
  <c r="L90" i="32"/>
  <c r="G29" i="32"/>
  <c r="M87" i="32"/>
  <c r="M90" i="32" s="1"/>
  <c r="N78" i="32"/>
  <c r="N83" i="32" s="1"/>
  <c r="N86" i="32" s="1"/>
  <c r="N87" i="32" s="1"/>
  <c r="M88" i="32"/>
  <c r="M84" i="32"/>
  <c r="M89" i="32" s="1"/>
  <c r="P70" i="32"/>
  <c r="P71" i="32" s="1"/>
  <c r="P75" i="32"/>
  <c r="Q76" i="32"/>
  <c r="Q68" i="32"/>
  <c r="AD67" i="32" l="1"/>
  <c r="AC65" i="32"/>
  <c r="AC59" i="32" s="1"/>
  <c r="AC66" i="32" s="1"/>
  <c r="N90" i="32"/>
  <c r="N84" i="32"/>
  <c r="N89" i="32" s="1"/>
  <c r="N88" i="32"/>
  <c r="O78" i="32"/>
  <c r="O83" i="32" s="1"/>
  <c r="O88" i="32" s="1"/>
  <c r="P72" i="32"/>
  <c r="Q70" i="32"/>
  <c r="Q71" i="32" s="1"/>
  <c r="Q75" i="32"/>
  <c r="R76" i="32"/>
  <c r="R68" i="32"/>
  <c r="AE67" i="32" l="1"/>
  <c r="AD65" i="32"/>
  <c r="AD59" i="32" s="1"/>
  <c r="AD66" i="32" s="1"/>
  <c r="O86" i="32"/>
  <c r="O87" i="32" s="1"/>
  <c r="O90" i="32" s="1"/>
  <c r="O84" i="32"/>
  <c r="O89" i="32" s="1"/>
  <c r="P78" i="32"/>
  <c r="P83" i="32" s="1"/>
  <c r="P86" i="32" s="1"/>
  <c r="S68" i="32"/>
  <c r="S76" i="32"/>
  <c r="R70" i="32"/>
  <c r="R71" i="32" s="1"/>
  <c r="R75" i="32"/>
  <c r="Q72" i="32"/>
  <c r="Q78" i="32" l="1"/>
  <c r="Q83" i="32" s="1"/>
  <c r="Q86" i="32" s="1"/>
  <c r="Q87" i="32" s="1"/>
  <c r="P87" i="32"/>
  <c r="P90" i="32" s="1"/>
  <c r="P84" i="32"/>
  <c r="P89" i="32" s="1"/>
  <c r="P88" i="32"/>
  <c r="Q84" i="32"/>
  <c r="T76" i="32"/>
  <c r="T68" i="32"/>
  <c r="R72" i="32"/>
  <c r="S75" i="32"/>
  <c r="S70" i="32"/>
  <c r="S71" i="32" s="1"/>
  <c r="Q89" i="32" l="1"/>
  <c r="R78" i="32"/>
  <c r="R83" i="32" s="1"/>
  <c r="R84" i="32" s="1"/>
  <c r="R89" i="32" s="1"/>
  <c r="Q88" i="32"/>
  <c r="Q90" i="32"/>
  <c r="U76" i="32"/>
  <c r="U68" i="32"/>
  <c r="T75" i="32"/>
  <c r="T70" i="32"/>
  <c r="T71" i="32" s="1"/>
  <c r="S72" i="32"/>
  <c r="R88" i="32" l="1"/>
  <c r="R86" i="32"/>
  <c r="R87" i="32" s="1"/>
  <c r="R90" i="32" s="1"/>
  <c r="S78" i="32"/>
  <c r="S83" i="32" s="1"/>
  <c r="S86" i="32" s="1"/>
  <c r="T72" i="32"/>
  <c r="V68" i="32"/>
  <c r="V76" i="32"/>
  <c r="U75" i="32"/>
  <c r="U70" i="32"/>
  <c r="U71" i="32" s="1"/>
  <c r="U72" i="32" s="1"/>
  <c r="T78" i="32" l="1"/>
  <c r="U78" i="32" s="1"/>
  <c r="U83" i="32" s="1"/>
  <c r="U86" i="32" s="1"/>
  <c r="S87" i="32"/>
  <c r="S90" i="32" s="1"/>
  <c r="S84" i="32"/>
  <c r="S89" i="32" s="1"/>
  <c r="S88" i="32"/>
  <c r="W68" i="32"/>
  <c r="W76" i="32"/>
  <c r="T83" i="32"/>
  <c r="V75" i="32"/>
  <c r="V70" i="32"/>
  <c r="V71" i="32" s="1"/>
  <c r="T86" i="32" l="1"/>
  <c r="U88" i="32"/>
  <c r="T88" i="32"/>
  <c r="U84" i="32"/>
  <c r="T84" i="32"/>
  <c r="T89" i="32" s="1"/>
  <c r="W75" i="32"/>
  <c r="W70" i="32"/>
  <c r="V72" i="32"/>
  <c r="V78" i="32"/>
  <c r="V83" i="32" s="1"/>
  <c r="V86" i="32" s="1"/>
  <c r="V87" i="32" s="1"/>
  <c r="X76" i="32"/>
  <c r="X68" i="32"/>
  <c r="U89" i="32" l="1"/>
  <c r="V88" i="32"/>
  <c r="V84" i="32"/>
  <c r="V89" i="32" s="1"/>
  <c r="X75" i="32"/>
  <c r="X70" i="32"/>
  <c r="X71" i="32" s="1"/>
  <c r="X72" i="32" s="1"/>
  <c r="Y68" i="32"/>
  <c r="Y76" i="32"/>
  <c r="W71" i="32"/>
  <c r="W72" i="32" s="1"/>
  <c r="T87" i="32"/>
  <c r="T90" i="32" s="1"/>
  <c r="U87" i="32"/>
  <c r="U90" i="32" l="1"/>
  <c r="Y75" i="32"/>
  <c r="Y70" i="32"/>
  <c r="Y71" i="32" s="1"/>
  <c r="Z68" i="32"/>
  <c r="Z76" i="32"/>
  <c r="W78" i="32"/>
  <c r="W83" i="32" s="1"/>
  <c r="V90" i="32"/>
  <c r="Z70" i="32" l="1"/>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F30" i="15" l="1"/>
  <c r="E30" i="15"/>
  <c r="AC26" i="15"/>
  <c r="AB53" i="15"/>
  <c r="AB45" i="15"/>
  <c r="AC25" i="15"/>
  <c r="N24" i="15"/>
  <c r="AC27" i="15"/>
  <c r="E54" i="15"/>
  <c r="F54" i="15" s="1"/>
  <c r="P54" i="15" s="1"/>
  <c r="C52" i="15"/>
  <c r="C28" i="15"/>
  <c r="AB31" i="15"/>
  <c r="AC24" i="15" l="1"/>
  <c r="AB54" i="15"/>
  <c r="E52" i="15"/>
  <c r="F52" i="15" s="1"/>
  <c r="P52" i="15"/>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<sst xmlns="http://schemas.openxmlformats.org/spreadsheetml/2006/main" count="1278" uniqueCount="615">
  <si>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</si>
  <si>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</si>
  <si>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</si>
  <si>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</si>
  <si>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</si>
  <si>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</si>
  <si>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</si>
  <si>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</si>
  <si>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</si>
  <si>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</si>
  <si>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</si>
  <si>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</si>
  <si>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</si>
  <si>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</si>
  <si>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</si>
  <si>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</si>
  <si>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</si>
  <si>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</si>
  <si>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</si>
  <si>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</si>
  <si>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</si>
  <si>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</si>
  <si>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</si>
  <si>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</si>
  <si>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</si>
  <si>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</si>
  <si>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</si>
  <si>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</si>
  <si>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</si>
  <si>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</si>
  <si>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</si>
  <si>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</si>
  <si>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</si>
  <si>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</si>
  <si>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</si>
  <si>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</si>
  <si>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</si>
  <si>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</si>
  <si>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</si>
  <si>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</si>
  <si>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</si>
  <si>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</si>
  <si>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</si>
  <si>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</si>
  <si>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</si>
  <si>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</si>
  <si>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</si>
  <si>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</si>
  <si>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</si>
  <si>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</si>
  <si>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</si>
  <si>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</si>
  <si>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</si>
  <si>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</si>
  <si>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</si>
  <si>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</si>
  <si>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</si>
  <si>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</si>
  <si>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</si>
  <si>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</si>
  <si>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</si>
  <si>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</si>
  <si>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</si>
  <si>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</si>
  <si>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</si>
  <si>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</si>
  <si>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</si>
  <si>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</si>
  <si>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</si>
  <si>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</si>
  <si>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</si>
  <si>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</si>
  <si>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</si>
  <si>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</si>
  <si>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</si>
  <si>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</si>
  <si>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</si>
  <si>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</si>
  <si>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</si>
  <si>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</si>
  <si>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</si>
  <si>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</si>
  <si>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</si>
  <si>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</si>
  <si>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</si>
  <si>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</si>
  <si>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</si>
  <si>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</si>
  <si>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</si>
  <si>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</si>
  <si>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</si>
  <si>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</si>
  <si>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</si>
  <si>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</si>
  <si>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</si>
  <si>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</si>
  <si>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</si>
  <si>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</si>
  <si>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</si>
  <si>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</si>
  <si>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</si>
  <si>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</si>
  <si>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</si>
  <si>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</si>
  <si>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</si>
  <si>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</si>
  <si>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</si>
  <si>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</si>
  <si>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</si>
  <si>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</si>
  <si>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</si>
  <si>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</si>
  <si>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</si>
  <si>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</si>
  <si>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</si>
  <si>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</si>
  <si>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</si>
  <si>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</si>
  <si>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</si>
  <si>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</si>
  <si>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</si>
  <si>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</si>
  <si>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</si>
  <si>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</si>
  <si>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</si>
  <si>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</si>
  <si>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</si>
  <si>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</si>
  <si>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</si>
  <si>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</si>
  <si>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</si>
  <si>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</si>
  <si>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</si>
  <si>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</si>
  <si>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</si>
  <si>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</si>
  <si>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</si>
  <si>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</si>
  <si>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</si>
  <si>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</si>
  <si>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</si>
  <si>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</si>
  <si>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</si>
  <si>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</si>
  <si>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</si>
  <si>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</si>
  <si>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</si>
  <si>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</si>
  <si>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</si>
  <si>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</si>
  <si>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</si>
  <si>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</si>
  <si>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</si>
  <si>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</si>
  <si>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</si>
  <si>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</si>
  <si>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</si>
  <si>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</si>
  <si>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</si>
  <si>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</si>
  <si>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</si>
  <si>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</si>
  <si>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</si>
  <si>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</si>
  <si>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</si>
  <si>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</si>
  <si>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</si>
  <si>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</si>
  <si>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</si>
  <si>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</si>
  <si>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</si>
  <si>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</si>
  <si>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</si>
  <si>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</si>
  <si>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</si>
  <si>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</si>
  <si>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</si>
  <si>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</si>
  <si>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</si>
  <si>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</si>
  <si>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</si>
  <si>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</si>
  <si>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</si>
  <si>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</si>
  <si>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</si>
  <si>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</si>
  <si>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</si>
  <si>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</si>
  <si>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</si>
  <si>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</si>
  <si>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</si>
  <si>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</si>
  <si>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</si>
  <si>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</si>
  <si>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</si>
  <si>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</si>
  <si>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</si>
  <si>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</si>
  <si>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</si>
  <si>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</si>
  <si>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</si>
  <si>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</si>
  <si>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</si>
  <si>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</si>
  <si>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</si>
  <si>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</si>
  <si>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</si>
  <si>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</si>
  <si>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</si>
  <si>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</si>
  <si>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</si>
  <si>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</si>
  <si>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</si>
  <si>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</si>
  <si>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</si>
  <si>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</si>
  <si>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</si>
  <si>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</si>
  <si>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</si>
  <si>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</si>
  <si>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</si>
  <si>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</si>
  <si>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</si>
  <si>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</si>
  <si>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</si>
  <si>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</si>
  <si>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</si>
  <si>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</si>
  <si>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</si>
  <si>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</si>
  <si>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</si>
  <si>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</si>
  <si>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</si>
  <si>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</si>
  <si>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</si>
  <si>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</si>
  <si>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</si>
  <si>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</si>
  <si>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</si>
  <si>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</si>
  <si>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</si>
  <si>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</si>
  <si>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</si>
  <si>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</si>
  <si>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</si>
  <si>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</si>
  <si>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</si>
  <si>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</si>
  <si>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</si>
  <si>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</si>
  <si>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</si>
  <si>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</si>
  <si>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</si>
  <si>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</si>
  <si>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</si>
  <si>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</si>
  <si>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</si>
  <si>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</si>
  <si>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</si>
  <si>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</si>
  <si>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</si>
  <si>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</si>
  <si>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</si>
  <si>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</si>
  <si>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</si>
  <si>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</si>
  <si>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</si>
  <si>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</si>
  <si>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</si>
  <si>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</si>
  <si>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</si>
  <si>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</si>
  <si>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</si>
  <si>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</si>
  <si>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</si>
  <si>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</si>
  <si>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</si>
  <si>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</si>
  <si>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</si>
  <si>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</si>
  <si>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</si>
  <si>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</si>
  <si>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</si>
  <si>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</si>
  <si>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</si>
  <si>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</si>
  <si>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</si>
  <si>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</si>
  <si>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</si>
  <si>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</si>
  <si>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</si>
  <si>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</si>
  <si>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</si>
  <si>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</si>
  <si>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</si>
  <si>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</si>
  <si>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</si>
  <si>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</si>
  <si>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</si>
  <si>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</si>
  <si>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</si>
  <si>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</si>
  <si>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</si>
  <si>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</si>
  <si>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</si>
  <si>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</si>
  <si>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</si>
  <si>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</si>
  <si>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</si>
  <si>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</si>
  <si>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</si>
  <si>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</si>
  <si>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</si>
  <si>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</si>
  <si>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</si>
  <si>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</si>
  <si>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</si>
  <si>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</si>
  <si>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</si>
  <si>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</si>
  <si>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</si>
  <si>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</si>
  <si>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</si>
  <si>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</si>
  <si>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</si>
  <si>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</si>
  <si>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</si>
  <si>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</si>
  <si>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</si>
  <si>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</si>
  <si>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</si>
  <si>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</si>
  <si>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</si>
  <si>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</si>
  <si>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</si>
  <si>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</si>
  <si>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</si>
  <si>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</si>
  <si>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</si>
  <si>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</si>
  <si>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</si>
  <si>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</si>
  <si>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</si>
  <si>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</si>
  <si>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</si>
  <si>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</si>
  <si>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</si>
  <si>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</si>
  <si>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</si>
  <si>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</si>
  <si>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</si>
  <si>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</si>
  <si>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</si>
  <si>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</si>
  <si>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</si>
  <si>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</si>
  <si>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</si>
  <si>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</si>
  <si>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</si>
  <si>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</si>
  <si>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</si>
  <si>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</si>
  <si>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</si>
  <si>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</si>
  <si>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</si>
  <si>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</si>
  <si>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</si>
  <si>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</si>
  <si>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</si>
  <si>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</si>
  <si>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</si>
  <si>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</si>
  <si>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</si>
  <si>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</si>
  <si>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</si>
  <si>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</si>
  <si>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</si>
  <si>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</si>
  <si>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</si>
  <si>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</si>
  <si>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</si>
  <si>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</si>
  <si>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</si>
  <si>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</si>
  <si>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</si>
  <si>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</si>
  <si>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</si>
  <si>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</si>
  <si>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</si>
  <si>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</si>
  <si>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</si>
  <si>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</si>
  <si>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</si>
  <si>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</si>
  <si>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</si>
  <si>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</si>
  <si>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</si>
  <si>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</si>
  <si>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</si>
  <si>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</si>
  <si>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</si>
  <si>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</si>
  <si>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</si>
  <si>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</si>
  <si>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</si>
  <si>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</si>
  <si>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</si>
  <si>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</si>
  <si>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</si>
  <si>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</si>
  <si>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</si>
  <si>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</si>
  <si>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</si>
  <si>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</si>
  <si>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</si>
  <si>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</si>
  <si>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</si>
  <si>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</si>
  <si>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</si>
  <si>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</si>
  <si>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</si>
  <si>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</si>
  <si>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</si>
  <si>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</si>
  <si>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</si>
  <si>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</si>
  <si>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</si>
  <si>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</si>
  <si>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</si>
  <si>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</si>
  <si>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</si>
  <si>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</si>
  <si>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</si>
  <si>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</si>
  <si>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</si>
  <si>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</si>
  <si>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</si>
  <si>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</si>
  <si>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</si>
  <si>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</si>
  <si>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</si>
  <si>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</si>
  <si>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</si>
  <si>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</si>
  <si>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</si>
  <si>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</si>
  <si>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</si>
  <si>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</si>
  <si>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</si>
  <si>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</si>
  <si>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</si>
  <si>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</si>
  <si>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</si>
  <si>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</si>
  <si>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</si>
  <si>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</si>
  <si>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</si>
  <si>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</si>
  <si>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</si>
  <si>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</si>
  <si>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</si>
  <si>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</si>
  <si>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</si>
  <si>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</si>
  <si>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</si>
  <si>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</si>
  <si>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</si>
  <si>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</si>
  <si>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</si>
  <si>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</si>
  <si>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</si>
  <si>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</si>
  <si>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</si>
  <si>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</si>
  <si>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</si>
  <si>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</si>
  <si>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</si>
  <si>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</si>
  <si>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</si>
  <si>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</si>
  <si>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</si>
  <si>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</si>
  <si>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</si>
  <si>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</si>
  <si>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</si>
  <si>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</si>
  <si>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</si>
  <si>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</si>
  <si>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</si>
  <si>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</si>
  <si>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</si>
  <si>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</si>
  <si>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</si>
  <si>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</si>
  <si>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</si>
  <si>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</si>
  <si>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</si>
  <si>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</si>
  <si>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</si>
  <si>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</si>
  <si>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</si>
  <si>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</si>
  <si>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</si>
  <si>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</si>
  <si>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</si>
  <si>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</si>
  <si>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</si>
  <si>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</si>
  <si>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</si>
  <si>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</si>
  <si>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</si>
  <si>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</si>
  <si>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</si>
  <si>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</si>
  <si>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</si>
  <si>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</si>
  <si>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</si>
  <si>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</si>
  <si>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</si>
  <si>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</si>
  <si>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</si>
  <si>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</si>
  <si>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</si>
  <si>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</si>
  <si>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</si>
  <si>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</si>
  <si>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</si>
  <si>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</si>
  <si>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</si>
  <si>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</si>
  <si>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</si>
  <si>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</si>
  <si>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</si>
  <si>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</si>
  <si>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</si>
  <si>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</si>
  <si>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</si>
  <si>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</si>
  <si>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</si>
  <si>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</si>
  <si>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</si>
  <si>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</si>
  <si>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</si>
  <si>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</si>
  <si>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</si>
  <si>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</si>
  <si>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</si>
  <si>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</si>
  <si>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</si>
  <si>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</si>
  <si>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</si>
  <si>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</si>
  <si>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</si>
  <si>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</si>
  <si>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</si>
  <si>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</si>
  <si>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</si>
  <si>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</si>
  <si>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</si>
  <si>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</si>
  <si>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</si>
  <si>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</si>
  <si>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</si>
  <si>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</si>
  <si>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</si>
  <si>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</si>
  <si>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</si>
  <si>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</si>
  <si>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</si>
  <si>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</si>
  <si>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</si>
  <si>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</si>
  <si>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</si>
  <si>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</si>
  <si>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</si>
  <si>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</si>
  <si>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</si>
  <si>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</si>
  <si>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</si>
  <si>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</si>
  <si>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</si>
  <si>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</si>
  <si>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</si>
  <si>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</si>
  <si>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</si>
  <si>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</si>
  <si>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</si>
  <si>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</si>
  <si>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</si>
  <si>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</si>
  <si>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</si>
  <si>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</si>
  <si>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</si>
  <si>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</si>
  <si>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K 20-01</t>
  </si>
  <si>
    <t>Создание интеллектуальной системы учета электрической энергии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</si>
  <si>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</si>
  <si>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</si>
  <si>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</si>
  <si>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</si>
  <si>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</si>
  <si>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</si>
  <si>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</si>
  <si>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</si>
  <si>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</si>
  <si>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</si>
  <si>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</si>
  <si>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</si>
  <si>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</si>
  <si>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</si>
  <si>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</si>
  <si>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</si>
  <si>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</si>
  <si>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С</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</si>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</sst>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7" fillId="0" borderId="0" applyNumberFormat="0" applyFill="0" applyBorder="0" applyAlignment="0" applyProtection="0"/>
  </cellStyleXfs>
  <cellXfs count="48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73" fillId="0" borderId="1" xfId="0" applyFont="1" applyFill="1" applyBorder="1" applyAlignment="1">
      <alignment vertical="center"/>
    </xf>
    <xf numFmtId="3" fontId="73" fillId="0" borderId="1" xfId="0" applyNumberFormat="1" applyFont="1" applyFill="1" applyBorder="1" applyAlignment="1">
      <alignment horizontal="center" vertical="center"/>
    </xf>
    <xf numFmtId="3" fontId="70" fillId="0" borderId="1" xfId="0" applyNumberFormat="1" applyFont="1" applyFill="1" applyBorder="1" applyAlignment="1">
      <alignment horizontal="center" vertical="center"/>
    </xf>
    <xf numFmtId="4" fontId="70" fillId="0" borderId="1" xfId="0" applyNumberFormat="1" applyFont="1" applyFill="1" applyBorder="1" applyAlignment="1">
      <alignment horizontal="center" vertical="center"/>
    </xf>
    <xf numFmtId="3" fontId="74" fillId="0" borderId="1" xfId="0" applyNumberFormat="1" applyFont="1" applyFill="1" applyBorder="1" applyAlignment="1">
      <alignment horizontal="center"/>
    </xf>
    <xf numFmtId="3" fontId="76" fillId="0" borderId="1" xfId="0" applyNumberFormat="1" applyFont="1" applyFill="1" applyBorder="1" applyAlignment="1">
      <alignment horizontal="center"/>
    </xf>
    <xf numFmtId="3" fontId="74" fillId="0" borderId="1" xfId="0" applyNumberFormat="1" applyFont="1" applyFill="1" applyBorder="1"/>
    <xf numFmtId="0" fontId="70" fillId="0" borderId="1" xfId="0" applyFont="1" applyFill="1" applyBorder="1" applyAlignment="1">
      <alignment horizontal="center" vertical="center"/>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7"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9" fillId="0" borderId="0" xfId="0" applyNumberFormat="1" applyFont="1" applyFill="1" applyBorder="1" applyAlignment="1" applyProtection="1"/>
    <xf numFmtId="0" fontId="80"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1" fillId="0" borderId="0" xfId="0" applyNumberFormat="1" applyFont="1" applyFill="1" applyBorder="1" applyAlignment="1" applyProtection="1">
      <alignment horizontal="left" vertical="center"/>
    </xf>
    <xf numFmtId="0" fontId="75" fillId="0" borderId="0" xfId="0" applyNumberFormat="1" applyFont="1" applyFill="1" applyBorder="1" applyAlignment="1" applyProtection="1">
      <alignment horizontal="left"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4"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5"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5"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5"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6"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6" fillId="0" borderId="0" xfId="0" applyNumberFormat="1" applyFont="1" applyFill="1" applyBorder="1" applyAlignment="1" applyProtection="1">
      <alignment horizontal="center" vertical="center"/>
    </xf>
    <xf numFmtId="3" fontId="86"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2"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2" fillId="0" borderId="23" xfId="0" applyNumberFormat="1" applyFont="1" applyFill="1" applyBorder="1" applyAlignment="1" applyProtection="1">
      <alignment horizontal="center" vertical="center"/>
    </xf>
    <xf numFmtId="168" fontId="86"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2" fillId="0" borderId="45" xfId="0" applyNumberFormat="1" applyFont="1" applyFill="1" applyBorder="1" applyAlignment="1" applyProtection="1">
      <alignment horizontal="center" vertical="center"/>
    </xf>
    <xf numFmtId="164" fontId="82"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2"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173" fontId="10" fillId="0" borderId="0" xfId="2" applyNumberFormat="1" applyFont="1" applyFill="1"/>
    <xf numFmtId="0" fontId="38" fillId="0" borderId="0" xfId="2" applyFont="1" applyFill="1"/>
    <xf numFmtId="4" fontId="10" fillId="0" borderId="0" xfId="2" applyNumberFormat="1" applyFont="1" applyFill="1"/>
    <xf numFmtId="172" fontId="75" fillId="0" borderId="1" xfId="0" applyNumberFormat="1" applyFont="1" applyFill="1" applyBorder="1" applyAlignment="1">
      <alignment horizontal="center" vertical="center" wrapText="1"/>
    </xf>
    <xf numFmtId="4" fontId="38" fillId="0" borderId="2"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74" fillId="0" borderId="20" xfId="0" applyFont="1" applyFill="1" applyBorder="1" applyAlignment="1">
      <alignment horizontal="center" vertical="center"/>
    </xf>
    <xf numFmtId="0" fontId="70" fillId="0" borderId="1" xfId="0"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3"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4"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3" t="s">
        <v>611</v>
      </c>
      <c r="B5" s="353"/>
      <c r="C5" s="353"/>
      <c r="D5" s="107"/>
      <c r="E5" s="107"/>
      <c r="F5" s="107"/>
      <c r="G5" s="107"/>
      <c r="H5" s="107"/>
      <c r="I5" s="107"/>
      <c r="J5" s="107"/>
    </row>
    <row r="6" spans="1:22" s="11" customFormat="1" ht="18.75" x14ac:dyDescent="0.3">
      <c r="A6" s="16"/>
      <c r="F6" s="15"/>
      <c r="G6" s="15"/>
      <c r="H6" s="14"/>
    </row>
    <row r="7" spans="1:22" s="11" customFormat="1" ht="18.75" x14ac:dyDescent="0.2">
      <c r="A7" s="357" t="s">
        <v>7</v>
      </c>
      <c r="B7" s="357"/>
      <c r="C7" s="35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0" t="s">
        <v>561</v>
      </c>
      <c r="B9" s="360"/>
      <c r="C9" s="360"/>
      <c r="D9" s="7"/>
      <c r="E9" s="7"/>
      <c r="F9" s="7"/>
      <c r="G9" s="7"/>
      <c r="H9" s="7"/>
      <c r="I9" s="12"/>
      <c r="J9" s="12"/>
      <c r="K9" s="12"/>
      <c r="L9" s="12"/>
      <c r="M9" s="12"/>
      <c r="N9" s="12"/>
      <c r="O9" s="12"/>
      <c r="P9" s="12"/>
      <c r="Q9" s="12"/>
      <c r="R9" s="12"/>
      <c r="S9" s="12"/>
      <c r="T9" s="12"/>
      <c r="U9" s="12"/>
      <c r="V9" s="12"/>
    </row>
    <row r="10" spans="1:22" s="11" customFormat="1" ht="18.75" x14ac:dyDescent="0.2">
      <c r="A10" s="354" t="s">
        <v>6</v>
      </c>
      <c r="B10" s="354"/>
      <c r="C10" s="35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8" t="s">
        <v>594</v>
      </c>
      <c r="B12" s="358"/>
      <c r="C12" s="358"/>
      <c r="D12" s="7"/>
      <c r="E12" s="7"/>
      <c r="F12" s="7"/>
      <c r="G12" s="7"/>
      <c r="H12" s="7"/>
      <c r="I12" s="12"/>
      <c r="J12" s="12"/>
      <c r="K12" s="12"/>
      <c r="L12" s="12"/>
      <c r="M12" s="12"/>
      <c r="N12" s="12"/>
      <c r="O12" s="12"/>
      <c r="P12" s="12"/>
      <c r="Q12" s="12"/>
      <c r="R12" s="12"/>
      <c r="S12" s="12"/>
      <c r="T12" s="12"/>
      <c r="U12" s="12"/>
      <c r="V12" s="12"/>
    </row>
    <row r="13" spans="1:22" s="11" customFormat="1" ht="18.75" x14ac:dyDescent="0.2">
      <c r="A13" s="354" t="s">
        <v>5</v>
      </c>
      <c r="B13" s="354"/>
      <c r="C13" s="35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59" t="s">
        <v>595</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4" t="s">
        <v>4</v>
      </c>
      <c r="B16" s="354"/>
      <c r="C16" s="35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408</v>
      </c>
      <c r="B18" s="356"/>
      <c r="C18" s="35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578</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0"/>
      <c r="B24" s="351"/>
      <c r="C24" s="352"/>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588</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579</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0"/>
      <c r="B39" s="351"/>
      <c r="C39" s="352"/>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0"/>
      <c r="B47" s="351"/>
      <c r="C47" s="352"/>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49">
        <f>'6.2. Паспорт фин осв ввод'!D30</f>
        <v>12.36</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49">
        <f>'6.2. Паспорт фин осв ввод'!D24</f>
        <v>14.831999999999999</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51"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3" t="str">
        <f>'1. паспорт местоположение'!A5:C5</f>
        <v>Год раскрытия информации: 2021 год</v>
      </c>
      <c r="B5" s="353"/>
      <c r="C5" s="353"/>
      <c r="D5" s="353"/>
      <c r="E5" s="353"/>
      <c r="F5" s="353"/>
      <c r="G5" s="353"/>
      <c r="H5" s="353"/>
      <c r="I5" s="353"/>
      <c r="J5" s="353"/>
      <c r="K5" s="353"/>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row>
    <row r="10" spans="1:43" x14ac:dyDescent="0.25">
      <c r="A10" s="361" t="s">
        <v>6</v>
      </c>
      <c r="B10" s="361"/>
      <c r="C10" s="361"/>
      <c r="D10" s="361"/>
      <c r="E10" s="361"/>
      <c r="F10" s="361"/>
      <c r="G10" s="361"/>
      <c r="H10" s="361"/>
      <c r="I10" s="361"/>
      <c r="J10" s="361"/>
      <c r="K10" s="361"/>
    </row>
    <row r="11" spans="1:43" ht="18.75" x14ac:dyDescent="0.25">
      <c r="A11" s="365"/>
      <c r="B11" s="365"/>
      <c r="C11" s="365"/>
      <c r="D11" s="365"/>
      <c r="E11" s="365"/>
      <c r="F11" s="365"/>
      <c r="G11" s="365"/>
      <c r="H11" s="365"/>
      <c r="I11" s="365"/>
      <c r="J11" s="365"/>
      <c r="K11" s="365"/>
    </row>
    <row r="12" spans="1:43" x14ac:dyDescent="0.25">
      <c r="A12" s="360" t="str">
        <f>'1. паспорт местоположение'!A12:C12</f>
        <v>K 20-01</v>
      </c>
      <c r="B12" s="360"/>
      <c r="C12" s="360"/>
      <c r="D12" s="360"/>
      <c r="E12" s="360"/>
      <c r="F12" s="360"/>
      <c r="G12" s="360"/>
      <c r="H12" s="360"/>
      <c r="I12" s="360"/>
      <c r="J12" s="360"/>
      <c r="K12" s="360"/>
    </row>
    <row r="13" spans="1:43" x14ac:dyDescent="0.25">
      <c r="A13" s="361" t="s">
        <v>5</v>
      </c>
      <c r="B13" s="361"/>
      <c r="C13" s="361"/>
      <c r="D13" s="361"/>
      <c r="E13" s="361"/>
      <c r="F13" s="361"/>
      <c r="G13" s="361"/>
      <c r="H13" s="361"/>
      <c r="I13" s="361"/>
      <c r="J13" s="361"/>
      <c r="K13" s="361"/>
    </row>
    <row r="14" spans="1:43" ht="18.75" x14ac:dyDescent="0.25">
      <c r="A14" s="366"/>
      <c r="B14" s="366"/>
      <c r="C14" s="366"/>
      <c r="D14" s="366"/>
      <c r="E14" s="366"/>
      <c r="F14" s="366"/>
      <c r="G14" s="366"/>
      <c r="H14" s="366"/>
      <c r="I14" s="366"/>
      <c r="J14" s="366"/>
      <c r="K14" s="366"/>
    </row>
    <row r="15" spans="1:43" x14ac:dyDescent="0.25">
      <c r="A15" s="360" t="str">
        <f>'1. паспорт местоположение'!A15:C15</f>
        <v>Создание интеллектуальной системы учета электрической энергии</v>
      </c>
      <c r="B15" s="360"/>
      <c r="C15" s="360"/>
      <c r="D15" s="360"/>
      <c r="E15" s="360"/>
      <c r="F15" s="360"/>
      <c r="G15" s="360"/>
      <c r="H15" s="360"/>
      <c r="I15" s="360"/>
      <c r="J15" s="360"/>
      <c r="K15" s="360"/>
    </row>
    <row r="16" spans="1:43" x14ac:dyDescent="0.25">
      <c r="A16" s="354" t="s">
        <v>4</v>
      </c>
      <c r="B16" s="354"/>
      <c r="C16" s="354"/>
      <c r="D16" s="354"/>
      <c r="E16" s="354"/>
      <c r="F16" s="354"/>
      <c r="G16" s="354"/>
      <c r="H16" s="354"/>
      <c r="I16" s="354"/>
      <c r="J16" s="354"/>
      <c r="K16" s="354"/>
    </row>
    <row r="17" spans="1:11" ht="15.75" customHeight="1" x14ac:dyDescent="0.25"/>
    <row r="18" spans="1:11" x14ac:dyDescent="0.25">
      <c r="K18" s="70"/>
    </row>
    <row r="19" spans="1:11" ht="15.75" customHeight="1" x14ac:dyDescent="0.25">
      <c r="A19" s="419" t="s">
        <v>392</v>
      </c>
      <c r="B19" s="419"/>
      <c r="C19" s="419"/>
      <c r="D19" s="419"/>
      <c r="E19" s="419"/>
      <c r="F19" s="419"/>
      <c r="G19" s="419"/>
      <c r="H19" s="419"/>
      <c r="I19" s="419"/>
      <c r="J19" s="419"/>
      <c r="K19" s="419"/>
    </row>
    <row r="20" spans="1:11" x14ac:dyDescent="0.25">
      <c r="A20" s="48"/>
      <c r="B20" s="48"/>
      <c r="C20" s="69"/>
      <c r="D20" s="69"/>
      <c r="E20" s="69"/>
      <c r="F20" s="69"/>
      <c r="G20" s="69"/>
      <c r="H20" s="69"/>
      <c r="I20" s="69"/>
      <c r="J20" s="69"/>
      <c r="K20" s="69"/>
    </row>
    <row r="21" spans="1:11" ht="28.5" customHeight="1" x14ac:dyDescent="0.25">
      <c r="A21" s="420" t="s">
        <v>199</v>
      </c>
      <c r="B21" s="420" t="s">
        <v>484</v>
      </c>
      <c r="C21" s="420" t="s">
        <v>351</v>
      </c>
      <c r="D21" s="420"/>
      <c r="E21" s="420"/>
      <c r="F21" s="420"/>
      <c r="G21" s="420"/>
      <c r="H21" s="420"/>
      <c r="I21" s="421" t="s">
        <v>198</v>
      </c>
      <c r="J21" s="422" t="s">
        <v>352</v>
      </c>
      <c r="K21" s="420" t="s">
        <v>197</v>
      </c>
    </row>
    <row r="22" spans="1:11" ht="58.5" customHeight="1" x14ac:dyDescent="0.25">
      <c r="A22" s="420"/>
      <c r="B22" s="420"/>
      <c r="C22" s="425" t="s">
        <v>538</v>
      </c>
      <c r="D22" s="425"/>
      <c r="E22" s="425" t="s">
        <v>9</v>
      </c>
      <c r="F22" s="425"/>
      <c r="G22" s="425" t="s">
        <v>539</v>
      </c>
      <c r="H22" s="425"/>
      <c r="I22" s="421"/>
      <c r="J22" s="423"/>
      <c r="K22" s="420"/>
    </row>
    <row r="23" spans="1:11" ht="31.5" x14ac:dyDescent="0.25">
      <c r="A23" s="420"/>
      <c r="B23" s="420"/>
      <c r="C23" s="203" t="s">
        <v>196</v>
      </c>
      <c r="D23" s="203" t="s">
        <v>195</v>
      </c>
      <c r="E23" s="203" t="s">
        <v>196</v>
      </c>
      <c r="F23" s="203" t="s">
        <v>195</v>
      </c>
      <c r="G23" s="203" t="s">
        <v>196</v>
      </c>
      <c r="H23" s="203" t="s">
        <v>195</v>
      </c>
      <c r="I23" s="421"/>
      <c r="J23" s="424"/>
      <c r="K23" s="42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20"/>
      <c r="H25" s="220"/>
      <c r="I25" s="220"/>
      <c r="J25" s="199"/>
      <c r="K25" s="200"/>
    </row>
    <row r="26" spans="1:11" s="51" customFormat="1" x14ac:dyDescent="0.25">
      <c r="A26" s="208" t="s">
        <v>485</v>
      </c>
      <c r="B26" s="213" t="s">
        <v>486</v>
      </c>
      <c r="C26" s="210" t="s">
        <v>435</v>
      </c>
      <c r="D26" s="210" t="s">
        <v>435</v>
      </c>
      <c r="E26" s="221">
        <v>42859</v>
      </c>
      <c r="F26" s="221">
        <v>42859</v>
      </c>
      <c r="G26" s="210" t="s">
        <v>435</v>
      </c>
      <c r="H26" s="210" t="s">
        <v>435</v>
      </c>
      <c r="I26" s="222"/>
      <c r="J26" s="199"/>
      <c r="K26" s="200"/>
    </row>
    <row r="27" spans="1:11" s="51" customFormat="1" ht="31.5" x14ac:dyDescent="0.25">
      <c r="A27" s="208" t="s">
        <v>487</v>
      </c>
      <c r="B27" s="213" t="s">
        <v>488</v>
      </c>
      <c r="C27" s="210" t="s">
        <v>435</v>
      </c>
      <c r="D27" s="210" t="s">
        <v>435</v>
      </c>
      <c r="E27" s="221">
        <v>42807</v>
      </c>
      <c r="F27" s="221">
        <v>42807</v>
      </c>
      <c r="G27" s="210" t="s">
        <v>435</v>
      </c>
      <c r="H27" s="210" t="s">
        <v>435</v>
      </c>
      <c r="I27" s="222"/>
      <c r="J27" s="199"/>
      <c r="K27" s="200"/>
    </row>
    <row r="28" spans="1:11" s="51" customFormat="1" ht="63" x14ac:dyDescent="0.25">
      <c r="A28" s="208" t="s">
        <v>490</v>
      </c>
      <c r="B28" s="213" t="s">
        <v>489</v>
      </c>
      <c r="C28" s="210" t="s">
        <v>435</v>
      </c>
      <c r="D28" s="210" t="s">
        <v>435</v>
      </c>
      <c r="E28" s="221" t="s">
        <v>435</v>
      </c>
      <c r="F28" s="221" t="s">
        <v>435</v>
      </c>
      <c r="G28" s="210" t="s">
        <v>435</v>
      </c>
      <c r="H28" s="210" t="s">
        <v>435</v>
      </c>
      <c r="I28" s="222"/>
      <c r="J28" s="199"/>
      <c r="K28" s="200"/>
    </row>
    <row r="29" spans="1:11" s="51" customFormat="1" ht="31.5" x14ac:dyDescent="0.25">
      <c r="A29" s="208" t="s">
        <v>492</v>
      </c>
      <c r="B29" s="213" t="s">
        <v>491</v>
      </c>
      <c r="C29" s="210" t="s">
        <v>435</v>
      </c>
      <c r="D29" s="210" t="s">
        <v>435</v>
      </c>
      <c r="E29" s="221" t="s">
        <v>435</v>
      </c>
      <c r="F29" s="221" t="s">
        <v>435</v>
      </c>
      <c r="G29" s="210" t="s">
        <v>435</v>
      </c>
      <c r="H29" s="210" t="s">
        <v>435</v>
      </c>
      <c r="I29" s="222"/>
      <c r="J29" s="199"/>
      <c r="K29" s="200"/>
    </row>
    <row r="30" spans="1:11" s="51" customFormat="1" ht="31.5" x14ac:dyDescent="0.25">
      <c r="A30" s="208" t="s">
        <v>494</v>
      </c>
      <c r="B30" s="213" t="s">
        <v>493</v>
      </c>
      <c r="C30" s="210" t="s">
        <v>435</v>
      </c>
      <c r="D30" s="210" t="s">
        <v>435</v>
      </c>
      <c r="E30" s="221" t="s">
        <v>435</v>
      </c>
      <c r="F30" s="221" t="s">
        <v>435</v>
      </c>
      <c r="G30" s="210" t="s">
        <v>435</v>
      </c>
      <c r="H30" s="210" t="s">
        <v>435</v>
      </c>
      <c r="I30" s="222"/>
      <c r="J30" s="199"/>
      <c r="K30" s="200"/>
    </row>
    <row r="31" spans="1:11" s="51" customFormat="1" ht="31.5" x14ac:dyDescent="0.25">
      <c r="A31" s="208" t="s">
        <v>496</v>
      </c>
      <c r="B31" s="213" t="s">
        <v>495</v>
      </c>
      <c r="C31" s="210">
        <v>43862</v>
      </c>
      <c r="D31" s="210">
        <v>43961</v>
      </c>
      <c r="E31" s="221">
        <v>41806</v>
      </c>
      <c r="F31" s="221">
        <v>41806</v>
      </c>
      <c r="G31" s="210">
        <v>43862</v>
      </c>
      <c r="H31" s="210">
        <v>43961</v>
      </c>
      <c r="I31" s="222"/>
      <c r="J31" s="199"/>
      <c r="K31" s="200"/>
    </row>
    <row r="32" spans="1:11" ht="31.5" x14ac:dyDescent="0.25">
      <c r="A32" s="208" t="s">
        <v>498</v>
      </c>
      <c r="B32" s="213" t="s">
        <v>497</v>
      </c>
      <c r="C32" s="210">
        <v>43966</v>
      </c>
      <c r="D32" s="210">
        <v>43981</v>
      </c>
      <c r="E32" s="221">
        <v>42597</v>
      </c>
      <c r="F32" s="221">
        <v>42597</v>
      </c>
      <c r="G32" s="210">
        <v>43966</v>
      </c>
      <c r="H32" s="210">
        <v>43981</v>
      </c>
      <c r="I32" s="222"/>
      <c r="J32" s="199"/>
      <c r="K32" s="200"/>
    </row>
    <row r="33" spans="1:11" ht="47.25" x14ac:dyDescent="0.25">
      <c r="A33" s="208" t="s">
        <v>500</v>
      </c>
      <c r="B33" s="213" t="s">
        <v>499</v>
      </c>
      <c r="C33" s="210" t="s">
        <v>435</v>
      </c>
      <c r="D33" s="210" t="s">
        <v>435</v>
      </c>
      <c r="E33" s="221">
        <v>42720</v>
      </c>
      <c r="F33" s="221">
        <v>42720</v>
      </c>
      <c r="G33" s="210" t="s">
        <v>435</v>
      </c>
      <c r="H33" s="210" t="s">
        <v>435</v>
      </c>
      <c r="I33" s="222"/>
      <c r="J33" s="199"/>
      <c r="K33" s="200"/>
    </row>
    <row r="34" spans="1:11" ht="63" x14ac:dyDescent="0.25">
      <c r="A34" s="208" t="s">
        <v>502</v>
      </c>
      <c r="B34" s="213" t="s">
        <v>501</v>
      </c>
      <c r="C34" s="210" t="s">
        <v>550</v>
      </c>
      <c r="D34" s="210" t="s">
        <v>550</v>
      </c>
      <c r="E34" s="221" t="s">
        <v>435</v>
      </c>
      <c r="F34" s="221" t="s">
        <v>435</v>
      </c>
      <c r="G34" s="210" t="s">
        <v>550</v>
      </c>
      <c r="H34" s="210" t="s">
        <v>550</v>
      </c>
      <c r="I34" s="222"/>
      <c r="J34" s="201"/>
      <c r="K34" s="201"/>
    </row>
    <row r="35" spans="1:11" ht="31.5" x14ac:dyDescent="0.25">
      <c r="A35" s="208" t="s">
        <v>503</v>
      </c>
      <c r="B35" s="213" t="s">
        <v>193</v>
      </c>
      <c r="C35" s="210">
        <v>43981</v>
      </c>
      <c r="D35" s="210">
        <v>43981</v>
      </c>
      <c r="E35" s="221">
        <v>42731</v>
      </c>
      <c r="F35" s="221">
        <v>42731</v>
      </c>
      <c r="G35" s="210">
        <v>43981</v>
      </c>
      <c r="H35" s="210">
        <v>43981</v>
      </c>
      <c r="I35" s="222"/>
      <c r="J35" s="201"/>
      <c r="K35" s="201"/>
    </row>
    <row r="36" spans="1:11" ht="31.5" x14ac:dyDescent="0.25">
      <c r="A36" s="208" t="s">
        <v>505</v>
      </c>
      <c r="B36" s="213" t="s">
        <v>504</v>
      </c>
      <c r="C36" s="210" t="s">
        <v>550</v>
      </c>
      <c r="D36" s="210" t="s">
        <v>550</v>
      </c>
      <c r="E36" s="221">
        <v>42993</v>
      </c>
      <c r="F36" s="221">
        <v>42993</v>
      </c>
      <c r="G36" s="210" t="s">
        <v>550</v>
      </c>
      <c r="H36" s="210" t="s">
        <v>550</v>
      </c>
      <c r="I36" s="222"/>
      <c r="J36" s="212"/>
      <c r="K36" s="200"/>
    </row>
    <row r="37" spans="1:11" x14ac:dyDescent="0.25">
      <c r="A37" s="208" t="s">
        <v>506</v>
      </c>
      <c r="B37" s="213" t="s">
        <v>192</v>
      </c>
      <c r="C37" s="210">
        <v>43966</v>
      </c>
      <c r="D37" s="210">
        <v>43981</v>
      </c>
      <c r="E37" s="221">
        <v>43054</v>
      </c>
      <c r="F37" s="221">
        <v>43305</v>
      </c>
      <c r="G37" s="210">
        <v>43966</v>
      </c>
      <c r="H37" s="210">
        <v>43981</v>
      </c>
      <c r="I37" s="222"/>
      <c r="J37" s="202"/>
      <c r="K37" s="200"/>
    </row>
    <row r="38" spans="1:11" x14ac:dyDescent="0.25">
      <c r="A38" s="211" t="s">
        <v>507</v>
      </c>
      <c r="B38" s="214" t="s">
        <v>191</v>
      </c>
      <c r="C38" s="210"/>
      <c r="D38" s="210"/>
      <c r="E38" s="221"/>
      <c r="F38" s="221"/>
      <c r="G38" s="210"/>
      <c r="H38" s="210"/>
      <c r="I38" s="222"/>
      <c r="J38" s="200"/>
      <c r="K38" s="200"/>
    </row>
    <row r="39" spans="1:11" ht="63" x14ac:dyDescent="0.25">
      <c r="A39" s="208" t="s">
        <v>509</v>
      </c>
      <c r="B39" s="213" t="s">
        <v>508</v>
      </c>
      <c r="C39" s="210">
        <v>43840</v>
      </c>
      <c r="D39" s="210">
        <v>43845</v>
      </c>
      <c r="E39" s="221">
        <v>42843</v>
      </c>
      <c r="F39" s="221">
        <v>42843</v>
      </c>
      <c r="G39" s="210">
        <v>43840</v>
      </c>
      <c r="H39" s="210">
        <v>43845</v>
      </c>
      <c r="I39" s="222"/>
      <c r="J39" s="200"/>
      <c r="K39" s="200"/>
    </row>
    <row r="40" spans="1:11" x14ac:dyDescent="0.25">
      <c r="A40" s="208" t="s">
        <v>511</v>
      </c>
      <c r="B40" s="213" t="s">
        <v>510</v>
      </c>
      <c r="C40" s="210">
        <v>43952</v>
      </c>
      <c r="D40" s="210">
        <v>44134</v>
      </c>
      <c r="E40" s="221">
        <v>43038</v>
      </c>
      <c r="F40" s="221">
        <v>43038</v>
      </c>
      <c r="G40" s="210">
        <v>43952</v>
      </c>
      <c r="H40" s="210">
        <v>44134</v>
      </c>
      <c r="I40" s="222"/>
      <c r="J40" s="200"/>
      <c r="K40" s="200"/>
    </row>
    <row r="41" spans="1:11" ht="47.25" x14ac:dyDescent="0.25">
      <c r="A41" s="208" t="s">
        <v>513</v>
      </c>
      <c r="B41" s="214" t="s">
        <v>512</v>
      </c>
      <c r="C41" s="210"/>
      <c r="D41" s="210"/>
      <c r="E41" s="221"/>
      <c r="F41" s="221"/>
      <c r="G41" s="210"/>
      <c r="H41" s="210"/>
      <c r="I41" s="222"/>
      <c r="J41" s="200"/>
      <c r="K41" s="200"/>
    </row>
    <row r="42" spans="1:11" ht="31.5" x14ac:dyDescent="0.25">
      <c r="A42" s="208" t="s">
        <v>515</v>
      </c>
      <c r="B42" s="213" t="s">
        <v>514</v>
      </c>
      <c r="C42" s="210">
        <v>43967</v>
      </c>
      <c r="D42" s="210">
        <v>43997</v>
      </c>
      <c r="E42" s="221">
        <v>43070</v>
      </c>
      <c r="F42" s="221">
        <v>43097</v>
      </c>
      <c r="G42" s="210">
        <v>43967</v>
      </c>
      <c r="H42" s="210">
        <v>43997</v>
      </c>
      <c r="I42" s="222"/>
      <c r="J42" s="200"/>
      <c r="K42" s="200"/>
    </row>
    <row r="43" spans="1:11" x14ac:dyDescent="0.25">
      <c r="A43" s="208" t="s">
        <v>516</v>
      </c>
      <c r="B43" s="213" t="s">
        <v>190</v>
      </c>
      <c r="C43" s="232">
        <v>43983</v>
      </c>
      <c r="D43" s="232">
        <v>44134</v>
      </c>
      <c r="E43" s="221">
        <v>43054</v>
      </c>
      <c r="F43" s="221">
        <v>43218</v>
      </c>
      <c r="G43" s="232">
        <v>43983</v>
      </c>
      <c r="H43" s="232">
        <v>44134</v>
      </c>
      <c r="I43" s="222"/>
      <c r="J43" s="200"/>
      <c r="K43" s="200"/>
    </row>
    <row r="44" spans="1:11" x14ac:dyDescent="0.25">
      <c r="A44" s="208" t="s">
        <v>517</v>
      </c>
      <c r="B44" s="213" t="s">
        <v>189</v>
      </c>
      <c r="C44" s="232">
        <v>43983</v>
      </c>
      <c r="D44" s="232">
        <v>44682</v>
      </c>
      <c r="E44" s="221">
        <v>43084</v>
      </c>
      <c r="F44" s="221">
        <v>43266</v>
      </c>
      <c r="G44" s="232">
        <v>43983</v>
      </c>
      <c r="H44" s="232">
        <v>44682</v>
      </c>
      <c r="I44" s="222"/>
      <c r="J44" s="200"/>
      <c r="K44" s="200"/>
    </row>
    <row r="45" spans="1:11" ht="78.75" x14ac:dyDescent="0.25">
      <c r="A45" s="208" t="s">
        <v>519</v>
      </c>
      <c r="B45" s="213" t="s">
        <v>518</v>
      </c>
      <c r="C45" s="232">
        <v>44317</v>
      </c>
      <c r="D45" s="232">
        <v>44803</v>
      </c>
      <c r="E45" s="221">
        <v>43343</v>
      </c>
      <c r="F45" s="221">
        <v>43343</v>
      </c>
      <c r="G45" s="232">
        <v>44317</v>
      </c>
      <c r="H45" s="232">
        <v>44803</v>
      </c>
      <c r="I45" s="222"/>
      <c r="J45" s="200"/>
      <c r="K45" s="200"/>
    </row>
    <row r="46" spans="1:11" ht="157.5" x14ac:dyDescent="0.25">
      <c r="A46" s="208" t="s">
        <v>521</v>
      </c>
      <c r="B46" s="213" t="s">
        <v>520</v>
      </c>
      <c r="C46" s="232" t="s">
        <v>435</v>
      </c>
      <c r="D46" s="232" t="s">
        <v>435</v>
      </c>
      <c r="E46" s="221">
        <v>43319</v>
      </c>
      <c r="F46" s="221">
        <v>43319</v>
      </c>
      <c r="G46" s="232" t="s">
        <v>435</v>
      </c>
      <c r="H46" s="232" t="s">
        <v>435</v>
      </c>
      <c r="I46" s="222"/>
      <c r="J46" s="200"/>
      <c r="K46" s="200"/>
    </row>
    <row r="47" spans="1:11" x14ac:dyDescent="0.25">
      <c r="A47" s="208" t="s">
        <v>532</v>
      </c>
      <c r="B47" s="213" t="s">
        <v>188</v>
      </c>
      <c r="C47" s="233">
        <v>44317</v>
      </c>
      <c r="D47" s="232">
        <v>44803</v>
      </c>
      <c r="E47" s="221">
        <v>43220</v>
      </c>
      <c r="F47" s="221">
        <v>43318</v>
      </c>
      <c r="G47" s="233">
        <v>44317</v>
      </c>
      <c r="H47" s="232">
        <v>44803</v>
      </c>
      <c r="I47" s="222"/>
      <c r="J47" s="200"/>
      <c r="K47" s="200"/>
    </row>
    <row r="48" spans="1:11" ht="31.5" x14ac:dyDescent="0.25">
      <c r="A48" s="208" t="s">
        <v>522</v>
      </c>
      <c r="B48" s="214" t="s">
        <v>187</v>
      </c>
      <c r="C48" s="210"/>
      <c r="D48" s="210"/>
      <c r="E48" s="221"/>
      <c r="F48" s="221"/>
      <c r="G48" s="210"/>
      <c r="H48" s="210"/>
      <c r="I48" s="222"/>
      <c r="J48" s="200"/>
      <c r="K48" s="200"/>
    </row>
    <row r="49" spans="1:11" ht="31.5" x14ac:dyDescent="0.25">
      <c r="A49" s="208" t="s">
        <v>533</v>
      </c>
      <c r="B49" s="213" t="s">
        <v>186</v>
      </c>
      <c r="C49" s="210">
        <v>44803</v>
      </c>
      <c r="D49" s="210">
        <v>44803</v>
      </c>
      <c r="E49" s="221">
        <v>43318</v>
      </c>
      <c r="F49" s="221">
        <v>43320</v>
      </c>
      <c r="G49" s="210">
        <v>44803</v>
      </c>
      <c r="H49" s="210">
        <v>44803</v>
      </c>
      <c r="I49" s="222"/>
      <c r="J49" s="200"/>
      <c r="K49" s="200"/>
    </row>
    <row r="50" spans="1:11" ht="78.75" x14ac:dyDescent="0.25">
      <c r="A50" s="211" t="s">
        <v>524</v>
      </c>
      <c r="B50" s="213" t="s">
        <v>523</v>
      </c>
      <c r="C50" s="210"/>
      <c r="D50" s="210"/>
      <c r="E50" s="221">
        <v>43343</v>
      </c>
      <c r="F50" s="221">
        <v>43343</v>
      </c>
      <c r="G50" s="210"/>
      <c r="H50" s="210"/>
      <c r="I50" s="222"/>
      <c r="J50" s="200"/>
      <c r="K50" s="200"/>
    </row>
    <row r="51" spans="1:11" ht="63" x14ac:dyDescent="0.25">
      <c r="A51" s="208" t="s">
        <v>526</v>
      </c>
      <c r="B51" s="213" t="s">
        <v>525</v>
      </c>
      <c r="C51" s="210">
        <v>44834</v>
      </c>
      <c r="D51" s="210">
        <v>44834</v>
      </c>
      <c r="E51" s="221">
        <v>43343</v>
      </c>
      <c r="F51" s="221">
        <v>43343</v>
      </c>
      <c r="G51" s="210">
        <v>44834</v>
      </c>
      <c r="H51" s="210">
        <v>44834</v>
      </c>
      <c r="I51" s="222"/>
      <c r="J51" s="200"/>
      <c r="K51" s="200"/>
    </row>
    <row r="52" spans="1:11" ht="63" x14ac:dyDescent="0.25">
      <c r="A52" s="208" t="s">
        <v>527</v>
      </c>
      <c r="B52" s="213" t="s">
        <v>185</v>
      </c>
      <c r="C52" s="210" t="s">
        <v>435</v>
      </c>
      <c r="D52" s="210" t="s">
        <v>435</v>
      </c>
      <c r="E52" s="221"/>
      <c r="F52" s="221"/>
      <c r="G52" s="210" t="s">
        <v>435</v>
      </c>
      <c r="H52" s="210" t="s">
        <v>435</v>
      </c>
      <c r="I52" s="222"/>
      <c r="J52" s="200"/>
      <c r="K52" s="200"/>
    </row>
    <row r="53" spans="1:11" ht="31.5" x14ac:dyDescent="0.25">
      <c r="A53" s="208" t="s">
        <v>529</v>
      </c>
      <c r="B53" s="213" t="s">
        <v>528</v>
      </c>
      <c r="C53" s="234">
        <v>44059</v>
      </c>
      <c r="D53" s="210">
        <v>44824</v>
      </c>
      <c r="E53" s="221">
        <v>43343</v>
      </c>
      <c r="F53" s="221">
        <v>43343</v>
      </c>
      <c r="G53" s="234">
        <v>44059</v>
      </c>
      <c r="H53" s="210">
        <v>44824</v>
      </c>
      <c r="I53" s="222"/>
      <c r="J53" s="200"/>
      <c r="K53" s="200"/>
    </row>
    <row r="54" spans="1:11" ht="31.5" x14ac:dyDescent="0.25">
      <c r="A54" s="208" t="s">
        <v>534</v>
      </c>
      <c r="B54" s="213" t="s">
        <v>184</v>
      </c>
      <c r="C54" s="234">
        <f>D53</f>
        <v>44824</v>
      </c>
      <c r="D54" s="234">
        <v>44825</v>
      </c>
      <c r="E54" s="221">
        <v>43353</v>
      </c>
      <c r="F54" s="221">
        <v>43353</v>
      </c>
      <c r="G54" s="234">
        <v>44824</v>
      </c>
      <c r="H54" s="234">
        <v>44825</v>
      </c>
      <c r="I54" s="222"/>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6" t="str">
        <f>'1. паспорт местоположение'!A5:C5</f>
        <v>Год раскрытия информации: 2021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44"/>
      <c r="B5" s="44"/>
      <c r="C5" s="44"/>
      <c r="D5" s="44"/>
      <c r="E5" s="44"/>
      <c r="F5" s="44"/>
      <c r="L5" s="44"/>
      <c r="M5" s="44"/>
      <c r="T5" s="44"/>
      <c r="U5" s="44"/>
      <c r="AC5" s="14"/>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7" t="str">
        <f>'1. паспорт местоположение'!A9:C9</f>
        <v xml:space="preserve">Акционерное общество "Западная энергетическая компания" </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7" t="str">
        <f>'1. паспорт местоположение'!A12:C12</f>
        <v>K 20-01</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8" t="str">
        <f>'1. паспорт местоположение'!A15:C15</f>
        <v>Создание интеллектуальной системы учета электрической энергии</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4" t="s">
        <v>393</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0" t="s">
        <v>183</v>
      </c>
      <c r="B20" s="430" t="s">
        <v>182</v>
      </c>
      <c r="C20" s="425" t="s">
        <v>181</v>
      </c>
      <c r="D20" s="425"/>
      <c r="E20" s="433" t="s">
        <v>180</v>
      </c>
      <c r="F20" s="433"/>
      <c r="G20" s="430" t="s">
        <v>423</v>
      </c>
      <c r="H20" s="436" t="s">
        <v>424</v>
      </c>
      <c r="I20" s="437"/>
      <c r="J20" s="437"/>
      <c r="K20" s="437"/>
      <c r="L20" s="436" t="s">
        <v>425</v>
      </c>
      <c r="M20" s="437"/>
      <c r="N20" s="437"/>
      <c r="O20" s="437"/>
      <c r="P20" s="436" t="s">
        <v>426</v>
      </c>
      <c r="Q20" s="437"/>
      <c r="R20" s="437"/>
      <c r="S20" s="437"/>
      <c r="T20" s="436" t="s">
        <v>439</v>
      </c>
      <c r="U20" s="437"/>
      <c r="V20" s="437"/>
      <c r="W20" s="437"/>
      <c r="X20" s="436" t="s">
        <v>440</v>
      </c>
      <c r="Y20" s="437"/>
      <c r="Z20" s="437"/>
      <c r="AA20" s="437"/>
      <c r="AB20" s="435" t="s">
        <v>179</v>
      </c>
      <c r="AC20" s="435"/>
      <c r="AD20" s="65"/>
      <c r="AE20" s="65"/>
      <c r="AF20" s="65"/>
    </row>
    <row r="21" spans="1:32" ht="99.75" customHeight="1" x14ac:dyDescent="0.25">
      <c r="A21" s="431"/>
      <c r="B21" s="431"/>
      <c r="C21" s="425"/>
      <c r="D21" s="425"/>
      <c r="E21" s="433"/>
      <c r="F21" s="433"/>
      <c r="G21" s="431"/>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35"/>
      <c r="AC21" s="435"/>
    </row>
    <row r="22" spans="1:32" ht="89.25" customHeight="1" x14ac:dyDescent="0.25">
      <c r="A22" s="432"/>
      <c r="B22" s="432"/>
      <c r="C22" s="62" t="s">
        <v>2</v>
      </c>
      <c r="D22" s="62" t="s">
        <v>178</v>
      </c>
      <c r="E22" s="64" t="s">
        <v>438</v>
      </c>
      <c r="F22" s="64" t="s">
        <v>483</v>
      </c>
      <c r="G22" s="43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40"/>
      <c r="C66" s="440"/>
      <c r="D66" s="440"/>
      <c r="E66" s="440"/>
      <c r="F66" s="440"/>
      <c r="G66" s="440"/>
      <c r="H66" s="440"/>
      <c r="I66" s="44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1"/>
      <c r="C68" s="441"/>
      <c r="D68" s="441"/>
      <c r="E68" s="441"/>
      <c r="F68" s="441"/>
      <c r="G68" s="441"/>
      <c r="H68" s="441"/>
      <c r="I68" s="44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40"/>
      <c r="C70" s="440"/>
      <c r="D70" s="440"/>
      <c r="E70" s="440"/>
      <c r="F70" s="440"/>
      <c r="G70" s="440"/>
      <c r="H70" s="440"/>
      <c r="I70" s="44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40"/>
      <c r="C72" s="440"/>
      <c r="D72" s="440"/>
      <c r="E72" s="440"/>
      <c r="F72" s="440"/>
      <c r="G72" s="440"/>
      <c r="H72" s="440"/>
      <c r="I72" s="44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1"/>
      <c r="C73" s="441"/>
      <c r="D73" s="441"/>
      <c r="E73" s="441"/>
      <c r="F73" s="441"/>
      <c r="G73" s="441"/>
      <c r="H73" s="441"/>
      <c r="I73" s="44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40"/>
      <c r="C74" s="440"/>
      <c r="D74" s="440"/>
      <c r="E74" s="440"/>
      <c r="F74" s="440"/>
      <c r="G74" s="440"/>
      <c r="H74" s="440"/>
      <c r="I74" s="44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8"/>
      <c r="C75" s="438"/>
      <c r="D75" s="438"/>
      <c r="E75" s="438"/>
      <c r="F75" s="438"/>
      <c r="G75" s="438"/>
      <c r="H75" s="438"/>
      <c r="I75" s="43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9"/>
      <c r="C77" s="439"/>
      <c r="D77" s="439"/>
      <c r="E77" s="439"/>
      <c r="F77" s="439"/>
      <c r="G77" s="439"/>
      <c r="H77" s="439"/>
      <c r="I77" s="43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119" priority="26" operator="notEqual">
      <formula>0</formula>
    </cfRule>
  </conditionalFormatting>
  <conditionalFormatting sqref="AB24:AB64">
    <cfRule type="cellIs" dxfId="118" priority="25" operator="notEqual">
      <formula>0</formula>
    </cfRule>
  </conditionalFormatting>
  <conditionalFormatting sqref="I34 K25:M29 K46:K49 K55:K56 K51:M51 K58:M64 Q44:Q50 M46:M50 L45:L50 Q52:Q57 L52:M57 O52:O57 O35:Q43 O44:O50 O58:Q64 O51:Q51 O25:Q29 P31:Q34 K31:M44">
    <cfRule type="cellIs" dxfId="117" priority="24" operator="notEqual">
      <formula>0</formula>
    </cfRule>
  </conditionalFormatting>
  <conditionalFormatting sqref="G30:I30 K30:M30 O30:Y30">
    <cfRule type="cellIs" dxfId="116" priority="23" operator="notEqual">
      <formula>0</formula>
    </cfRule>
  </conditionalFormatting>
  <conditionalFormatting sqref="E45:I45">
    <cfRule type="cellIs" dxfId="115" priority="22" operator="notEqual">
      <formula>0</formula>
    </cfRule>
  </conditionalFormatting>
  <conditionalFormatting sqref="K45 M45">
    <cfRule type="cellIs" dxfId="114" priority="21" operator="notEqual">
      <formula>0</formula>
    </cfRule>
  </conditionalFormatting>
  <conditionalFormatting sqref="E52:I54">
    <cfRule type="cellIs" dxfId="113" priority="20" operator="notEqual">
      <formula>0</formula>
    </cfRule>
  </conditionalFormatting>
  <conditionalFormatting sqref="K52:K54">
    <cfRule type="cellIs" dxfId="112" priority="19" operator="notEqual">
      <formula>0</formula>
    </cfRule>
  </conditionalFormatting>
  <conditionalFormatting sqref="K50">
    <cfRule type="cellIs" dxfId="111" priority="17" operator="notEqual">
      <formula>0</formula>
    </cfRule>
  </conditionalFormatting>
  <conditionalFormatting sqref="K57">
    <cfRule type="cellIs" dxfId="110" priority="15" operator="notEqual">
      <formula>0</formula>
    </cfRule>
  </conditionalFormatting>
  <conditionalFormatting sqref="P44:P50">
    <cfRule type="cellIs" dxfId="109" priority="14" operator="notEqual">
      <formula>0</formula>
    </cfRule>
  </conditionalFormatting>
  <conditionalFormatting sqref="P52:P57">
    <cfRule type="cellIs" dxfId="108" priority="13" operator="notEqual">
      <formula>0</formula>
    </cfRule>
  </conditionalFormatting>
  <conditionalFormatting sqref="D24:D64">
    <cfRule type="cellIs" dxfId="107" priority="12" operator="notEqual">
      <formula>0</formula>
    </cfRule>
  </conditionalFormatting>
  <conditionalFormatting sqref="Z31:AA64 Z24:AA29">
    <cfRule type="cellIs" dxfId="106" priority="11" operator="notEqual">
      <formula>0</formula>
    </cfRule>
  </conditionalFormatting>
  <conditionalFormatting sqref="Z30:AA30">
    <cfRule type="cellIs" dxfId="105" priority="10" operator="notEqual">
      <formula>0</formula>
    </cfRule>
  </conditionalFormatting>
  <conditionalFormatting sqref="J55:J64 J46:J51 J31:J44 J24:J29">
    <cfRule type="cellIs" dxfId="104" priority="9" operator="notEqual">
      <formula>0</formula>
    </cfRule>
  </conditionalFormatting>
  <conditionalFormatting sqref="J30">
    <cfRule type="cellIs" dxfId="103" priority="8" operator="notEqual">
      <formula>0</formula>
    </cfRule>
  </conditionalFormatting>
  <conditionalFormatting sqref="J45">
    <cfRule type="cellIs" dxfId="102" priority="7" operator="notEqual">
      <formula>0</formula>
    </cfRule>
  </conditionalFormatting>
  <conditionalFormatting sqref="J52:J54">
    <cfRule type="cellIs" dxfId="101" priority="6" operator="notEqual">
      <formula>0</formula>
    </cfRule>
  </conditionalFormatting>
  <conditionalFormatting sqref="AC24:AC64">
    <cfRule type="cellIs" dxfId="100" priority="5" operator="notEqual">
      <formula>0</formula>
    </cfRule>
  </conditionalFormatting>
  <conditionalFormatting sqref="N24">
    <cfRule type="cellIs" dxfId="99" priority="4" operator="notEqual">
      <formula>0</formula>
    </cfRule>
  </conditionalFormatting>
  <conditionalFormatting sqref="N25:N29 N31:N64">
    <cfRule type="cellIs" dxfId="98" priority="3" operator="notEqual">
      <formula>0</formula>
    </cfRule>
  </conditionalFormatting>
  <conditionalFormatting sqref="N30">
    <cfRule type="cellIs" dxfId="97" priority="2" operator="notEqual">
      <formula>0</formula>
    </cfRule>
  </conditionalFormatting>
  <conditionalFormatting sqref="O31:O34">
    <cfRule type="cellIs" dxfId="9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zoomScale="70" zoomScaleNormal="70" zoomScaleSheetLayoutView="70" workbookViewId="0">
      <selection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6.14062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17.85546875" style="44" customWidth="1"/>
    <col min="34" max="16384" width="9.140625" style="44"/>
  </cols>
  <sheetData>
    <row r="1" spans="1:33" ht="18.75" x14ac:dyDescent="0.25">
      <c r="AG1" s="340" t="s">
        <v>66</v>
      </c>
    </row>
    <row r="2" spans="1:33" ht="18.75" x14ac:dyDescent="0.3">
      <c r="AG2" s="341" t="s">
        <v>8</v>
      </c>
    </row>
    <row r="3" spans="1:33" ht="18.75" x14ac:dyDescent="0.3">
      <c r="AG3" s="341" t="s">
        <v>65</v>
      </c>
    </row>
    <row r="4" spans="1:33" ht="18.75" customHeight="1" x14ac:dyDescent="0.25">
      <c r="A4" s="353" t="str">
        <f>'6.1. Паспорт сетевой график'!A5:K5</f>
        <v>Год раскрытия информации: 2021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row>
    <row r="5" spans="1:33" ht="18.75" x14ac:dyDescent="0.3">
      <c r="AG5" s="341"/>
    </row>
    <row r="6" spans="1:33"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c r="AD6" s="443"/>
      <c r="AE6" s="443"/>
      <c r="AF6" s="443"/>
      <c r="AG6" s="443"/>
    </row>
    <row r="7" spans="1:33" ht="18.75" x14ac:dyDescent="0.25">
      <c r="A7" s="342"/>
      <c r="B7" s="342"/>
      <c r="C7" s="342"/>
      <c r="D7" s="342"/>
      <c r="E7" s="342"/>
      <c r="F7" s="342"/>
      <c r="G7" s="342"/>
      <c r="H7" s="342"/>
      <c r="I7" s="342"/>
      <c r="J7" s="342"/>
      <c r="K7" s="3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44" t="str">
        <f>'6.1. Паспорт сетевой график'!A9</f>
        <v xml:space="preserve">Акционерное общество "Западная энергетическая компания"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row>
    <row r="9" spans="1:33"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row>
    <row r="10" spans="1:33" ht="18.75" x14ac:dyDescent="0.25">
      <c r="A10" s="342"/>
      <c r="B10" s="342"/>
      <c r="C10" s="342"/>
      <c r="D10" s="342"/>
      <c r="E10" s="342"/>
      <c r="F10" s="342"/>
      <c r="G10" s="342"/>
      <c r="H10" s="342"/>
      <c r="I10" s="342"/>
      <c r="J10" s="342"/>
      <c r="K10" s="3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44" t="str">
        <f>'6.1. Паспорт сетевой график'!A12</f>
        <v>K 20-01</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row>
    <row r="12" spans="1:33"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5" t="str">
        <f>'6.1. Паспорт сетевой график'!A15</f>
        <v>Создание интеллектуальной системы учета электрической энергии</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row>
    <row r="15" spans="1:33"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row>
    <row r="16" spans="1:33"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row>
    <row r="18" spans="1:36" x14ac:dyDescent="0.25">
      <c r="A18" s="434" t="s">
        <v>393</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c r="AD18" s="434"/>
      <c r="AE18" s="434"/>
      <c r="AF18" s="434"/>
      <c r="AG18" s="434"/>
    </row>
    <row r="19" spans="1:36" ht="49.5" hidden="1" customHeight="1" x14ac:dyDescent="0.25">
      <c r="E19" s="64" t="s">
        <v>553</v>
      </c>
      <c r="F19" s="64" t="s">
        <v>554</v>
      </c>
      <c r="K19" s="64" t="s">
        <v>555</v>
      </c>
      <c r="L19" s="44" t="s">
        <v>556</v>
      </c>
      <c r="P19" s="44" t="s">
        <v>557</v>
      </c>
      <c r="T19" s="44" t="s">
        <v>558</v>
      </c>
    </row>
    <row r="20" spans="1:36" ht="33" customHeight="1" x14ac:dyDescent="0.25">
      <c r="A20" s="430" t="s">
        <v>183</v>
      </c>
      <c r="B20" s="430" t="s">
        <v>182</v>
      </c>
      <c r="C20" s="425" t="s">
        <v>181</v>
      </c>
      <c r="D20" s="425"/>
      <c r="E20" s="446" t="s">
        <v>180</v>
      </c>
      <c r="F20" s="446"/>
      <c r="G20" s="430"/>
      <c r="H20" s="430" t="s">
        <v>536</v>
      </c>
      <c r="I20" s="430" t="s">
        <v>537</v>
      </c>
      <c r="J20" s="430" t="s">
        <v>559</v>
      </c>
      <c r="K20" s="430" t="s">
        <v>596</v>
      </c>
      <c r="L20" s="436">
        <v>2020</v>
      </c>
      <c r="M20" s="437"/>
      <c r="N20" s="437"/>
      <c r="O20" s="447"/>
      <c r="P20" s="436">
        <v>2021</v>
      </c>
      <c r="Q20" s="437"/>
      <c r="R20" s="437"/>
      <c r="S20" s="447"/>
      <c r="T20" s="436">
        <v>2022</v>
      </c>
      <c r="U20" s="437"/>
      <c r="V20" s="437"/>
      <c r="W20" s="447"/>
      <c r="X20" s="436">
        <v>2023</v>
      </c>
      <c r="Y20" s="437"/>
      <c r="Z20" s="437"/>
      <c r="AA20" s="447"/>
      <c r="AB20" s="436">
        <v>2024</v>
      </c>
      <c r="AC20" s="437"/>
      <c r="AD20" s="437"/>
      <c r="AE20" s="437"/>
      <c r="AF20" s="435" t="s">
        <v>179</v>
      </c>
      <c r="AG20" s="435"/>
      <c r="AH20" s="343"/>
      <c r="AI20" s="343"/>
      <c r="AJ20" s="343"/>
    </row>
    <row r="21" spans="1:36" ht="99.75" customHeight="1" x14ac:dyDescent="0.25">
      <c r="A21" s="431"/>
      <c r="B21" s="431"/>
      <c r="C21" s="425"/>
      <c r="D21" s="425"/>
      <c r="E21" s="446"/>
      <c r="F21" s="446"/>
      <c r="G21" s="431"/>
      <c r="H21" s="431"/>
      <c r="I21" s="431"/>
      <c r="J21" s="431"/>
      <c r="K21" s="431"/>
      <c r="L21" s="425" t="s">
        <v>2</v>
      </c>
      <c r="M21" s="425"/>
      <c r="N21" s="425" t="s">
        <v>9</v>
      </c>
      <c r="O21" s="425"/>
      <c r="P21" s="425" t="s">
        <v>2</v>
      </c>
      <c r="Q21" s="425"/>
      <c r="R21" s="425" t="s">
        <v>539</v>
      </c>
      <c r="S21" s="425"/>
      <c r="T21" s="425" t="s">
        <v>2</v>
      </c>
      <c r="U21" s="425"/>
      <c r="V21" s="425" t="s">
        <v>178</v>
      </c>
      <c r="W21" s="425"/>
      <c r="X21" s="425" t="s">
        <v>2</v>
      </c>
      <c r="Y21" s="425"/>
      <c r="Z21" s="425" t="s">
        <v>178</v>
      </c>
      <c r="AA21" s="425"/>
      <c r="AB21" s="425" t="s">
        <v>2</v>
      </c>
      <c r="AC21" s="425"/>
      <c r="AD21" s="425" t="s">
        <v>178</v>
      </c>
      <c r="AE21" s="425"/>
      <c r="AF21" s="435"/>
      <c r="AG21" s="435"/>
    </row>
    <row r="22" spans="1:36" ht="89.25" customHeight="1" x14ac:dyDescent="0.25">
      <c r="A22" s="432"/>
      <c r="B22" s="432"/>
      <c r="C22" s="335" t="s">
        <v>2</v>
      </c>
      <c r="D22" s="335" t="s">
        <v>178</v>
      </c>
      <c r="E22" s="64" t="s">
        <v>549</v>
      </c>
      <c r="F22" s="64" t="s">
        <v>612</v>
      </c>
      <c r="G22" s="432"/>
      <c r="H22" s="432"/>
      <c r="I22" s="432"/>
      <c r="J22" s="432"/>
      <c r="K22" s="432"/>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5" t="s">
        <v>560</v>
      </c>
      <c r="AG22" s="335" t="s">
        <v>540</v>
      </c>
    </row>
    <row r="23" spans="1:36" ht="19.5" customHeight="1" x14ac:dyDescent="0.25">
      <c r="A23" s="334">
        <v>1</v>
      </c>
      <c r="B23" s="334">
        <v>2</v>
      </c>
      <c r="C23" s="334">
        <v>3</v>
      </c>
      <c r="D23" s="334">
        <v>4</v>
      </c>
      <c r="E23" s="334">
        <v>5</v>
      </c>
      <c r="F23" s="334">
        <v>6</v>
      </c>
      <c r="G23" s="334"/>
      <c r="H23" s="334"/>
      <c r="I23" s="334"/>
      <c r="J23" s="334">
        <v>16</v>
      </c>
      <c r="K23" s="334">
        <v>7</v>
      </c>
      <c r="L23" s="334">
        <v>8</v>
      </c>
      <c r="M23" s="334">
        <v>9</v>
      </c>
      <c r="N23" s="334">
        <v>10</v>
      </c>
      <c r="O23" s="334">
        <v>11</v>
      </c>
      <c r="P23" s="334">
        <v>12</v>
      </c>
      <c r="Q23" s="334">
        <v>13</v>
      </c>
      <c r="R23" s="334">
        <v>14</v>
      </c>
      <c r="S23" s="334">
        <v>15</v>
      </c>
      <c r="T23" s="334">
        <v>16</v>
      </c>
      <c r="U23" s="334">
        <v>17</v>
      </c>
      <c r="V23" s="334">
        <v>18</v>
      </c>
      <c r="W23" s="334">
        <v>19</v>
      </c>
      <c r="X23" s="334">
        <v>20</v>
      </c>
      <c r="Y23" s="334">
        <v>21</v>
      </c>
      <c r="Z23" s="334">
        <v>22</v>
      </c>
      <c r="AA23" s="334">
        <v>23</v>
      </c>
      <c r="AB23" s="334">
        <v>24</v>
      </c>
      <c r="AC23" s="334">
        <v>25</v>
      </c>
      <c r="AD23" s="334">
        <v>26</v>
      </c>
      <c r="AE23" s="334">
        <v>27</v>
      </c>
      <c r="AF23" s="334">
        <v>28</v>
      </c>
      <c r="AG23" s="334">
        <v>29</v>
      </c>
    </row>
    <row r="24" spans="1:36" ht="47.25" customHeight="1" x14ac:dyDescent="0.25">
      <c r="A24" s="60">
        <v>1</v>
      </c>
      <c r="B24" s="59" t="s">
        <v>177</v>
      </c>
      <c r="C24" s="119">
        <v>14.5</v>
      </c>
      <c r="D24" s="119">
        <f>D27</f>
        <v>14.831999999999999</v>
      </c>
      <c r="E24" s="119">
        <f>C24</f>
        <v>14.5</v>
      </c>
      <c r="F24" s="119">
        <f>D24-N24</f>
        <v>6.7021659999999983</v>
      </c>
      <c r="G24" s="119">
        <v>0</v>
      </c>
      <c r="H24" s="119">
        <v>0</v>
      </c>
      <c r="I24" s="119">
        <v>0</v>
      </c>
      <c r="J24" s="119">
        <v>0</v>
      </c>
      <c r="K24" s="119">
        <v>0</v>
      </c>
      <c r="L24" s="119">
        <f>SUM(L25:L29)</f>
        <v>7.68</v>
      </c>
      <c r="M24" s="119">
        <v>0</v>
      </c>
      <c r="N24" s="119">
        <f>SUM(N25:N29)</f>
        <v>8.1298340000000007</v>
      </c>
      <c r="O24" s="119" t="s">
        <v>541</v>
      </c>
      <c r="P24" s="119">
        <v>5.1926631555802443</v>
      </c>
      <c r="Q24" s="119">
        <v>0</v>
      </c>
      <c r="R24" s="119">
        <v>5.1926631555802443</v>
      </c>
      <c r="S24" s="119" t="s">
        <v>541</v>
      </c>
      <c r="T24" s="119">
        <f>C24-L24-P24</f>
        <v>1.627336844419756</v>
      </c>
      <c r="U24" s="119">
        <v>0</v>
      </c>
      <c r="V24" s="119">
        <f>D24-N24-R24</f>
        <v>1.509502844419754</v>
      </c>
      <c r="W24" s="119">
        <v>0</v>
      </c>
      <c r="X24" s="119">
        <v>0</v>
      </c>
      <c r="Y24" s="119">
        <v>0</v>
      </c>
      <c r="Z24" s="119">
        <v>0</v>
      </c>
      <c r="AA24" s="119">
        <v>0</v>
      </c>
      <c r="AB24" s="119">
        <v>0</v>
      </c>
      <c r="AC24" s="119">
        <v>0</v>
      </c>
      <c r="AD24" s="119">
        <v>0</v>
      </c>
      <c r="AE24" s="119">
        <v>0</v>
      </c>
      <c r="AF24" s="119">
        <f>L24+P24+T24</f>
        <v>14.5</v>
      </c>
      <c r="AG24" s="119">
        <f>N24+R24+V24+Z24+AD24</f>
        <v>14.831999999999997</v>
      </c>
      <c r="AH24" s="344"/>
    </row>
    <row r="25" spans="1:36" ht="24" customHeight="1" x14ac:dyDescent="0.25">
      <c r="A25" s="57" t="s">
        <v>176</v>
      </c>
      <c r="B25" s="33" t="s">
        <v>175</v>
      </c>
      <c r="C25" s="119">
        <v>0</v>
      </c>
      <c r="D25" s="119">
        <v>0</v>
      </c>
      <c r="E25" s="119">
        <f t="shared" ref="E25:E64" si="0">C25</f>
        <v>0</v>
      </c>
      <c r="F25" s="119">
        <f t="shared" ref="F25:F64" si="1">D25-N25</f>
        <v>0</v>
      </c>
      <c r="G25" s="119">
        <v>0</v>
      </c>
      <c r="H25" s="119">
        <v>0</v>
      </c>
      <c r="I25" s="119">
        <v>0</v>
      </c>
      <c r="J25" s="119">
        <v>0</v>
      </c>
      <c r="K25" s="121">
        <v>0</v>
      </c>
      <c r="L25" s="121">
        <v>0</v>
      </c>
      <c r="M25" s="121">
        <v>0</v>
      </c>
      <c r="N25" s="121">
        <v>0</v>
      </c>
      <c r="O25" s="121" t="s">
        <v>541</v>
      </c>
      <c r="P25" s="121">
        <v>0</v>
      </c>
      <c r="Q25" s="121">
        <v>0</v>
      </c>
      <c r="R25" s="121">
        <v>0</v>
      </c>
      <c r="S25" s="121" t="s">
        <v>541</v>
      </c>
      <c r="T25" s="119">
        <f t="shared" ref="T25:T34" si="2">C25-L25-P25</f>
        <v>0</v>
      </c>
      <c r="U25" s="121">
        <v>0</v>
      </c>
      <c r="V25" s="119">
        <f t="shared" ref="V25:V34" si="3">D25-N25-R25</f>
        <v>0</v>
      </c>
      <c r="W25" s="119">
        <v>0</v>
      </c>
      <c r="X25" s="121">
        <v>0</v>
      </c>
      <c r="Y25" s="121">
        <v>0</v>
      </c>
      <c r="Z25" s="121">
        <v>0</v>
      </c>
      <c r="AA25" s="119">
        <v>0</v>
      </c>
      <c r="AB25" s="121">
        <v>0</v>
      </c>
      <c r="AC25" s="121">
        <v>0</v>
      </c>
      <c r="AD25" s="119">
        <v>0</v>
      </c>
      <c r="AE25" s="119">
        <v>0</v>
      </c>
      <c r="AF25" s="119">
        <f t="shared" ref="AF25:AF34" si="4">L25+P25+T25</f>
        <v>0</v>
      </c>
      <c r="AG25" s="119">
        <f t="shared" ref="AG25:AG64" si="5">N25+R25+V25+Z25+AD25</f>
        <v>0</v>
      </c>
    </row>
    <row r="26" spans="1:36" x14ac:dyDescent="0.25">
      <c r="A26" s="57" t="s">
        <v>174</v>
      </c>
      <c r="B26" s="33" t="s">
        <v>173</v>
      </c>
      <c r="C26" s="119">
        <v>0</v>
      </c>
      <c r="D26" s="119">
        <v>0</v>
      </c>
      <c r="E26" s="119">
        <f t="shared" si="0"/>
        <v>0</v>
      </c>
      <c r="F26" s="119">
        <f t="shared" si="1"/>
        <v>0</v>
      </c>
      <c r="G26" s="119">
        <v>0</v>
      </c>
      <c r="H26" s="119">
        <v>0</v>
      </c>
      <c r="I26" s="119">
        <v>0</v>
      </c>
      <c r="J26" s="119">
        <v>0</v>
      </c>
      <c r="K26" s="121">
        <v>0</v>
      </c>
      <c r="L26" s="121">
        <v>0</v>
      </c>
      <c r="M26" s="121">
        <v>0</v>
      </c>
      <c r="N26" s="121">
        <v>0</v>
      </c>
      <c r="O26" s="121" t="s">
        <v>541</v>
      </c>
      <c r="P26" s="121">
        <v>0</v>
      </c>
      <c r="Q26" s="121">
        <v>0</v>
      </c>
      <c r="R26" s="121">
        <v>0</v>
      </c>
      <c r="S26" s="121" t="s">
        <v>541</v>
      </c>
      <c r="T26" s="119">
        <f t="shared" si="2"/>
        <v>0</v>
      </c>
      <c r="U26" s="121">
        <v>0</v>
      </c>
      <c r="V26" s="119">
        <f t="shared" si="3"/>
        <v>0</v>
      </c>
      <c r="W26" s="119">
        <v>0</v>
      </c>
      <c r="X26" s="121">
        <v>0</v>
      </c>
      <c r="Y26" s="121">
        <v>0</v>
      </c>
      <c r="Z26" s="121">
        <v>0</v>
      </c>
      <c r="AA26" s="119">
        <v>0</v>
      </c>
      <c r="AB26" s="121">
        <v>0</v>
      </c>
      <c r="AC26" s="121">
        <v>0</v>
      </c>
      <c r="AD26" s="119">
        <v>0</v>
      </c>
      <c r="AE26" s="119">
        <v>0</v>
      </c>
      <c r="AF26" s="119">
        <f t="shared" si="4"/>
        <v>0</v>
      </c>
      <c r="AG26" s="119">
        <f t="shared" si="5"/>
        <v>0</v>
      </c>
    </row>
    <row r="27" spans="1:36" ht="31.5" x14ac:dyDescent="0.25">
      <c r="A27" s="57" t="s">
        <v>172</v>
      </c>
      <c r="B27" s="33" t="s">
        <v>356</v>
      </c>
      <c r="C27" s="119">
        <v>14.5</v>
      </c>
      <c r="D27" s="119">
        <f>D30*1.2</f>
        <v>14.831999999999999</v>
      </c>
      <c r="E27" s="119">
        <f t="shared" si="0"/>
        <v>14.5</v>
      </c>
      <c r="F27" s="119">
        <f t="shared" si="1"/>
        <v>6.7021659999999983</v>
      </c>
      <c r="G27" s="119">
        <v>0</v>
      </c>
      <c r="H27" s="119">
        <v>0</v>
      </c>
      <c r="I27" s="119">
        <v>0</v>
      </c>
      <c r="J27" s="119">
        <v>0</v>
      </c>
      <c r="K27" s="121">
        <v>0</v>
      </c>
      <c r="L27" s="121">
        <v>7.68</v>
      </c>
      <c r="M27" s="121">
        <v>0</v>
      </c>
      <c r="N27" s="119">
        <v>8.1298340000000007</v>
      </c>
      <c r="O27" s="121" t="s">
        <v>541</v>
      </c>
      <c r="P27" s="121">
        <v>5.1926631555802443</v>
      </c>
      <c r="Q27" s="121">
        <v>0</v>
      </c>
      <c r="R27" s="121">
        <v>5.1926631555802443</v>
      </c>
      <c r="S27" s="121" t="s">
        <v>541</v>
      </c>
      <c r="T27" s="119">
        <f t="shared" si="2"/>
        <v>1.627336844419756</v>
      </c>
      <c r="U27" s="121">
        <v>0</v>
      </c>
      <c r="V27" s="119">
        <f t="shared" si="3"/>
        <v>1.509502844419754</v>
      </c>
      <c r="W27" s="119">
        <v>0</v>
      </c>
      <c r="X27" s="121">
        <v>0</v>
      </c>
      <c r="Y27" s="121">
        <v>0</v>
      </c>
      <c r="Z27" s="121">
        <v>0</v>
      </c>
      <c r="AA27" s="119">
        <v>0</v>
      </c>
      <c r="AB27" s="121">
        <v>0</v>
      </c>
      <c r="AC27" s="121">
        <v>0</v>
      </c>
      <c r="AD27" s="119">
        <v>0</v>
      </c>
      <c r="AE27" s="119">
        <v>0</v>
      </c>
      <c r="AF27" s="119">
        <f t="shared" si="4"/>
        <v>14.5</v>
      </c>
      <c r="AG27" s="119">
        <f t="shared" si="5"/>
        <v>14.831999999999997</v>
      </c>
    </row>
    <row r="28" spans="1:36" x14ac:dyDescent="0.25">
      <c r="A28" s="57" t="s">
        <v>171</v>
      </c>
      <c r="B28" s="33" t="s">
        <v>542</v>
      </c>
      <c r="C28" s="119">
        <v>0</v>
      </c>
      <c r="D28" s="119">
        <v>0</v>
      </c>
      <c r="E28" s="119">
        <f t="shared" si="0"/>
        <v>0</v>
      </c>
      <c r="F28" s="119">
        <f t="shared" si="1"/>
        <v>0</v>
      </c>
      <c r="G28" s="119">
        <v>0</v>
      </c>
      <c r="H28" s="119">
        <v>0</v>
      </c>
      <c r="I28" s="119">
        <v>0</v>
      </c>
      <c r="J28" s="119">
        <v>0</v>
      </c>
      <c r="K28" s="121">
        <v>0</v>
      </c>
      <c r="L28" s="121">
        <v>0</v>
      </c>
      <c r="M28" s="121">
        <v>0</v>
      </c>
      <c r="N28" s="121">
        <v>0</v>
      </c>
      <c r="O28" s="121" t="s">
        <v>541</v>
      </c>
      <c r="P28" s="121">
        <v>0</v>
      </c>
      <c r="Q28" s="121">
        <v>0</v>
      </c>
      <c r="R28" s="121">
        <v>0</v>
      </c>
      <c r="S28" s="121" t="s">
        <v>541</v>
      </c>
      <c r="T28" s="119">
        <f t="shared" si="2"/>
        <v>0</v>
      </c>
      <c r="U28" s="121">
        <v>0</v>
      </c>
      <c r="V28" s="119">
        <f t="shared" si="3"/>
        <v>0</v>
      </c>
      <c r="W28" s="119">
        <v>0</v>
      </c>
      <c r="X28" s="121">
        <v>0</v>
      </c>
      <c r="Y28" s="121">
        <v>0</v>
      </c>
      <c r="Z28" s="121">
        <v>0</v>
      </c>
      <c r="AA28" s="119">
        <v>0</v>
      </c>
      <c r="AB28" s="121">
        <v>0</v>
      </c>
      <c r="AC28" s="121">
        <v>0</v>
      </c>
      <c r="AD28" s="119">
        <v>0</v>
      </c>
      <c r="AE28" s="119">
        <v>0</v>
      </c>
      <c r="AF28" s="119">
        <f t="shared" si="4"/>
        <v>0</v>
      </c>
      <c r="AG28" s="119">
        <f t="shared" si="5"/>
        <v>0</v>
      </c>
    </row>
    <row r="29" spans="1:36" x14ac:dyDescent="0.25">
      <c r="A29" s="57" t="s">
        <v>169</v>
      </c>
      <c r="B29" s="61" t="s">
        <v>168</v>
      </c>
      <c r="C29" s="119">
        <v>0</v>
      </c>
      <c r="D29" s="119">
        <v>0</v>
      </c>
      <c r="E29" s="119">
        <f t="shared" si="0"/>
        <v>0</v>
      </c>
      <c r="F29" s="119">
        <f t="shared" si="1"/>
        <v>0</v>
      </c>
      <c r="G29" s="119">
        <v>0</v>
      </c>
      <c r="H29" s="119">
        <v>0</v>
      </c>
      <c r="I29" s="119">
        <v>0</v>
      </c>
      <c r="J29" s="119">
        <v>0</v>
      </c>
      <c r="K29" s="121">
        <v>0</v>
      </c>
      <c r="L29" s="121">
        <v>0</v>
      </c>
      <c r="M29" s="121">
        <v>0</v>
      </c>
      <c r="N29" s="121">
        <v>0</v>
      </c>
      <c r="O29" s="121" t="s">
        <v>541</v>
      </c>
      <c r="P29" s="121">
        <v>0</v>
      </c>
      <c r="Q29" s="121">
        <v>0</v>
      </c>
      <c r="R29" s="121">
        <v>0</v>
      </c>
      <c r="S29" s="121" t="s">
        <v>541</v>
      </c>
      <c r="T29" s="119">
        <f t="shared" si="2"/>
        <v>0</v>
      </c>
      <c r="U29" s="121">
        <v>0</v>
      </c>
      <c r="V29" s="119">
        <f t="shared" si="3"/>
        <v>0</v>
      </c>
      <c r="W29" s="119">
        <v>0</v>
      </c>
      <c r="X29" s="121">
        <v>0</v>
      </c>
      <c r="Y29" s="121">
        <v>0</v>
      </c>
      <c r="Z29" s="121">
        <v>0</v>
      </c>
      <c r="AA29" s="119">
        <v>0</v>
      </c>
      <c r="AB29" s="121">
        <v>0</v>
      </c>
      <c r="AC29" s="121">
        <v>0</v>
      </c>
      <c r="AD29" s="119">
        <v>0</v>
      </c>
      <c r="AE29" s="119">
        <v>0</v>
      </c>
      <c r="AF29" s="119">
        <f t="shared" si="4"/>
        <v>0</v>
      </c>
      <c r="AG29" s="119">
        <f t="shared" si="5"/>
        <v>0</v>
      </c>
    </row>
    <row r="30" spans="1:36" s="345" customFormat="1" ht="47.25" x14ac:dyDescent="0.25">
      <c r="A30" s="60" t="s">
        <v>61</v>
      </c>
      <c r="B30" s="59" t="s">
        <v>167</v>
      </c>
      <c r="C30" s="119">
        <v>12.36</v>
      </c>
      <c r="D30" s="119">
        <v>12.36</v>
      </c>
      <c r="E30" s="119">
        <f t="shared" si="0"/>
        <v>12.36</v>
      </c>
      <c r="F30" s="119">
        <f t="shared" si="1"/>
        <v>5.4691659999999995</v>
      </c>
      <c r="G30" s="119">
        <v>0</v>
      </c>
      <c r="H30" s="119">
        <v>0</v>
      </c>
      <c r="I30" s="119">
        <v>0</v>
      </c>
      <c r="J30" s="119">
        <v>0</v>
      </c>
      <c r="K30" s="119">
        <v>0</v>
      </c>
      <c r="L30" s="119">
        <v>6.68</v>
      </c>
      <c r="M30" s="119">
        <v>0</v>
      </c>
      <c r="N30" s="119">
        <f>SUM(N31:N34)</f>
        <v>6.8908339999999999</v>
      </c>
      <c r="O30" s="119">
        <v>0</v>
      </c>
      <c r="P30" s="119">
        <v>4.3272192963168701</v>
      </c>
      <c r="Q30" s="119">
        <v>0</v>
      </c>
      <c r="R30" s="119">
        <v>4.3272192963168701</v>
      </c>
      <c r="S30" s="119">
        <v>0</v>
      </c>
      <c r="T30" s="119">
        <f>C30-L30-P30</f>
        <v>1.3527807036831296</v>
      </c>
      <c r="U30" s="119">
        <v>0</v>
      </c>
      <c r="V30" s="119">
        <f>D30-N30-R30</f>
        <v>1.1419467036831294</v>
      </c>
      <c r="W30" s="119">
        <v>0</v>
      </c>
      <c r="X30" s="119">
        <v>0</v>
      </c>
      <c r="Y30" s="119">
        <v>0</v>
      </c>
      <c r="Z30" s="119">
        <v>0</v>
      </c>
      <c r="AA30" s="119">
        <v>0</v>
      </c>
      <c r="AB30" s="119">
        <v>0</v>
      </c>
      <c r="AC30" s="119">
        <v>0</v>
      </c>
      <c r="AD30" s="119">
        <v>0</v>
      </c>
      <c r="AE30" s="119">
        <v>0</v>
      </c>
      <c r="AF30" s="119">
        <f t="shared" si="4"/>
        <v>12.36</v>
      </c>
      <c r="AG30" s="119">
        <f>N30+R30+V30+Z30+AD30</f>
        <v>12.36</v>
      </c>
    </row>
    <row r="31" spans="1:36" x14ac:dyDescent="0.25">
      <c r="A31" s="60" t="s">
        <v>166</v>
      </c>
      <c r="B31" s="33" t="s">
        <v>165</v>
      </c>
      <c r="C31" s="348">
        <v>0</v>
      </c>
      <c r="D31" s="348">
        <v>0</v>
      </c>
      <c r="E31" s="119">
        <f t="shared" si="0"/>
        <v>0</v>
      </c>
      <c r="F31" s="119">
        <f t="shared" si="1"/>
        <v>0</v>
      </c>
      <c r="G31" s="119">
        <v>0</v>
      </c>
      <c r="H31" s="119">
        <v>0</v>
      </c>
      <c r="I31" s="119">
        <v>0</v>
      </c>
      <c r="J31" s="119">
        <v>0</v>
      </c>
      <c r="K31" s="121">
        <v>0</v>
      </c>
      <c r="L31" s="121">
        <v>0</v>
      </c>
      <c r="M31" s="121">
        <v>0</v>
      </c>
      <c r="N31" s="121">
        <v>0</v>
      </c>
      <c r="O31" s="121" t="s">
        <v>541</v>
      </c>
      <c r="P31" s="121">
        <v>0</v>
      </c>
      <c r="Q31" s="121">
        <v>0</v>
      </c>
      <c r="R31" s="121">
        <v>0</v>
      </c>
      <c r="S31" s="121" t="s">
        <v>541</v>
      </c>
      <c r="T31" s="119">
        <f t="shared" si="2"/>
        <v>0</v>
      </c>
      <c r="U31" s="121">
        <v>0</v>
      </c>
      <c r="V31" s="119">
        <f t="shared" si="3"/>
        <v>0</v>
      </c>
      <c r="W31" s="119">
        <v>0</v>
      </c>
      <c r="X31" s="121">
        <v>0</v>
      </c>
      <c r="Y31" s="121">
        <v>0</v>
      </c>
      <c r="Z31" s="121">
        <v>0</v>
      </c>
      <c r="AA31" s="119">
        <v>0</v>
      </c>
      <c r="AB31" s="121">
        <v>0</v>
      </c>
      <c r="AC31" s="121">
        <v>0</v>
      </c>
      <c r="AD31" s="119">
        <v>0</v>
      </c>
      <c r="AE31" s="119">
        <v>0</v>
      </c>
      <c r="AF31" s="119">
        <f t="shared" si="4"/>
        <v>0</v>
      </c>
      <c r="AG31" s="119">
        <f t="shared" si="5"/>
        <v>0</v>
      </c>
    </row>
    <row r="32" spans="1:36" ht="31.5" x14ac:dyDescent="0.25">
      <c r="A32" s="60" t="s">
        <v>164</v>
      </c>
      <c r="B32" s="33" t="s">
        <v>163</v>
      </c>
      <c r="C32" s="349">
        <v>6.2840212605568606</v>
      </c>
      <c r="D32" s="349">
        <v>6.2840212605568606</v>
      </c>
      <c r="E32" s="119">
        <f t="shared" si="0"/>
        <v>6.2840212605568606</v>
      </c>
      <c r="F32" s="119">
        <f t="shared" si="1"/>
        <v>2.2073652605568608</v>
      </c>
      <c r="G32" s="119">
        <v>0</v>
      </c>
      <c r="H32" s="119">
        <v>0</v>
      </c>
      <c r="I32" s="119">
        <v>0</v>
      </c>
      <c r="J32" s="119">
        <v>0</v>
      </c>
      <c r="K32" s="121">
        <v>0</v>
      </c>
      <c r="L32" s="121">
        <f>L30-L33-L34</f>
        <v>3.6851719657956217</v>
      </c>
      <c r="M32" s="121">
        <v>0</v>
      </c>
      <c r="N32" s="121">
        <v>4.0766559999999998</v>
      </c>
      <c r="O32" s="121" t="s">
        <v>541</v>
      </c>
      <c r="P32" s="121">
        <f>P30-P33</f>
        <v>1.8228683494693567</v>
      </c>
      <c r="Q32" s="121">
        <v>0</v>
      </c>
      <c r="R32" s="121">
        <v>1.8228683494693567</v>
      </c>
      <c r="S32" s="121" t="s">
        <v>541</v>
      </c>
      <c r="T32" s="119">
        <f>C32-L32-P32</f>
        <v>0.77598094529188222</v>
      </c>
      <c r="U32" s="121">
        <v>0</v>
      </c>
      <c r="V32" s="119">
        <f t="shared" si="3"/>
        <v>0.38449691108750406</v>
      </c>
      <c r="W32" s="119">
        <v>0</v>
      </c>
      <c r="X32" s="121">
        <v>0</v>
      </c>
      <c r="Y32" s="121">
        <v>0</v>
      </c>
      <c r="Z32" s="121">
        <v>0</v>
      </c>
      <c r="AA32" s="119">
        <v>0</v>
      </c>
      <c r="AB32" s="121">
        <v>0</v>
      </c>
      <c r="AC32" s="121">
        <v>0</v>
      </c>
      <c r="AD32" s="119">
        <v>0</v>
      </c>
      <c r="AE32" s="119">
        <v>0</v>
      </c>
      <c r="AF32" s="119">
        <f t="shared" si="4"/>
        <v>6.2840212605568606</v>
      </c>
      <c r="AG32" s="119">
        <f t="shared" si="5"/>
        <v>6.2840212605568606</v>
      </c>
      <c r="AH32" s="346"/>
    </row>
    <row r="33" spans="1:33" x14ac:dyDescent="0.25">
      <c r="A33" s="60" t="s">
        <v>162</v>
      </c>
      <c r="B33" s="33" t="s">
        <v>161</v>
      </c>
      <c r="C33" s="349">
        <v>6</v>
      </c>
      <c r="D33" s="349">
        <v>6</v>
      </c>
      <c r="E33" s="119">
        <f t="shared" si="0"/>
        <v>6</v>
      </c>
      <c r="F33" s="119">
        <f t="shared" si="1"/>
        <v>3.1858219999999999</v>
      </c>
      <c r="G33" s="119">
        <v>0</v>
      </c>
      <c r="H33" s="119">
        <v>0</v>
      </c>
      <c r="I33" s="119">
        <v>0</v>
      </c>
      <c r="J33" s="119">
        <v>0</v>
      </c>
      <c r="K33" s="121">
        <v>0</v>
      </c>
      <c r="L33" s="121">
        <v>2.994828034204378</v>
      </c>
      <c r="M33" s="121">
        <v>0</v>
      </c>
      <c r="N33" s="121">
        <v>2.8141780000000001</v>
      </c>
      <c r="O33" s="121" t="s">
        <v>541</v>
      </c>
      <c r="P33" s="121">
        <v>2.5043509468475134</v>
      </c>
      <c r="Q33" s="121">
        <v>0</v>
      </c>
      <c r="R33" s="121">
        <v>2.5043509468475134</v>
      </c>
      <c r="S33" s="121" t="s">
        <v>541</v>
      </c>
      <c r="T33" s="119">
        <f>C33-L33-P33</f>
        <v>0.5008210189481086</v>
      </c>
      <c r="U33" s="121">
        <v>0</v>
      </c>
      <c r="V33" s="119">
        <f t="shared" si="3"/>
        <v>0.68147105315248657</v>
      </c>
      <c r="W33" s="119">
        <v>0</v>
      </c>
      <c r="X33" s="121">
        <v>0</v>
      </c>
      <c r="Y33" s="121">
        <v>0</v>
      </c>
      <c r="Z33" s="121">
        <v>0</v>
      </c>
      <c r="AA33" s="119">
        <v>0</v>
      </c>
      <c r="AB33" s="121">
        <v>0</v>
      </c>
      <c r="AC33" s="121">
        <v>0</v>
      </c>
      <c r="AD33" s="119">
        <v>0</v>
      </c>
      <c r="AE33" s="119">
        <v>0</v>
      </c>
      <c r="AF33" s="119">
        <f t="shared" si="4"/>
        <v>6</v>
      </c>
      <c r="AG33" s="119">
        <f t="shared" si="5"/>
        <v>6</v>
      </c>
    </row>
    <row r="34" spans="1:33" x14ac:dyDescent="0.25">
      <c r="A34" s="60" t="s">
        <v>160</v>
      </c>
      <c r="B34" s="33" t="s">
        <v>159</v>
      </c>
      <c r="C34" s="347">
        <f>C30-C32-C33</f>
        <v>7.5978739443138821E-2</v>
      </c>
      <c r="D34" s="347">
        <v>7.5978739443138821E-2</v>
      </c>
      <c r="E34" s="119">
        <f t="shared" si="0"/>
        <v>7.5978739443138821E-2</v>
      </c>
      <c r="F34" s="119">
        <f t="shared" si="1"/>
        <v>7.5978739443138821E-2</v>
      </c>
      <c r="G34" s="119">
        <v>0</v>
      </c>
      <c r="H34" s="119">
        <v>0</v>
      </c>
      <c r="I34" s="119">
        <v>0</v>
      </c>
      <c r="J34" s="119">
        <v>0</v>
      </c>
      <c r="K34" s="121">
        <v>0</v>
      </c>
      <c r="L34" s="121">
        <v>0</v>
      </c>
      <c r="M34" s="121">
        <v>0</v>
      </c>
      <c r="N34" s="121">
        <v>0</v>
      </c>
      <c r="O34" s="121" t="s">
        <v>541</v>
      </c>
      <c r="P34" s="121">
        <v>0</v>
      </c>
      <c r="Q34" s="121">
        <v>0</v>
      </c>
      <c r="R34" s="121">
        <v>0</v>
      </c>
      <c r="S34" s="121" t="s">
        <v>541</v>
      </c>
      <c r="T34" s="119">
        <f t="shared" si="2"/>
        <v>7.5978739443138821E-2</v>
      </c>
      <c r="U34" s="121">
        <v>0</v>
      </c>
      <c r="V34" s="119">
        <f t="shared" si="3"/>
        <v>7.5978739443138821E-2</v>
      </c>
      <c r="W34" s="119">
        <v>0</v>
      </c>
      <c r="X34" s="121">
        <v>0</v>
      </c>
      <c r="Y34" s="121">
        <v>0</v>
      </c>
      <c r="Z34" s="121">
        <v>0</v>
      </c>
      <c r="AA34" s="119">
        <v>0</v>
      </c>
      <c r="AB34" s="121">
        <v>0</v>
      </c>
      <c r="AC34" s="121">
        <v>0</v>
      </c>
      <c r="AD34" s="119">
        <v>0</v>
      </c>
      <c r="AE34" s="119">
        <v>0</v>
      </c>
      <c r="AF34" s="119">
        <f t="shared" si="4"/>
        <v>7.5978739443138821E-2</v>
      </c>
      <c r="AG34" s="119">
        <f t="shared" si="5"/>
        <v>7.5978739443138821E-2</v>
      </c>
    </row>
    <row r="35" spans="1:33" s="345" customFormat="1" ht="31.5" x14ac:dyDescent="0.25">
      <c r="A35" s="60" t="s">
        <v>60</v>
      </c>
      <c r="B35" s="59" t="s">
        <v>158</v>
      </c>
      <c r="C35" s="119">
        <v>0</v>
      </c>
      <c r="D35" s="119">
        <v>0</v>
      </c>
      <c r="E35" s="119">
        <f t="shared" si="0"/>
        <v>0</v>
      </c>
      <c r="F35" s="119">
        <f t="shared" si="1"/>
        <v>0</v>
      </c>
      <c r="G35" s="119">
        <v>0</v>
      </c>
      <c r="H35" s="119">
        <v>0</v>
      </c>
      <c r="I35" s="119">
        <v>0</v>
      </c>
      <c r="J35" s="119">
        <v>0</v>
      </c>
      <c r="K35" s="121">
        <v>0</v>
      </c>
      <c r="L35" s="119">
        <v>0</v>
      </c>
      <c r="M35" s="119">
        <v>0</v>
      </c>
      <c r="N35" s="119">
        <v>0</v>
      </c>
      <c r="O35" s="119" t="s">
        <v>541</v>
      </c>
      <c r="P35" s="119">
        <v>0</v>
      </c>
      <c r="Q35" s="119">
        <v>0</v>
      </c>
      <c r="R35" s="119">
        <v>0</v>
      </c>
      <c r="S35" s="119" t="s">
        <v>541</v>
      </c>
      <c r="T35" s="119">
        <v>0</v>
      </c>
      <c r="U35" s="119">
        <v>0</v>
      </c>
      <c r="V35" s="119">
        <f t="shared" ref="V35:V64" si="6">D35-N35-R35</f>
        <v>0</v>
      </c>
      <c r="W35" s="119">
        <v>0</v>
      </c>
      <c r="X35" s="119">
        <v>0</v>
      </c>
      <c r="Y35" s="119">
        <v>0</v>
      </c>
      <c r="Z35" s="119">
        <v>0</v>
      </c>
      <c r="AA35" s="119">
        <v>0</v>
      </c>
      <c r="AB35" s="119">
        <v>0</v>
      </c>
      <c r="AC35" s="119">
        <v>0</v>
      </c>
      <c r="AD35" s="119">
        <v>0</v>
      </c>
      <c r="AE35" s="119">
        <v>0</v>
      </c>
      <c r="AF35" s="119">
        <v>0</v>
      </c>
      <c r="AG35" s="119">
        <f t="shared" si="5"/>
        <v>0</v>
      </c>
    </row>
    <row r="36" spans="1:33" ht="31.5" x14ac:dyDescent="0.25">
      <c r="A36" s="57" t="s">
        <v>157</v>
      </c>
      <c r="B36" s="216" t="s">
        <v>156</v>
      </c>
      <c r="C36" s="119">
        <v>0</v>
      </c>
      <c r="D36" s="119">
        <v>0</v>
      </c>
      <c r="E36" s="119">
        <f t="shared" si="0"/>
        <v>0</v>
      </c>
      <c r="F36" s="119">
        <f t="shared" si="1"/>
        <v>0</v>
      </c>
      <c r="G36" s="119">
        <v>0</v>
      </c>
      <c r="H36" s="119">
        <v>0</v>
      </c>
      <c r="I36" s="119">
        <v>0</v>
      </c>
      <c r="J36" s="119">
        <v>0</v>
      </c>
      <c r="K36" s="121">
        <v>0</v>
      </c>
      <c r="L36" s="121">
        <v>0</v>
      </c>
      <c r="M36" s="121">
        <v>0</v>
      </c>
      <c r="N36" s="121">
        <v>0</v>
      </c>
      <c r="O36" s="121" t="s">
        <v>541</v>
      </c>
      <c r="P36" s="121">
        <v>0</v>
      </c>
      <c r="Q36" s="121">
        <v>0</v>
      </c>
      <c r="R36" s="121">
        <v>0</v>
      </c>
      <c r="S36" s="121" t="s">
        <v>541</v>
      </c>
      <c r="T36" s="121">
        <v>0</v>
      </c>
      <c r="U36" s="121">
        <v>0</v>
      </c>
      <c r="V36" s="119">
        <f t="shared" si="6"/>
        <v>0</v>
      </c>
      <c r="W36" s="119">
        <v>0</v>
      </c>
      <c r="X36" s="121">
        <v>0</v>
      </c>
      <c r="Y36" s="121">
        <v>0</v>
      </c>
      <c r="Z36" s="121">
        <v>0</v>
      </c>
      <c r="AA36" s="119">
        <v>0</v>
      </c>
      <c r="AB36" s="121">
        <v>0</v>
      </c>
      <c r="AC36" s="121">
        <v>0</v>
      </c>
      <c r="AD36" s="119">
        <v>0</v>
      </c>
      <c r="AE36" s="119">
        <v>0</v>
      </c>
      <c r="AF36" s="119">
        <v>0</v>
      </c>
      <c r="AG36" s="119">
        <f t="shared" si="5"/>
        <v>0</v>
      </c>
    </row>
    <row r="37" spans="1:33" x14ac:dyDescent="0.25">
      <c r="A37" s="57" t="s">
        <v>155</v>
      </c>
      <c r="B37" s="216" t="s">
        <v>145</v>
      </c>
      <c r="C37" s="119">
        <v>0</v>
      </c>
      <c r="D37" s="119">
        <v>0</v>
      </c>
      <c r="E37" s="119">
        <f t="shared" si="0"/>
        <v>0</v>
      </c>
      <c r="F37" s="119">
        <f t="shared" si="1"/>
        <v>0</v>
      </c>
      <c r="G37" s="119">
        <v>0</v>
      </c>
      <c r="H37" s="119">
        <v>0</v>
      </c>
      <c r="I37" s="119">
        <v>0</v>
      </c>
      <c r="J37" s="119">
        <v>0</v>
      </c>
      <c r="K37" s="121">
        <v>0</v>
      </c>
      <c r="L37" s="121">
        <v>0</v>
      </c>
      <c r="M37" s="121">
        <v>0</v>
      </c>
      <c r="N37" s="121">
        <v>0</v>
      </c>
      <c r="O37" s="121" t="s">
        <v>541</v>
      </c>
      <c r="P37" s="121">
        <v>0</v>
      </c>
      <c r="Q37" s="121">
        <v>0</v>
      </c>
      <c r="R37" s="121">
        <v>0</v>
      </c>
      <c r="S37" s="121" t="s">
        <v>541</v>
      </c>
      <c r="T37" s="121">
        <v>0</v>
      </c>
      <c r="U37" s="121">
        <v>0</v>
      </c>
      <c r="V37" s="119">
        <f t="shared" si="6"/>
        <v>0</v>
      </c>
      <c r="W37" s="119">
        <v>0</v>
      </c>
      <c r="X37" s="121">
        <v>0</v>
      </c>
      <c r="Y37" s="121">
        <v>0</v>
      </c>
      <c r="Z37" s="121">
        <v>0</v>
      </c>
      <c r="AA37" s="119">
        <v>0</v>
      </c>
      <c r="AB37" s="121">
        <v>0</v>
      </c>
      <c r="AC37" s="121">
        <v>0</v>
      </c>
      <c r="AD37" s="119">
        <v>0</v>
      </c>
      <c r="AE37" s="119">
        <v>0</v>
      </c>
      <c r="AF37" s="119">
        <v>0</v>
      </c>
      <c r="AG37" s="119">
        <f t="shared" si="5"/>
        <v>0</v>
      </c>
    </row>
    <row r="38" spans="1:33" x14ac:dyDescent="0.25">
      <c r="A38" s="57" t="s">
        <v>154</v>
      </c>
      <c r="B38" s="216" t="s">
        <v>143</v>
      </c>
      <c r="C38" s="119">
        <v>0</v>
      </c>
      <c r="D38" s="119">
        <v>0</v>
      </c>
      <c r="E38" s="119">
        <f t="shared" si="0"/>
        <v>0</v>
      </c>
      <c r="F38" s="119">
        <f t="shared" si="1"/>
        <v>0</v>
      </c>
      <c r="G38" s="119">
        <v>0</v>
      </c>
      <c r="H38" s="119">
        <v>0</v>
      </c>
      <c r="I38" s="119">
        <v>0</v>
      </c>
      <c r="J38" s="119">
        <v>0</v>
      </c>
      <c r="K38" s="121">
        <v>0</v>
      </c>
      <c r="L38" s="121">
        <v>0</v>
      </c>
      <c r="M38" s="121">
        <v>0</v>
      </c>
      <c r="N38" s="121">
        <v>0</v>
      </c>
      <c r="O38" s="121" t="s">
        <v>541</v>
      </c>
      <c r="P38" s="121">
        <v>0</v>
      </c>
      <c r="Q38" s="121">
        <v>0</v>
      </c>
      <c r="R38" s="121">
        <v>0</v>
      </c>
      <c r="S38" s="121" t="s">
        <v>541</v>
      </c>
      <c r="T38" s="121">
        <v>0</v>
      </c>
      <c r="U38" s="121">
        <v>0</v>
      </c>
      <c r="V38" s="119">
        <f t="shared" si="6"/>
        <v>0</v>
      </c>
      <c r="W38" s="119">
        <v>0</v>
      </c>
      <c r="X38" s="121">
        <v>0</v>
      </c>
      <c r="Y38" s="121">
        <v>0</v>
      </c>
      <c r="Z38" s="121">
        <v>0</v>
      </c>
      <c r="AA38" s="119">
        <v>0</v>
      </c>
      <c r="AB38" s="121">
        <v>0</v>
      </c>
      <c r="AC38" s="121">
        <v>0</v>
      </c>
      <c r="AD38" s="119">
        <v>0</v>
      </c>
      <c r="AE38" s="119">
        <v>0</v>
      </c>
      <c r="AF38" s="119">
        <v>0</v>
      </c>
      <c r="AG38" s="119">
        <f t="shared" si="5"/>
        <v>0</v>
      </c>
    </row>
    <row r="39" spans="1:33" ht="31.5" x14ac:dyDescent="0.25">
      <c r="A39" s="57" t="s">
        <v>153</v>
      </c>
      <c r="B39" s="33" t="s">
        <v>141</v>
      </c>
      <c r="C39" s="119">
        <v>0</v>
      </c>
      <c r="D39" s="119">
        <v>0</v>
      </c>
      <c r="E39" s="119">
        <f t="shared" si="0"/>
        <v>0</v>
      </c>
      <c r="F39" s="119">
        <f t="shared" si="1"/>
        <v>0</v>
      </c>
      <c r="G39" s="119">
        <v>0</v>
      </c>
      <c r="H39" s="119">
        <v>0</v>
      </c>
      <c r="I39" s="119">
        <v>0</v>
      </c>
      <c r="J39" s="119">
        <v>0</v>
      </c>
      <c r="K39" s="121">
        <v>0</v>
      </c>
      <c r="L39" s="121">
        <v>0</v>
      </c>
      <c r="M39" s="121">
        <v>0</v>
      </c>
      <c r="N39" s="121">
        <v>0</v>
      </c>
      <c r="O39" s="121" t="s">
        <v>541</v>
      </c>
      <c r="P39" s="121">
        <v>0</v>
      </c>
      <c r="Q39" s="121">
        <v>0</v>
      </c>
      <c r="R39" s="121">
        <v>0</v>
      </c>
      <c r="S39" s="121" t="s">
        <v>541</v>
      </c>
      <c r="T39" s="121">
        <v>0</v>
      </c>
      <c r="U39" s="121">
        <v>0</v>
      </c>
      <c r="V39" s="119">
        <f t="shared" si="6"/>
        <v>0</v>
      </c>
      <c r="W39" s="119">
        <v>0</v>
      </c>
      <c r="X39" s="121">
        <v>0</v>
      </c>
      <c r="Y39" s="121">
        <v>0</v>
      </c>
      <c r="Z39" s="121">
        <v>0</v>
      </c>
      <c r="AA39" s="119">
        <v>0</v>
      </c>
      <c r="AB39" s="121">
        <v>0</v>
      </c>
      <c r="AC39" s="121">
        <v>0</v>
      </c>
      <c r="AD39" s="119">
        <v>0</v>
      </c>
      <c r="AE39" s="119">
        <v>0</v>
      </c>
      <c r="AF39" s="119">
        <v>0</v>
      </c>
      <c r="AG39" s="119">
        <f t="shared" si="5"/>
        <v>0</v>
      </c>
    </row>
    <row r="40" spans="1:33" ht="31.5" x14ac:dyDescent="0.25">
      <c r="A40" s="57" t="s">
        <v>152</v>
      </c>
      <c r="B40" s="33" t="s">
        <v>139</v>
      </c>
      <c r="C40" s="119">
        <v>0</v>
      </c>
      <c r="D40" s="119">
        <v>0</v>
      </c>
      <c r="E40" s="119">
        <f t="shared" si="0"/>
        <v>0</v>
      </c>
      <c r="F40" s="119">
        <f t="shared" si="1"/>
        <v>0</v>
      </c>
      <c r="G40" s="119">
        <v>0</v>
      </c>
      <c r="H40" s="119">
        <v>0</v>
      </c>
      <c r="I40" s="119">
        <v>0</v>
      </c>
      <c r="J40" s="119">
        <v>0</v>
      </c>
      <c r="K40" s="121">
        <v>0</v>
      </c>
      <c r="L40" s="121">
        <v>0</v>
      </c>
      <c r="M40" s="121">
        <v>0</v>
      </c>
      <c r="N40" s="121">
        <v>0</v>
      </c>
      <c r="O40" s="121" t="s">
        <v>541</v>
      </c>
      <c r="P40" s="121">
        <v>0</v>
      </c>
      <c r="Q40" s="121">
        <v>0</v>
      </c>
      <c r="R40" s="121">
        <v>0</v>
      </c>
      <c r="S40" s="121" t="s">
        <v>541</v>
      </c>
      <c r="T40" s="121">
        <v>0</v>
      </c>
      <c r="U40" s="121">
        <v>0</v>
      </c>
      <c r="V40" s="119">
        <f t="shared" si="6"/>
        <v>0</v>
      </c>
      <c r="W40" s="119">
        <v>0</v>
      </c>
      <c r="X40" s="121">
        <v>0</v>
      </c>
      <c r="Y40" s="121">
        <v>0</v>
      </c>
      <c r="Z40" s="121">
        <v>0</v>
      </c>
      <c r="AA40" s="119">
        <v>0</v>
      </c>
      <c r="AB40" s="121">
        <v>0</v>
      </c>
      <c r="AC40" s="121">
        <v>0</v>
      </c>
      <c r="AD40" s="119">
        <v>0</v>
      </c>
      <c r="AE40" s="119">
        <v>0</v>
      </c>
      <c r="AF40" s="119">
        <v>0</v>
      </c>
      <c r="AG40" s="119">
        <f t="shared" si="5"/>
        <v>0</v>
      </c>
    </row>
    <row r="41" spans="1:33" x14ac:dyDescent="0.25">
      <c r="A41" s="57" t="s">
        <v>151</v>
      </c>
      <c r="B41" s="33" t="s">
        <v>137</v>
      </c>
      <c r="C41" s="119">
        <v>0</v>
      </c>
      <c r="D41" s="119">
        <v>0</v>
      </c>
      <c r="E41" s="119">
        <f t="shared" si="0"/>
        <v>0</v>
      </c>
      <c r="F41" s="119">
        <f t="shared" si="1"/>
        <v>0</v>
      </c>
      <c r="G41" s="119">
        <v>0</v>
      </c>
      <c r="H41" s="119">
        <v>0</v>
      </c>
      <c r="I41" s="119">
        <v>0</v>
      </c>
      <c r="J41" s="119">
        <v>0</v>
      </c>
      <c r="K41" s="121">
        <v>0</v>
      </c>
      <c r="L41" s="121">
        <v>0</v>
      </c>
      <c r="M41" s="121">
        <v>0</v>
      </c>
      <c r="N41" s="121">
        <v>0</v>
      </c>
      <c r="O41" s="121" t="s">
        <v>541</v>
      </c>
      <c r="P41" s="121">
        <v>0</v>
      </c>
      <c r="Q41" s="121">
        <v>0</v>
      </c>
      <c r="R41" s="121">
        <v>0</v>
      </c>
      <c r="S41" s="121" t="s">
        <v>541</v>
      </c>
      <c r="T41" s="121">
        <v>0</v>
      </c>
      <c r="U41" s="121">
        <v>0</v>
      </c>
      <c r="V41" s="119">
        <f t="shared" si="6"/>
        <v>0</v>
      </c>
      <c r="W41" s="119">
        <v>0</v>
      </c>
      <c r="X41" s="121">
        <v>0</v>
      </c>
      <c r="Y41" s="121">
        <v>0</v>
      </c>
      <c r="Z41" s="121">
        <v>0</v>
      </c>
      <c r="AA41" s="119">
        <v>0</v>
      </c>
      <c r="AB41" s="121">
        <v>0</v>
      </c>
      <c r="AC41" s="121">
        <v>0</v>
      </c>
      <c r="AD41" s="119">
        <v>0</v>
      </c>
      <c r="AE41" s="119">
        <v>0</v>
      </c>
      <c r="AF41" s="119">
        <v>0</v>
      </c>
      <c r="AG41" s="119">
        <f t="shared" si="5"/>
        <v>0</v>
      </c>
    </row>
    <row r="42" spans="1:33" ht="18.75" x14ac:dyDescent="0.25">
      <c r="A42" s="57" t="s">
        <v>150</v>
      </c>
      <c r="B42" s="216" t="s">
        <v>548</v>
      </c>
      <c r="C42" s="119">
        <v>588</v>
      </c>
      <c r="D42" s="119">
        <v>588</v>
      </c>
      <c r="E42" s="119">
        <f t="shared" si="0"/>
        <v>588</v>
      </c>
      <c r="F42" s="119">
        <f t="shared" si="1"/>
        <v>307</v>
      </c>
      <c r="G42" s="119">
        <v>0</v>
      </c>
      <c r="H42" s="119">
        <v>0</v>
      </c>
      <c r="I42" s="119">
        <v>0</v>
      </c>
      <c r="J42" s="119">
        <v>0</v>
      </c>
      <c r="K42" s="121">
        <v>0</v>
      </c>
      <c r="L42" s="121">
        <v>281</v>
      </c>
      <c r="M42" s="121">
        <v>0</v>
      </c>
      <c r="N42" s="121">
        <v>281</v>
      </c>
      <c r="O42" s="121" t="s">
        <v>541</v>
      </c>
      <c r="P42" s="121">
        <v>236</v>
      </c>
      <c r="Q42" s="121">
        <v>0</v>
      </c>
      <c r="R42" s="121">
        <v>236</v>
      </c>
      <c r="S42" s="121" t="s">
        <v>541</v>
      </c>
      <c r="T42" s="121">
        <v>71</v>
      </c>
      <c r="U42" s="121">
        <v>0</v>
      </c>
      <c r="V42" s="119">
        <f t="shared" si="6"/>
        <v>71</v>
      </c>
      <c r="W42" s="119">
        <v>0</v>
      </c>
      <c r="X42" s="121">
        <v>0</v>
      </c>
      <c r="Y42" s="121">
        <v>0</v>
      </c>
      <c r="Z42" s="121">
        <v>0</v>
      </c>
      <c r="AA42" s="119">
        <v>0</v>
      </c>
      <c r="AB42" s="121">
        <v>0</v>
      </c>
      <c r="AC42" s="121">
        <v>0</v>
      </c>
      <c r="AD42" s="119">
        <v>0</v>
      </c>
      <c r="AE42" s="119">
        <v>0</v>
      </c>
      <c r="AF42" s="119">
        <v>588</v>
      </c>
      <c r="AG42" s="119">
        <f t="shared" si="5"/>
        <v>588</v>
      </c>
    </row>
    <row r="43" spans="1:33" s="345" customFormat="1" x14ac:dyDescent="0.25">
      <c r="A43" s="60" t="s">
        <v>59</v>
      </c>
      <c r="B43" s="59" t="s">
        <v>149</v>
      </c>
      <c r="C43" s="119">
        <v>0</v>
      </c>
      <c r="D43" s="119">
        <v>0</v>
      </c>
      <c r="E43" s="119">
        <f t="shared" si="0"/>
        <v>0</v>
      </c>
      <c r="F43" s="119">
        <f t="shared" si="1"/>
        <v>0</v>
      </c>
      <c r="G43" s="119">
        <v>0</v>
      </c>
      <c r="H43" s="119">
        <v>0</v>
      </c>
      <c r="I43" s="119">
        <v>0</v>
      </c>
      <c r="J43" s="119">
        <v>0</v>
      </c>
      <c r="K43" s="119">
        <v>0</v>
      </c>
      <c r="L43" s="119">
        <v>0</v>
      </c>
      <c r="M43" s="119">
        <v>0</v>
      </c>
      <c r="N43" s="119">
        <v>0</v>
      </c>
      <c r="O43" s="119" t="s">
        <v>541</v>
      </c>
      <c r="P43" s="119">
        <v>0</v>
      </c>
      <c r="Q43" s="119">
        <v>0</v>
      </c>
      <c r="R43" s="119">
        <v>0</v>
      </c>
      <c r="S43" s="119" t="s">
        <v>541</v>
      </c>
      <c r="T43" s="119">
        <v>0</v>
      </c>
      <c r="U43" s="119">
        <v>0</v>
      </c>
      <c r="V43" s="119">
        <f t="shared" si="6"/>
        <v>0</v>
      </c>
      <c r="W43" s="119">
        <v>0</v>
      </c>
      <c r="X43" s="119">
        <v>0</v>
      </c>
      <c r="Y43" s="119">
        <v>0</v>
      </c>
      <c r="Z43" s="119">
        <v>0</v>
      </c>
      <c r="AA43" s="119">
        <v>0</v>
      </c>
      <c r="AB43" s="119">
        <v>0</v>
      </c>
      <c r="AC43" s="119">
        <v>0</v>
      </c>
      <c r="AD43" s="119">
        <v>0</v>
      </c>
      <c r="AE43" s="119">
        <v>0</v>
      </c>
      <c r="AF43" s="119">
        <v>0</v>
      </c>
      <c r="AG43" s="119">
        <f t="shared" si="5"/>
        <v>0</v>
      </c>
    </row>
    <row r="44" spans="1:33" x14ac:dyDescent="0.25">
      <c r="A44" s="57" t="s">
        <v>148</v>
      </c>
      <c r="B44" s="33" t="s">
        <v>147</v>
      </c>
      <c r="C44" s="119">
        <v>0</v>
      </c>
      <c r="D44" s="119">
        <v>0</v>
      </c>
      <c r="E44" s="119">
        <f t="shared" si="0"/>
        <v>0</v>
      </c>
      <c r="F44" s="119">
        <f t="shared" si="1"/>
        <v>0</v>
      </c>
      <c r="G44" s="119">
        <v>0</v>
      </c>
      <c r="H44" s="119">
        <v>0</v>
      </c>
      <c r="I44" s="119">
        <v>0</v>
      </c>
      <c r="J44" s="119">
        <v>0</v>
      </c>
      <c r="K44" s="121">
        <v>0</v>
      </c>
      <c r="L44" s="121">
        <v>0</v>
      </c>
      <c r="M44" s="121">
        <v>0</v>
      </c>
      <c r="N44" s="121">
        <v>0</v>
      </c>
      <c r="O44" s="121" t="s">
        <v>541</v>
      </c>
      <c r="P44" s="121">
        <v>0</v>
      </c>
      <c r="Q44" s="121">
        <v>0</v>
      </c>
      <c r="R44" s="121">
        <v>0</v>
      </c>
      <c r="S44" s="121" t="s">
        <v>541</v>
      </c>
      <c r="T44" s="121">
        <v>0</v>
      </c>
      <c r="U44" s="121">
        <v>0</v>
      </c>
      <c r="V44" s="119">
        <f t="shared" si="6"/>
        <v>0</v>
      </c>
      <c r="W44" s="119">
        <v>0</v>
      </c>
      <c r="X44" s="121">
        <v>0</v>
      </c>
      <c r="Y44" s="121">
        <v>0</v>
      </c>
      <c r="Z44" s="121">
        <v>0</v>
      </c>
      <c r="AA44" s="119">
        <v>0</v>
      </c>
      <c r="AB44" s="121">
        <v>0</v>
      </c>
      <c r="AC44" s="121">
        <v>0</v>
      </c>
      <c r="AD44" s="119">
        <v>0</v>
      </c>
      <c r="AE44" s="119">
        <v>0</v>
      </c>
      <c r="AF44" s="119">
        <v>0</v>
      </c>
      <c r="AG44" s="119">
        <f t="shared" si="5"/>
        <v>0</v>
      </c>
    </row>
    <row r="45" spans="1:33" x14ac:dyDescent="0.25">
      <c r="A45" s="57" t="s">
        <v>146</v>
      </c>
      <c r="B45" s="33" t="s">
        <v>145</v>
      </c>
      <c r="C45" s="119">
        <v>0</v>
      </c>
      <c r="D45" s="119">
        <v>0</v>
      </c>
      <c r="E45" s="119">
        <f t="shared" si="0"/>
        <v>0</v>
      </c>
      <c r="F45" s="119">
        <f t="shared" si="1"/>
        <v>0</v>
      </c>
      <c r="G45" s="119">
        <v>0</v>
      </c>
      <c r="H45" s="119">
        <v>0</v>
      </c>
      <c r="I45" s="119">
        <v>0</v>
      </c>
      <c r="J45" s="119">
        <v>0</v>
      </c>
      <c r="K45" s="121">
        <v>0</v>
      </c>
      <c r="L45" s="121">
        <v>0</v>
      </c>
      <c r="M45" s="121">
        <v>0</v>
      </c>
      <c r="N45" s="121">
        <v>0</v>
      </c>
      <c r="O45" s="121" t="s">
        <v>541</v>
      </c>
      <c r="P45" s="121">
        <v>0</v>
      </c>
      <c r="Q45" s="121">
        <v>0</v>
      </c>
      <c r="R45" s="121">
        <v>0</v>
      </c>
      <c r="S45" s="121" t="s">
        <v>541</v>
      </c>
      <c r="T45" s="121">
        <v>0</v>
      </c>
      <c r="U45" s="121">
        <v>0</v>
      </c>
      <c r="V45" s="119">
        <f t="shared" si="6"/>
        <v>0</v>
      </c>
      <c r="W45" s="119">
        <v>0</v>
      </c>
      <c r="X45" s="121">
        <v>0</v>
      </c>
      <c r="Y45" s="121">
        <v>0</v>
      </c>
      <c r="Z45" s="121">
        <v>0</v>
      </c>
      <c r="AA45" s="119">
        <v>0</v>
      </c>
      <c r="AB45" s="121">
        <v>0</v>
      </c>
      <c r="AC45" s="121">
        <v>0</v>
      </c>
      <c r="AD45" s="119">
        <v>0</v>
      </c>
      <c r="AE45" s="119">
        <v>0</v>
      </c>
      <c r="AF45" s="119">
        <v>0</v>
      </c>
      <c r="AG45" s="119">
        <f t="shared" si="5"/>
        <v>0</v>
      </c>
    </row>
    <row r="46" spans="1:33" x14ac:dyDescent="0.25">
      <c r="A46" s="57" t="s">
        <v>144</v>
      </c>
      <c r="B46" s="33" t="s">
        <v>143</v>
      </c>
      <c r="C46" s="119">
        <v>0</v>
      </c>
      <c r="D46" s="119">
        <v>0</v>
      </c>
      <c r="E46" s="119">
        <f t="shared" si="0"/>
        <v>0</v>
      </c>
      <c r="F46" s="119">
        <f t="shared" si="1"/>
        <v>0</v>
      </c>
      <c r="G46" s="119">
        <v>0</v>
      </c>
      <c r="H46" s="119">
        <v>0</v>
      </c>
      <c r="I46" s="119">
        <v>0</v>
      </c>
      <c r="J46" s="119">
        <v>0</v>
      </c>
      <c r="K46" s="121">
        <v>0</v>
      </c>
      <c r="L46" s="121">
        <v>0</v>
      </c>
      <c r="M46" s="121">
        <v>0</v>
      </c>
      <c r="N46" s="121">
        <v>0</v>
      </c>
      <c r="O46" s="121" t="s">
        <v>541</v>
      </c>
      <c r="P46" s="121">
        <v>0</v>
      </c>
      <c r="Q46" s="121">
        <v>0</v>
      </c>
      <c r="R46" s="121">
        <v>0</v>
      </c>
      <c r="S46" s="121" t="s">
        <v>541</v>
      </c>
      <c r="T46" s="121">
        <v>0</v>
      </c>
      <c r="U46" s="121">
        <v>0</v>
      </c>
      <c r="V46" s="119">
        <f t="shared" si="6"/>
        <v>0</v>
      </c>
      <c r="W46" s="119">
        <v>0</v>
      </c>
      <c r="X46" s="121">
        <v>0</v>
      </c>
      <c r="Y46" s="121">
        <v>0</v>
      </c>
      <c r="Z46" s="121">
        <v>0</v>
      </c>
      <c r="AA46" s="119">
        <v>0</v>
      </c>
      <c r="AB46" s="121">
        <v>0</v>
      </c>
      <c r="AC46" s="121">
        <v>0</v>
      </c>
      <c r="AD46" s="119">
        <v>0</v>
      </c>
      <c r="AE46" s="119">
        <v>0</v>
      </c>
      <c r="AF46" s="119">
        <v>0</v>
      </c>
      <c r="AG46" s="119">
        <f t="shared" si="5"/>
        <v>0</v>
      </c>
    </row>
    <row r="47" spans="1:33" ht="31.5" x14ac:dyDescent="0.25">
      <c r="A47" s="57" t="s">
        <v>142</v>
      </c>
      <c r="B47" s="33" t="s">
        <v>141</v>
      </c>
      <c r="C47" s="119">
        <v>0</v>
      </c>
      <c r="D47" s="119">
        <v>0</v>
      </c>
      <c r="E47" s="119">
        <f t="shared" si="0"/>
        <v>0</v>
      </c>
      <c r="F47" s="119">
        <f t="shared" si="1"/>
        <v>0</v>
      </c>
      <c r="G47" s="119">
        <v>0</v>
      </c>
      <c r="H47" s="119">
        <v>0</v>
      </c>
      <c r="I47" s="119">
        <v>0</v>
      </c>
      <c r="J47" s="119">
        <v>0</v>
      </c>
      <c r="K47" s="121">
        <v>0</v>
      </c>
      <c r="L47" s="121">
        <v>0</v>
      </c>
      <c r="M47" s="121">
        <v>0</v>
      </c>
      <c r="N47" s="121">
        <v>0</v>
      </c>
      <c r="O47" s="121" t="s">
        <v>541</v>
      </c>
      <c r="P47" s="121">
        <v>0</v>
      </c>
      <c r="Q47" s="121">
        <v>0</v>
      </c>
      <c r="R47" s="121">
        <v>0</v>
      </c>
      <c r="S47" s="121" t="s">
        <v>541</v>
      </c>
      <c r="T47" s="121">
        <v>0</v>
      </c>
      <c r="U47" s="121">
        <v>0</v>
      </c>
      <c r="V47" s="119">
        <f t="shared" si="6"/>
        <v>0</v>
      </c>
      <c r="W47" s="119">
        <v>0</v>
      </c>
      <c r="X47" s="121">
        <v>0</v>
      </c>
      <c r="Y47" s="121">
        <v>0</v>
      </c>
      <c r="Z47" s="121">
        <v>0</v>
      </c>
      <c r="AA47" s="119">
        <v>0</v>
      </c>
      <c r="AB47" s="121">
        <v>0</v>
      </c>
      <c r="AC47" s="121">
        <v>0</v>
      </c>
      <c r="AD47" s="119">
        <v>0</v>
      </c>
      <c r="AE47" s="119">
        <v>0</v>
      </c>
      <c r="AF47" s="119">
        <v>0</v>
      </c>
      <c r="AG47" s="119">
        <f t="shared" si="5"/>
        <v>0</v>
      </c>
    </row>
    <row r="48" spans="1:33" ht="31.5" x14ac:dyDescent="0.25">
      <c r="A48" s="57" t="s">
        <v>140</v>
      </c>
      <c r="B48" s="33" t="s">
        <v>139</v>
      </c>
      <c r="C48" s="119">
        <v>0</v>
      </c>
      <c r="D48" s="119">
        <v>0</v>
      </c>
      <c r="E48" s="119">
        <f t="shared" si="0"/>
        <v>0</v>
      </c>
      <c r="F48" s="119">
        <f t="shared" si="1"/>
        <v>0</v>
      </c>
      <c r="G48" s="119">
        <v>0</v>
      </c>
      <c r="H48" s="119">
        <v>0</v>
      </c>
      <c r="I48" s="119">
        <v>0</v>
      </c>
      <c r="J48" s="119">
        <v>0</v>
      </c>
      <c r="K48" s="121">
        <v>0</v>
      </c>
      <c r="L48" s="121">
        <v>0</v>
      </c>
      <c r="M48" s="121">
        <v>0</v>
      </c>
      <c r="N48" s="121">
        <v>0</v>
      </c>
      <c r="O48" s="121" t="s">
        <v>541</v>
      </c>
      <c r="P48" s="121">
        <v>0</v>
      </c>
      <c r="Q48" s="121">
        <v>0</v>
      </c>
      <c r="R48" s="121">
        <v>0</v>
      </c>
      <c r="S48" s="121" t="s">
        <v>541</v>
      </c>
      <c r="T48" s="121">
        <v>0</v>
      </c>
      <c r="U48" s="121">
        <v>0</v>
      </c>
      <c r="V48" s="119">
        <f t="shared" si="6"/>
        <v>0</v>
      </c>
      <c r="W48" s="119">
        <v>0</v>
      </c>
      <c r="X48" s="121">
        <v>0</v>
      </c>
      <c r="Y48" s="121">
        <v>0</v>
      </c>
      <c r="Z48" s="121">
        <v>0</v>
      </c>
      <c r="AA48" s="119">
        <v>0</v>
      </c>
      <c r="AB48" s="121">
        <v>0</v>
      </c>
      <c r="AC48" s="121">
        <v>0</v>
      </c>
      <c r="AD48" s="119">
        <v>0</v>
      </c>
      <c r="AE48" s="119">
        <v>0</v>
      </c>
      <c r="AF48" s="119">
        <v>0</v>
      </c>
      <c r="AG48" s="119">
        <f t="shared" si="5"/>
        <v>0</v>
      </c>
    </row>
    <row r="49" spans="1:33" x14ac:dyDescent="0.25">
      <c r="A49" s="57" t="s">
        <v>138</v>
      </c>
      <c r="B49" s="33" t="s">
        <v>137</v>
      </c>
      <c r="C49" s="119">
        <v>0</v>
      </c>
      <c r="D49" s="119">
        <v>0</v>
      </c>
      <c r="E49" s="119">
        <f t="shared" si="0"/>
        <v>0</v>
      </c>
      <c r="F49" s="119">
        <f t="shared" si="1"/>
        <v>0</v>
      </c>
      <c r="G49" s="119">
        <v>0</v>
      </c>
      <c r="H49" s="119">
        <v>0</v>
      </c>
      <c r="I49" s="119">
        <v>0</v>
      </c>
      <c r="J49" s="119">
        <v>0</v>
      </c>
      <c r="K49" s="121">
        <v>0</v>
      </c>
      <c r="L49" s="121">
        <v>0</v>
      </c>
      <c r="M49" s="121">
        <v>0</v>
      </c>
      <c r="N49" s="121">
        <v>0</v>
      </c>
      <c r="O49" s="121" t="s">
        <v>541</v>
      </c>
      <c r="P49" s="121">
        <v>0</v>
      </c>
      <c r="Q49" s="121">
        <v>0</v>
      </c>
      <c r="R49" s="121">
        <v>0</v>
      </c>
      <c r="S49" s="121" t="s">
        <v>541</v>
      </c>
      <c r="T49" s="121">
        <v>0</v>
      </c>
      <c r="U49" s="121">
        <v>0</v>
      </c>
      <c r="V49" s="119">
        <f t="shared" si="6"/>
        <v>0</v>
      </c>
      <c r="W49" s="119">
        <v>0</v>
      </c>
      <c r="X49" s="121">
        <v>0</v>
      </c>
      <c r="Y49" s="121">
        <v>0</v>
      </c>
      <c r="Z49" s="121">
        <v>0</v>
      </c>
      <c r="AA49" s="119">
        <v>0</v>
      </c>
      <c r="AB49" s="121">
        <v>0</v>
      </c>
      <c r="AC49" s="121">
        <v>0</v>
      </c>
      <c r="AD49" s="119">
        <v>0</v>
      </c>
      <c r="AE49" s="119">
        <v>0</v>
      </c>
      <c r="AF49" s="119">
        <v>0</v>
      </c>
      <c r="AG49" s="119">
        <f t="shared" si="5"/>
        <v>0</v>
      </c>
    </row>
    <row r="50" spans="1:33" ht="18.75" x14ac:dyDescent="0.25">
      <c r="A50" s="57" t="s">
        <v>136</v>
      </c>
      <c r="B50" s="216" t="s">
        <v>548</v>
      </c>
      <c r="C50" s="119">
        <v>588</v>
      </c>
      <c r="D50" s="119">
        <v>588</v>
      </c>
      <c r="E50" s="119">
        <f t="shared" si="0"/>
        <v>588</v>
      </c>
      <c r="F50" s="119">
        <f t="shared" si="1"/>
        <v>307</v>
      </c>
      <c r="G50" s="119">
        <v>0</v>
      </c>
      <c r="H50" s="119">
        <v>0</v>
      </c>
      <c r="I50" s="119">
        <v>0</v>
      </c>
      <c r="J50" s="119">
        <v>0</v>
      </c>
      <c r="K50" s="121">
        <v>0</v>
      </c>
      <c r="L50" s="121">
        <v>281</v>
      </c>
      <c r="M50" s="121">
        <v>0</v>
      </c>
      <c r="N50" s="121">
        <v>281</v>
      </c>
      <c r="O50" s="121" t="s">
        <v>541</v>
      </c>
      <c r="P50" s="121">
        <v>236</v>
      </c>
      <c r="Q50" s="121">
        <v>0</v>
      </c>
      <c r="R50" s="121">
        <v>236</v>
      </c>
      <c r="S50" s="121" t="s">
        <v>541</v>
      </c>
      <c r="T50" s="121">
        <v>71</v>
      </c>
      <c r="U50" s="121">
        <v>0</v>
      </c>
      <c r="V50" s="119">
        <f t="shared" si="6"/>
        <v>71</v>
      </c>
      <c r="W50" s="119">
        <v>0</v>
      </c>
      <c r="X50" s="121">
        <v>0</v>
      </c>
      <c r="Y50" s="121">
        <v>0</v>
      </c>
      <c r="Z50" s="121">
        <v>0</v>
      </c>
      <c r="AA50" s="119">
        <v>0</v>
      </c>
      <c r="AB50" s="121">
        <v>0</v>
      </c>
      <c r="AC50" s="121">
        <v>0</v>
      </c>
      <c r="AD50" s="119">
        <v>0</v>
      </c>
      <c r="AE50" s="119">
        <v>0</v>
      </c>
      <c r="AF50" s="119">
        <v>588</v>
      </c>
      <c r="AG50" s="119">
        <f t="shared" si="5"/>
        <v>588</v>
      </c>
    </row>
    <row r="51" spans="1:33" s="345" customFormat="1" ht="35.25" customHeight="1" x14ac:dyDescent="0.25">
      <c r="A51" s="60" t="s">
        <v>57</v>
      </c>
      <c r="B51" s="59" t="s">
        <v>135</v>
      </c>
      <c r="C51" s="119">
        <v>0</v>
      </c>
      <c r="D51" s="119">
        <v>0</v>
      </c>
      <c r="E51" s="119">
        <f t="shared" si="0"/>
        <v>0</v>
      </c>
      <c r="F51" s="119">
        <f t="shared" si="1"/>
        <v>0</v>
      </c>
      <c r="G51" s="119">
        <v>0</v>
      </c>
      <c r="H51" s="119">
        <v>0</v>
      </c>
      <c r="I51" s="119">
        <v>0</v>
      </c>
      <c r="J51" s="119">
        <v>0</v>
      </c>
      <c r="K51" s="119">
        <v>0</v>
      </c>
      <c r="L51" s="119">
        <v>0</v>
      </c>
      <c r="M51" s="119">
        <v>0</v>
      </c>
      <c r="N51" s="119">
        <v>0</v>
      </c>
      <c r="O51" s="119" t="s">
        <v>541</v>
      </c>
      <c r="P51" s="119">
        <v>0</v>
      </c>
      <c r="Q51" s="119">
        <v>0</v>
      </c>
      <c r="R51" s="119">
        <v>0</v>
      </c>
      <c r="S51" s="119" t="s">
        <v>541</v>
      </c>
      <c r="T51" s="119">
        <v>0</v>
      </c>
      <c r="U51" s="119">
        <v>0</v>
      </c>
      <c r="V51" s="119">
        <f t="shared" si="6"/>
        <v>0</v>
      </c>
      <c r="W51" s="119">
        <v>0</v>
      </c>
      <c r="X51" s="119">
        <v>0</v>
      </c>
      <c r="Y51" s="119">
        <v>0</v>
      </c>
      <c r="Z51" s="119">
        <v>0</v>
      </c>
      <c r="AA51" s="119">
        <v>0</v>
      </c>
      <c r="AB51" s="119">
        <v>0</v>
      </c>
      <c r="AC51" s="119">
        <v>0</v>
      </c>
      <c r="AD51" s="119">
        <v>0</v>
      </c>
      <c r="AE51" s="119">
        <v>0</v>
      </c>
      <c r="AF51" s="119">
        <v>0</v>
      </c>
      <c r="AG51" s="119">
        <f t="shared" si="5"/>
        <v>0</v>
      </c>
    </row>
    <row r="52" spans="1:33" x14ac:dyDescent="0.25">
      <c r="A52" s="57" t="s">
        <v>134</v>
      </c>
      <c r="B52" s="33" t="s">
        <v>133</v>
      </c>
      <c r="C52" s="119">
        <f>C30</f>
        <v>12.36</v>
      </c>
      <c r="D52" s="119">
        <f>D30</f>
        <v>12.36</v>
      </c>
      <c r="E52" s="119">
        <f t="shared" si="0"/>
        <v>12.36</v>
      </c>
      <c r="F52" s="119">
        <f t="shared" si="1"/>
        <v>5.4691659999999995</v>
      </c>
      <c r="G52" s="119">
        <v>0</v>
      </c>
      <c r="H52" s="119">
        <v>0</v>
      </c>
      <c r="I52" s="119">
        <v>0</v>
      </c>
      <c r="J52" s="119">
        <v>0</v>
      </c>
      <c r="K52" s="121">
        <v>0</v>
      </c>
      <c r="L52" s="121">
        <v>4.92759837891749</v>
      </c>
      <c r="M52" s="121">
        <v>0</v>
      </c>
      <c r="N52" s="121">
        <f>N30</f>
        <v>6.8908339999999999</v>
      </c>
      <c r="O52" s="121" t="s">
        <v>541</v>
      </c>
      <c r="P52" s="121">
        <v>4.3272192963168701</v>
      </c>
      <c r="Q52" s="121">
        <v>0</v>
      </c>
      <c r="R52" s="121">
        <v>4.3272192963168701</v>
      </c>
      <c r="S52" s="121" t="s">
        <v>541</v>
      </c>
      <c r="T52" s="121">
        <v>1.356091939273987</v>
      </c>
      <c r="U52" s="121">
        <v>0</v>
      </c>
      <c r="V52" s="119">
        <f>V30</f>
        <v>1.1419467036831294</v>
      </c>
      <c r="W52" s="119" t="s">
        <v>614</v>
      </c>
      <c r="X52" s="121">
        <v>0</v>
      </c>
      <c r="Y52" s="121">
        <v>0</v>
      </c>
      <c r="Z52" s="121">
        <v>0</v>
      </c>
      <c r="AA52" s="119">
        <v>0</v>
      </c>
      <c r="AB52" s="121">
        <v>0</v>
      </c>
      <c r="AC52" s="121">
        <v>0</v>
      </c>
      <c r="AD52" s="119">
        <v>0</v>
      </c>
      <c r="AE52" s="119">
        <v>0</v>
      </c>
      <c r="AF52" s="119">
        <v>12.36156878450835</v>
      </c>
      <c r="AG52" s="119">
        <f t="shared" si="5"/>
        <v>12.36</v>
      </c>
    </row>
    <row r="53" spans="1:33" x14ac:dyDescent="0.25">
      <c r="A53" s="57" t="s">
        <v>132</v>
      </c>
      <c r="B53" s="33" t="s">
        <v>126</v>
      </c>
      <c r="C53" s="119">
        <v>0</v>
      </c>
      <c r="D53" s="119">
        <v>0</v>
      </c>
      <c r="E53" s="119">
        <f t="shared" si="0"/>
        <v>0</v>
      </c>
      <c r="F53" s="119">
        <f t="shared" si="1"/>
        <v>0</v>
      </c>
      <c r="G53" s="119">
        <v>0</v>
      </c>
      <c r="H53" s="119">
        <v>0</v>
      </c>
      <c r="I53" s="119">
        <v>0</v>
      </c>
      <c r="J53" s="119">
        <v>0</v>
      </c>
      <c r="K53" s="121">
        <v>0</v>
      </c>
      <c r="L53" s="121">
        <v>0</v>
      </c>
      <c r="M53" s="121">
        <v>0</v>
      </c>
      <c r="N53" s="121">
        <v>0</v>
      </c>
      <c r="O53" s="121" t="s">
        <v>541</v>
      </c>
      <c r="P53" s="121">
        <v>0</v>
      </c>
      <c r="Q53" s="121">
        <v>0</v>
      </c>
      <c r="R53" s="121">
        <v>0</v>
      </c>
      <c r="S53" s="121" t="s">
        <v>541</v>
      </c>
      <c r="T53" s="121">
        <v>0</v>
      </c>
      <c r="U53" s="121">
        <v>0</v>
      </c>
      <c r="V53" s="119">
        <f t="shared" si="6"/>
        <v>0</v>
      </c>
      <c r="W53" s="119">
        <v>0</v>
      </c>
      <c r="X53" s="121">
        <v>0</v>
      </c>
      <c r="Y53" s="121">
        <v>0</v>
      </c>
      <c r="Z53" s="121">
        <v>0</v>
      </c>
      <c r="AA53" s="119">
        <v>0</v>
      </c>
      <c r="AB53" s="121">
        <v>0</v>
      </c>
      <c r="AC53" s="121">
        <v>0</v>
      </c>
      <c r="AD53" s="119">
        <v>0</v>
      </c>
      <c r="AE53" s="119">
        <v>0</v>
      </c>
      <c r="AF53" s="119">
        <v>0</v>
      </c>
      <c r="AG53" s="119">
        <f t="shared" si="5"/>
        <v>0</v>
      </c>
    </row>
    <row r="54" spans="1:33" x14ac:dyDescent="0.25">
      <c r="A54" s="57" t="s">
        <v>131</v>
      </c>
      <c r="B54" s="216" t="s">
        <v>125</v>
      </c>
      <c r="C54" s="119">
        <v>0</v>
      </c>
      <c r="D54" s="119">
        <v>0</v>
      </c>
      <c r="E54" s="119">
        <f t="shared" si="0"/>
        <v>0</v>
      </c>
      <c r="F54" s="119">
        <f t="shared" si="1"/>
        <v>0</v>
      </c>
      <c r="G54" s="119">
        <v>0</v>
      </c>
      <c r="H54" s="119">
        <v>0</v>
      </c>
      <c r="I54" s="119">
        <v>0</v>
      </c>
      <c r="J54" s="119">
        <v>0</v>
      </c>
      <c r="K54" s="121">
        <v>0</v>
      </c>
      <c r="L54" s="121">
        <v>0</v>
      </c>
      <c r="M54" s="121">
        <v>0</v>
      </c>
      <c r="N54" s="121">
        <v>0</v>
      </c>
      <c r="O54" s="121" t="s">
        <v>541</v>
      </c>
      <c r="P54" s="121">
        <v>0</v>
      </c>
      <c r="Q54" s="121">
        <v>0</v>
      </c>
      <c r="R54" s="121">
        <v>0</v>
      </c>
      <c r="S54" s="121" t="s">
        <v>541</v>
      </c>
      <c r="T54" s="121">
        <v>0</v>
      </c>
      <c r="U54" s="121">
        <v>0</v>
      </c>
      <c r="V54" s="119">
        <f t="shared" si="6"/>
        <v>0</v>
      </c>
      <c r="W54" s="119">
        <v>0</v>
      </c>
      <c r="X54" s="121">
        <v>0</v>
      </c>
      <c r="Y54" s="121">
        <v>0</v>
      </c>
      <c r="Z54" s="121">
        <v>0</v>
      </c>
      <c r="AA54" s="119">
        <v>0</v>
      </c>
      <c r="AB54" s="121">
        <v>0</v>
      </c>
      <c r="AC54" s="121">
        <v>0</v>
      </c>
      <c r="AD54" s="119">
        <v>0</v>
      </c>
      <c r="AE54" s="119">
        <v>0</v>
      </c>
      <c r="AF54" s="119">
        <v>0</v>
      </c>
      <c r="AG54" s="119">
        <f t="shared" si="5"/>
        <v>0</v>
      </c>
    </row>
    <row r="55" spans="1:33" x14ac:dyDescent="0.25">
      <c r="A55" s="57" t="s">
        <v>130</v>
      </c>
      <c r="B55" s="216" t="s">
        <v>124</v>
      </c>
      <c r="C55" s="119">
        <v>0</v>
      </c>
      <c r="D55" s="119">
        <v>0</v>
      </c>
      <c r="E55" s="119">
        <f t="shared" si="0"/>
        <v>0</v>
      </c>
      <c r="F55" s="119">
        <f t="shared" si="1"/>
        <v>0</v>
      </c>
      <c r="G55" s="119">
        <v>0</v>
      </c>
      <c r="H55" s="119">
        <v>0</v>
      </c>
      <c r="I55" s="119">
        <v>0</v>
      </c>
      <c r="J55" s="119">
        <v>0</v>
      </c>
      <c r="K55" s="121">
        <v>0</v>
      </c>
      <c r="L55" s="121">
        <v>0</v>
      </c>
      <c r="M55" s="121">
        <v>0</v>
      </c>
      <c r="N55" s="121">
        <v>0</v>
      </c>
      <c r="O55" s="121" t="s">
        <v>541</v>
      </c>
      <c r="P55" s="121">
        <v>0</v>
      </c>
      <c r="Q55" s="121">
        <v>0</v>
      </c>
      <c r="R55" s="121">
        <v>0</v>
      </c>
      <c r="S55" s="121" t="s">
        <v>541</v>
      </c>
      <c r="T55" s="121">
        <v>0</v>
      </c>
      <c r="U55" s="121">
        <v>0</v>
      </c>
      <c r="V55" s="119">
        <f t="shared" si="6"/>
        <v>0</v>
      </c>
      <c r="W55" s="119">
        <v>0</v>
      </c>
      <c r="X55" s="121">
        <v>0</v>
      </c>
      <c r="Y55" s="121">
        <v>0</v>
      </c>
      <c r="Z55" s="121">
        <v>0</v>
      </c>
      <c r="AA55" s="119">
        <v>0</v>
      </c>
      <c r="AB55" s="121">
        <v>0</v>
      </c>
      <c r="AC55" s="121">
        <v>0</v>
      </c>
      <c r="AD55" s="119">
        <v>0</v>
      </c>
      <c r="AE55" s="119">
        <v>0</v>
      </c>
      <c r="AF55" s="119">
        <v>0</v>
      </c>
      <c r="AG55" s="119">
        <f t="shared" si="5"/>
        <v>0</v>
      </c>
    </row>
    <row r="56" spans="1:33" x14ac:dyDescent="0.25">
      <c r="A56" s="57" t="s">
        <v>129</v>
      </c>
      <c r="B56" s="216" t="s">
        <v>123</v>
      </c>
      <c r="C56" s="119">
        <v>0</v>
      </c>
      <c r="D56" s="119">
        <v>0</v>
      </c>
      <c r="E56" s="119">
        <f t="shared" si="0"/>
        <v>0</v>
      </c>
      <c r="F56" s="119">
        <f t="shared" si="1"/>
        <v>0</v>
      </c>
      <c r="G56" s="119">
        <v>0</v>
      </c>
      <c r="H56" s="119">
        <v>0</v>
      </c>
      <c r="I56" s="119">
        <v>0</v>
      </c>
      <c r="J56" s="119">
        <v>0</v>
      </c>
      <c r="K56" s="121">
        <v>0</v>
      </c>
      <c r="L56" s="121">
        <v>0</v>
      </c>
      <c r="M56" s="121">
        <v>0</v>
      </c>
      <c r="N56" s="121">
        <v>0</v>
      </c>
      <c r="O56" s="121" t="s">
        <v>541</v>
      </c>
      <c r="P56" s="121">
        <v>0</v>
      </c>
      <c r="Q56" s="121">
        <v>0</v>
      </c>
      <c r="R56" s="121">
        <v>0</v>
      </c>
      <c r="S56" s="121" t="s">
        <v>541</v>
      </c>
      <c r="T56" s="121">
        <v>0</v>
      </c>
      <c r="U56" s="121">
        <v>0</v>
      </c>
      <c r="V56" s="119">
        <f t="shared" si="6"/>
        <v>0</v>
      </c>
      <c r="W56" s="119">
        <v>0</v>
      </c>
      <c r="X56" s="121">
        <v>0</v>
      </c>
      <c r="Y56" s="121">
        <v>0</v>
      </c>
      <c r="Z56" s="121">
        <v>0</v>
      </c>
      <c r="AA56" s="119">
        <v>0</v>
      </c>
      <c r="AB56" s="121">
        <v>0</v>
      </c>
      <c r="AC56" s="121">
        <v>0</v>
      </c>
      <c r="AD56" s="119">
        <v>0</v>
      </c>
      <c r="AE56" s="119">
        <v>0</v>
      </c>
      <c r="AF56" s="119">
        <v>0</v>
      </c>
      <c r="AG56" s="119">
        <f t="shared" si="5"/>
        <v>0</v>
      </c>
    </row>
    <row r="57" spans="1:33" ht="18.75" x14ac:dyDescent="0.25">
      <c r="A57" s="57" t="s">
        <v>128</v>
      </c>
      <c r="B57" s="216" t="s">
        <v>548</v>
      </c>
      <c r="C57" s="119">
        <v>588</v>
      </c>
      <c r="D57" s="119">
        <v>588</v>
      </c>
      <c r="E57" s="119">
        <f t="shared" si="0"/>
        <v>588</v>
      </c>
      <c r="F57" s="119">
        <f t="shared" si="1"/>
        <v>307</v>
      </c>
      <c r="G57" s="119">
        <v>0</v>
      </c>
      <c r="H57" s="119">
        <v>0</v>
      </c>
      <c r="I57" s="119">
        <v>0</v>
      </c>
      <c r="J57" s="119">
        <v>0</v>
      </c>
      <c r="K57" s="121" t="s">
        <v>541</v>
      </c>
      <c r="L57" s="121">
        <v>281</v>
      </c>
      <c r="M57" s="121">
        <v>0</v>
      </c>
      <c r="N57" s="121">
        <v>281</v>
      </c>
      <c r="O57" s="121" t="s">
        <v>541</v>
      </c>
      <c r="P57" s="121">
        <v>236</v>
      </c>
      <c r="Q57" s="121">
        <v>0</v>
      </c>
      <c r="R57" s="121">
        <v>236</v>
      </c>
      <c r="S57" s="121" t="s">
        <v>541</v>
      </c>
      <c r="T57" s="121">
        <v>71</v>
      </c>
      <c r="U57" s="121">
        <v>0</v>
      </c>
      <c r="V57" s="119">
        <f t="shared" si="6"/>
        <v>71</v>
      </c>
      <c r="W57" s="119">
        <v>0</v>
      </c>
      <c r="X57" s="121">
        <v>0</v>
      </c>
      <c r="Y57" s="121">
        <v>0</v>
      </c>
      <c r="Z57" s="121">
        <v>0</v>
      </c>
      <c r="AA57" s="119">
        <v>0</v>
      </c>
      <c r="AB57" s="121">
        <v>0</v>
      </c>
      <c r="AC57" s="121">
        <v>0</v>
      </c>
      <c r="AD57" s="119">
        <v>0</v>
      </c>
      <c r="AE57" s="119">
        <v>0</v>
      </c>
      <c r="AF57" s="119">
        <v>588</v>
      </c>
      <c r="AG57" s="119">
        <f t="shared" si="5"/>
        <v>588</v>
      </c>
    </row>
    <row r="58" spans="1:33" s="345" customFormat="1" ht="36.75" customHeight="1" x14ac:dyDescent="0.25">
      <c r="A58" s="60" t="s">
        <v>56</v>
      </c>
      <c r="B58" s="217" t="s">
        <v>207</v>
      </c>
      <c r="C58" s="119">
        <f>C52</f>
        <v>12.36</v>
      </c>
      <c r="D58" s="119">
        <f>D52</f>
        <v>12.36</v>
      </c>
      <c r="E58" s="119">
        <f t="shared" si="0"/>
        <v>12.36</v>
      </c>
      <c r="F58" s="119">
        <f t="shared" si="1"/>
        <v>5.4691659999999995</v>
      </c>
      <c r="G58" s="119">
        <v>0</v>
      </c>
      <c r="H58" s="119">
        <v>0</v>
      </c>
      <c r="I58" s="119">
        <v>0</v>
      </c>
      <c r="J58" s="119">
        <v>0</v>
      </c>
      <c r="K58" s="119">
        <v>0</v>
      </c>
      <c r="L58" s="119">
        <v>4.92759837891749</v>
      </c>
      <c r="M58" s="119">
        <v>0</v>
      </c>
      <c r="N58" s="119">
        <f>N52</f>
        <v>6.8908339999999999</v>
      </c>
      <c r="O58" s="119" t="s">
        <v>541</v>
      </c>
      <c r="P58" s="119">
        <v>4.3272192963168701</v>
      </c>
      <c r="Q58" s="119">
        <v>0</v>
      </c>
      <c r="R58" s="119">
        <v>4.3272192963168701</v>
      </c>
      <c r="S58" s="119" t="s">
        <v>541</v>
      </c>
      <c r="T58" s="119">
        <v>1.356091939273987</v>
      </c>
      <c r="U58" s="119">
        <v>0</v>
      </c>
      <c r="V58" s="119">
        <f>V52</f>
        <v>1.1419467036831294</v>
      </c>
      <c r="W58" s="119">
        <v>0</v>
      </c>
      <c r="X58" s="119">
        <v>0</v>
      </c>
      <c r="Y58" s="119">
        <v>0</v>
      </c>
      <c r="Z58" s="119">
        <v>0</v>
      </c>
      <c r="AA58" s="119">
        <v>0</v>
      </c>
      <c r="AB58" s="119">
        <v>0</v>
      </c>
      <c r="AC58" s="119">
        <v>0</v>
      </c>
      <c r="AD58" s="119">
        <v>0</v>
      </c>
      <c r="AE58" s="119">
        <v>0</v>
      </c>
      <c r="AF58" s="119">
        <v>12.36156878450835</v>
      </c>
      <c r="AG58" s="119">
        <f t="shared" si="5"/>
        <v>12.36</v>
      </c>
    </row>
    <row r="59" spans="1:33" s="345" customFormat="1" x14ac:dyDescent="0.25">
      <c r="A59" s="60" t="s">
        <v>54</v>
      </c>
      <c r="B59" s="59" t="s">
        <v>127</v>
      </c>
      <c r="C59" s="119">
        <v>0</v>
      </c>
      <c r="D59" s="119">
        <v>0</v>
      </c>
      <c r="E59" s="119">
        <f t="shared" si="0"/>
        <v>0</v>
      </c>
      <c r="F59" s="119">
        <f t="shared" si="1"/>
        <v>0</v>
      </c>
      <c r="G59" s="119">
        <v>0</v>
      </c>
      <c r="H59" s="119">
        <v>0</v>
      </c>
      <c r="I59" s="119">
        <v>0</v>
      </c>
      <c r="J59" s="119">
        <v>0</v>
      </c>
      <c r="K59" s="119">
        <v>0</v>
      </c>
      <c r="L59" s="119">
        <v>0</v>
      </c>
      <c r="M59" s="119">
        <v>0</v>
      </c>
      <c r="N59" s="119">
        <v>0</v>
      </c>
      <c r="O59" s="119" t="s">
        <v>541</v>
      </c>
      <c r="P59" s="119">
        <v>0</v>
      </c>
      <c r="Q59" s="119">
        <v>0</v>
      </c>
      <c r="R59" s="119">
        <v>0</v>
      </c>
      <c r="S59" s="119" t="s">
        <v>541</v>
      </c>
      <c r="T59" s="119">
        <v>0</v>
      </c>
      <c r="U59" s="119">
        <v>0</v>
      </c>
      <c r="V59" s="119">
        <f t="shared" si="6"/>
        <v>0</v>
      </c>
      <c r="W59" s="119">
        <v>0</v>
      </c>
      <c r="X59" s="119">
        <v>0</v>
      </c>
      <c r="Y59" s="119">
        <v>0</v>
      </c>
      <c r="Z59" s="119">
        <v>0</v>
      </c>
      <c r="AA59" s="119">
        <v>0</v>
      </c>
      <c r="AB59" s="119">
        <v>0</v>
      </c>
      <c r="AC59" s="119">
        <v>0</v>
      </c>
      <c r="AD59" s="119">
        <v>0</v>
      </c>
      <c r="AE59" s="119">
        <v>0</v>
      </c>
      <c r="AF59" s="119">
        <v>0</v>
      </c>
      <c r="AG59" s="119">
        <f t="shared" si="5"/>
        <v>0</v>
      </c>
    </row>
    <row r="60" spans="1:33" x14ac:dyDescent="0.25">
      <c r="A60" s="57" t="s">
        <v>201</v>
      </c>
      <c r="B60" s="218" t="s">
        <v>147</v>
      </c>
      <c r="C60" s="119">
        <v>0</v>
      </c>
      <c r="D60" s="119">
        <v>0</v>
      </c>
      <c r="E60" s="119">
        <f t="shared" si="0"/>
        <v>0</v>
      </c>
      <c r="F60" s="119">
        <f t="shared" si="1"/>
        <v>0</v>
      </c>
      <c r="G60" s="119">
        <v>0</v>
      </c>
      <c r="H60" s="119">
        <v>0</v>
      </c>
      <c r="I60" s="119">
        <v>0</v>
      </c>
      <c r="J60" s="119">
        <v>0</v>
      </c>
      <c r="K60" s="121">
        <v>0</v>
      </c>
      <c r="L60" s="121">
        <v>0</v>
      </c>
      <c r="M60" s="121">
        <v>0</v>
      </c>
      <c r="N60" s="121">
        <v>0</v>
      </c>
      <c r="O60" s="121" t="s">
        <v>541</v>
      </c>
      <c r="P60" s="121">
        <v>0</v>
      </c>
      <c r="Q60" s="121">
        <v>0</v>
      </c>
      <c r="R60" s="121">
        <v>0</v>
      </c>
      <c r="S60" s="121" t="s">
        <v>541</v>
      </c>
      <c r="T60" s="121">
        <v>0</v>
      </c>
      <c r="U60" s="121">
        <v>0</v>
      </c>
      <c r="V60" s="119">
        <f t="shared" si="6"/>
        <v>0</v>
      </c>
      <c r="W60" s="119">
        <v>0</v>
      </c>
      <c r="X60" s="121">
        <v>0</v>
      </c>
      <c r="Y60" s="121">
        <v>0</v>
      </c>
      <c r="Z60" s="121">
        <v>0</v>
      </c>
      <c r="AA60" s="119">
        <v>0</v>
      </c>
      <c r="AB60" s="121">
        <v>0</v>
      </c>
      <c r="AC60" s="121">
        <v>0</v>
      </c>
      <c r="AD60" s="119">
        <v>0</v>
      </c>
      <c r="AE60" s="119">
        <v>0</v>
      </c>
      <c r="AF60" s="119">
        <v>0</v>
      </c>
      <c r="AG60" s="119">
        <f t="shared" si="5"/>
        <v>0</v>
      </c>
    </row>
    <row r="61" spans="1:33" x14ac:dyDescent="0.25">
      <c r="A61" s="57" t="s">
        <v>202</v>
      </c>
      <c r="B61" s="218" t="s">
        <v>145</v>
      </c>
      <c r="C61" s="119">
        <v>0</v>
      </c>
      <c r="D61" s="119">
        <v>0</v>
      </c>
      <c r="E61" s="119">
        <f t="shared" si="0"/>
        <v>0</v>
      </c>
      <c r="F61" s="119">
        <f t="shared" si="1"/>
        <v>0</v>
      </c>
      <c r="G61" s="119">
        <v>0</v>
      </c>
      <c r="H61" s="119">
        <v>0</v>
      </c>
      <c r="I61" s="119">
        <v>0</v>
      </c>
      <c r="J61" s="119">
        <v>0</v>
      </c>
      <c r="K61" s="121">
        <v>0</v>
      </c>
      <c r="L61" s="121">
        <v>0</v>
      </c>
      <c r="M61" s="121">
        <v>0</v>
      </c>
      <c r="N61" s="121">
        <v>0</v>
      </c>
      <c r="O61" s="121" t="s">
        <v>541</v>
      </c>
      <c r="P61" s="121">
        <v>0</v>
      </c>
      <c r="Q61" s="121">
        <v>0</v>
      </c>
      <c r="R61" s="121">
        <v>0</v>
      </c>
      <c r="S61" s="121" t="s">
        <v>541</v>
      </c>
      <c r="T61" s="121">
        <v>0</v>
      </c>
      <c r="U61" s="121">
        <v>0</v>
      </c>
      <c r="V61" s="119">
        <f t="shared" si="6"/>
        <v>0</v>
      </c>
      <c r="W61" s="119">
        <v>0</v>
      </c>
      <c r="X61" s="121">
        <v>0</v>
      </c>
      <c r="Y61" s="121">
        <v>0</v>
      </c>
      <c r="Z61" s="121">
        <v>0</v>
      </c>
      <c r="AA61" s="119">
        <v>0</v>
      </c>
      <c r="AB61" s="121">
        <v>0</v>
      </c>
      <c r="AC61" s="121">
        <v>0</v>
      </c>
      <c r="AD61" s="119">
        <v>0</v>
      </c>
      <c r="AE61" s="119">
        <v>0</v>
      </c>
      <c r="AF61" s="119">
        <v>0</v>
      </c>
      <c r="AG61" s="119">
        <f t="shared" si="5"/>
        <v>0</v>
      </c>
    </row>
    <row r="62" spans="1:33" x14ac:dyDescent="0.25">
      <c r="A62" s="57" t="s">
        <v>203</v>
      </c>
      <c r="B62" s="218" t="s">
        <v>143</v>
      </c>
      <c r="C62" s="119">
        <v>0</v>
      </c>
      <c r="D62" s="119">
        <v>0</v>
      </c>
      <c r="E62" s="119">
        <f t="shared" si="0"/>
        <v>0</v>
      </c>
      <c r="F62" s="119">
        <f t="shared" si="1"/>
        <v>0</v>
      </c>
      <c r="G62" s="119">
        <v>0</v>
      </c>
      <c r="H62" s="119">
        <v>0</v>
      </c>
      <c r="I62" s="119">
        <v>0</v>
      </c>
      <c r="J62" s="119">
        <v>0</v>
      </c>
      <c r="K62" s="121">
        <v>0</v>
      </c>
      <c r="L62" s="121">
        <v>0</v>
      </c>
      <c r="M62" s="121">
        <v>0</v>
      </c>
      <c r="N62" s="121">
        <v>0</v>
      </c>
      <c r="O62" s="121" t="s">
        <v>541</v>
      </c>
      <c r="P62" s="121">
        <v>0</v>
      </c>
      <c r="Q62" s="121">
        <v>0</v>
      </c>
      <c r="R62" s="121">
        <v>0</v>
      </c>
      <c r="S62" s="121" t="s">
        <v>541</v>
      </c>
      <c r="T62" s="121">
        <v>0</v>
      </c>
      <c r="U62" s="121">
        <v>0</v>
      </c>
      <c r="V62" s="119">
        <f t="shared" si="6"/>
        <v>0</v>
      </c>
      <c r="W62" s="119">
        <v>0</v>
      </c>
      <c r="X62" s="121">
        <v>0</v>
      </c>
      <c r="Y62" s="121">
        <v>0</v>
      </c>
      <c r="Z62" s="121">
        <v>0</v>
      </c>
      <c r="AA62" s="119">
        <v>0</v>
      </c>
      <c r="AB62" s="121">
        <v>0</v>
      </c>
      <c r="AC62" s="121">
        <v>0</v>
      </c>
      <c r="AD62" s="119">
        <v>0</v>
      </c>
      <c r="AE62" s="119">
        <v>0</v>
      </c>
      <c r="AF62" s="119">
        <v>0</v>
      </c>
      <c r="AG62" s="119">
        <f t="shared" si="5"/>
        <v>0</v>
      </c>
    </row>
    <row r="63" spans="1:33" x14ac:dyDescent="0.25">
      <c r="A63" s="57" t="s">
        <v>204</v>
      </c>
      <c r="B63" s="218" t="s">
        <v>206</v>
      </c>
      <c r="C63" s="119">
        <v>0</v>
      </c>
      <c r="D63" s="119">
        <v>0</v>
      </c>
      <c r="E63" s="119">
        <f t="shared" si="0"/>
        <v>0</v>
      </c>
      <c r="F63" s="119">
        <f t="shared" si="1"/>
        <v>0</v>
      </c>
      <c r="G63" s="119">
        <v>0</v>
      </c>
      <c r="H63" s="119">
        <v>0</v>
      </c>
      <c r="I63" s="119">
        <v>0</v>
      </c>
      <c r="J63" s="119">
        <v>0</v>
      </c>
      <c r="K63" s="121">
        <v>0</v>
      </c>
      <c r="L63" s="121">
        <v>0</v>
      </c>
      <c r="M63" s="121">
        <v>0</v>
      </c>
      <c r="N63" s="121">
        <v>0</v>
      </c>
      <c r="O63" s="121" t="s">
        <v>541</v>
      </c>
      <c r="P63" s="121">
        <v>0</v>
      </c>
      <c r="Q63" s="121">
        <v>0</v>
      </c>
      <c r="R63" s="121">
        <v>0</v>
      </c>
      <c r="S63" s="121" t="s">
        <v>541</v>
      </c>
      <c r="T63" s="121">
        <v>0</v>
      </c>
      <c r="U63" s="121">
        <v>0</v>
      </c>
      <c r="V63" s="119">
        <f t="shared" si="6"/>
        <v>0</v>
      </c>
      <c r="W63" s="119">
        <v>0</v>
      </c>
      <c r="X63" s="121">
        <v>0</v>
      </c>
      <c r="Y63" s="121">
        <v>0</v>
      </c>
      <c r="Z63" s="121">
        <v>0</v>
      </c>
      <c r="AA63" s="119">
        <v>0</v>
      </c>
      <c r="AB63" s="121">
        <v>0</v>
      </c>
      <c r="AC63" s="121">
        <v>0</v>
      </c>
      <c r="AD63" s="119">
        <v>0</v>
      </c>
      <c r="AE63" s="119">
        <v>0</v>
      </c>
      <c r="AF63" s="119">
        <v>0</v>
      </c>
      <c r="AG63" s="119">
        <f t="shared" si="5"/>
        <v>0</v>
      </c>
    </row>
    <row r="64" spans="1:33" ht="18.75" x14ac:dyDescent="0.25">
      <c r="A64" s="57" t="s">
        <v>205</v>
      </c>
      <c r="B64" s="216" t="s">
        <v>548</v>
      </c>
      <c r="C64" s="119">
        <v>0</v>
      </c>
      <c r="D64" s="119">
        <v>0</v>
      </c>
      <c r="E64" s="119">
        <f t="shared" si="0"/>
        <v>0</v>
      </c>
      <c r="F64" s="119">
        <f t="shared" si="1"/>
        <v>0</v>
      </c>
      <c r="G64" s="119">
        <v>0</v>
      </c>
      <c r="H64" s="119">
        <v>0</v>
      </c>
      <c r="I64" s="119">
        <v>0</v>
      </c>
      <c r="J64" s="119">
        <v>0</v>
      </c>
      <c r="K64" s="121">
        <v>0</v>
      </c>
      <c r="L64" s="121">
        <v>0</v>
      </c>
      <c r="M64" s="121">
        <v>0</v>
      </c>
      <c r="N64" s="121">
        <v>0</v>
      </c>
      <c r="O64" s="121" t="s">
        <v>541</v>
      </c>
      <c r="P64" s="121">
        <v>0</v>
      </c>
      <c r="Q64" s="121">
        <v>0</v>
      </c>
      <c r="R64" s="121">
        <v>0</v>
      </c>
      <c r="S64" s="121" t="s">
        <v>541</v>
      </c>
      <c r="T64" s="121">
        <v>0</v>
      </c>
      <c r="U64" s="121">
        <v>0</v>
      </c>
      <c r="V64" s="119">
        <f t="shared" si="6"/>
        <v>0</v>
      </c>
      <c r="W64" s="119">
        <v>0</v>
      </c>
      <c r="X64" s="121">
        <v>0</v>
      </c>
      <c r="Y64" s="121">
        <v>0</v>
      </c>
      <c r="Z64" s="121">
        <v>0</v>
      </c>
      <c r="AA64" s="119">
        <v>0</v>
      </c>
      <c r="AB64" s="121">
        <v>0</v>
      </c>
      <c r="AC64" s="121">
        <v>0</v>
      </c>
      <c r="AD64" s="119">
        <v>0</v>
      </c>
      <c r="AE64" s="119">
        <v>0</v>
      </c>
      <c r="AF64" s="119">
        <v>0</v>
      </c>
      <c r="AG64" s="119">
        <f t="shared" si="5"/>
        <v>0</v>
      </c>
    </row>
    <row r="65" spans="1:32" x14ac:dyDescent="0.25">
      <c r="A65" s="53"/>
      <c r="B65" s="54"/>
      <c r="C65" s="54"/>
      <c r="D65" s="54"/>
      <c r="E65" s="54"/>
      <c r="F65" s="54"/>
      <c r="G65" s="54"/>
      <c r="H65" s="54"/>
      <c r="I65" s="54"/>
      <c r="J65" s="54"/>
      <c r="K65" s="54"/>
    </row>
    <row r="66" spans="1:32" ht="54" customHeight="1" x14ac:dyDescent="0.25">
      <c r="B66" s="440"/>
      <c r="C66" s="440"/>
      <c r="D66" s="440"/>
      <c r="E66" s="440"/>
      <c r="F66" s="440"/>
      <c r="G66" s="440"/>
      <c r="H66" s="440"/>
      <c r="I66" s="440"/>
      <c r="J66" s="338"/>
      <c r="K66" s="338"/>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41"/>
      <c r="C68" s="441"/>
      <c r="D68" s="441"/>
      <c r="E68" s="441"/>
      <c r="F68" s="441"/>
      <c r="G68" s="441"/>
      <c r="H68" s="441"/>
      <c r="I68" s="441"/>
      <c r="J68" s="339"/>
      <c r="K68" s="339"/>
    </row>
    <row r="70" spans="1:32" ht="36.75" customHeight="1" x14ac:dyDescent="0.25">
      <c r="B70" s="440"/>
      <c r="C70" s="440"/>
      <c r="D70" s="440"/>
      <c r="E70" s="440"/>
      <c r="F70" s="440"/>
      <c r="G70" s="440"/>
      <c r="H70" s="440"/>
      <c r="I70" s="440"/>
      <c r="J70" s="338"/>
      <c r="K70" s="338"/>
    </row>
    <row r="71" spans="1:32" x14ac:dyDescent="0.25">
      <c r="B71" s="51"/>
      <c r="C71" s="51"/>
      <c r="D71" s="51"/>
      <c r="E71" s="51"/>
      <c r="F71" s="51"/>
    </row>
    <row r="72" spans="1:32" ht="51" customHeight="1" x14ac:dyDescent="0.25">
      <c r="B72" s="440"/>
      <c r="C72" s="440"/>
      <c r="D72" s="440"/>
      <c r="E72" s="440"/>
      <c r="F72" s="440"/>
      <c r="G72" s="440"/>
      <c r="H72" s="440"/>
      <c r="I72" s="440"/>
      <c r="J72" s="338"/>
      <c r="K72" s="338"/>
    </row>
    <row r="73" spans="1:32" ht="32.25" customHeight="1" x14ac:dyDescent="0.25">
      <c r="B73" s="441"/>
      <c r="C73" s="441"/>
      <c r="D73" s="441"/>
      <c r="E73" s="441"/>
      <c r="F73" s="441"/>
      <c r="G73" s="441"/>
      <c r="H73" s="441"/>
      <c r="I73" s="441"/>
      <c r="J73" s="339"/>
      <c r="K73" s="339"/>
    </row>
    <row r="74" spans="1:32" ht="51.75" customHeight="1" x14ac:dyDescent="0.25">
      <c r="B74" s="440"/>
      <c r="C74" s="440"/>
      <c r="D74" s="440"/>
      <c r="E74" s="440"/>
      <c r="F74" s="440"/>
      <c r="G74" s="440"/>
      <c r="H74" s="440"/>
      <c r="I74" s="440"/>
      <c r="J74" s="338"/>
      <c r="K74" s="338"/>
    </row>
    <row r="75" spans="1:32" ht="21.75" customHeight="1" x14ac:dyDescent="0.25">
      <c r="B75" s="438"/>
      <c r="C75" s="438"/>
      <c r="D75" s="438"/>
      <c r="E75" s="438"/>
      <c r="F75" s="438"/>
      <c r="G75" s="438"/>
      <c r="H75" s="438"/>
      <c r="I75" s="438"/>
      <c r="J75" s="336"/>
      <c r="K75" s="336"/>
    </row>
    <row r="76" spans="1:32" ht="23.25" customHeight="1" x14ac:dyDescent="0.25">
      <c r="B76" s="46"/>
      <c r="C76" s="46"/>
      <c r="D76" s="46"/>
      <c r="E76" s="46"/>
      <c r="F76" s="46"/>
    </row>
    <row r="77" spans="1:32" ht="18.75" customHeight="1" x14ac:dyDescent="0.25">
      <c r="B77" s="439"/>
      <c r="C77" s="439"/>
      <c r="D77" s="439"/>
      <c r="E77" s="439"/>
      <c r="F77" s="439"/>
      <c r="G77" s="439"/>
      <c r="H77" s="439"/>
      <c r="I77" s="439"/>
      <c r="J77" s="337"/>
      <c r="K77" s="337"/>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3" t="str">
        <f>'1. паспорт местоположение'!A5:C5</f>
        <v>Год раскрытия информации: 2021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4"/>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0" t="str">
        <f>'1. паспорт местоположение'!A12:C12</f>
        <v>K 20-01</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ht="15.75" x14ac:dyDescent="0.25">
      <c r="A15" s="360" t="str">
        <f>'1. паспорт местоположение'!A15:C15</f>
        <v>Создание интеллектуальной системы учета электрической энергии</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184"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184" customFormat="1" x14ac:dyDescent="0.25">
      <c r="A21" s="448" t="s">
        <v>406</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184" customFormat="1" ht="58.5" customHeight="1" x14ac:dyDescent="0.25">
      <c r="A22" s="449" t="s">
        <v>50</v>
      </c>
      <c r="B22" s="455" t="s">
        <v>22</v>
      </c>
      <c r="C22" s="452" t="s">
        <v>49</v>
      </c>
      <c r="D22" s="452" t="s">
        <v>48</v>
      </c>
      <c r="E22" s="458" t="s">
        <v>415</v>
      </c>
      <c r="F22" s="459"/>
      <c r="G22" s="459"/>
      <c r="H22" s="459"/>
      <c r="I22" s="459"/>
      <c r="J22" s="459"/>
      <c r="K22" s="459"/>
      <c r="L22" s="460"/>
      <c r="M22" s="452" t="s">
        <v>47</v>
      </c>
      <c r="N22" s="452" t="s">
        <v>46</v>
      </c>
      <c r="O22" s="452" t="s">
        <v>45</v>
      </c>
      <c r="P22" s="461" t="s">
        <v>228</v>
      </c>
      <c r="Q22" s="461" t="s">
        <v>44</v>
      </c>
      <c r="R22" s="461" t="s">
        <v>43</v>
      </c>
      <c r="S22" s="461" t="s">
        <v>42</v>
      </c>
      <c r="T22" s="461"/>
      <c r="U22" s="462" t="s">
        <v>41</v>
      </c>
      <c r="V22" s="462" t="s">
        <v>40</v>
      </c>
      <c r="W22" s="461" t="s">
        <v>39</v>
      </c>
      <c r="X22" s="461" t="s">
        <v>38</v>
      </c>
      <c r="Y22" s="461" t="s">
        <v>37</v>
      </c>
      <c r="Z22" s="475" t="s">
        <v>36</v>
      </c>
      <c r="AA22" s="461" t="s">
        <v>35</v>
      </c>
      <c r="AB22" s="461" t="s">
        <v>34</v>
      </c>
      <c r="AC22" s="461" t="s">
        <v>33</v>
      </c>
      <c r="AD22" s="461" t="s">
        <v>32</v>
      </c>
      <c r="AE22" s="461" t="s">
        <v>31</v>
      </c>
      <c r="AF22" s="461" t="s">
        <v>30</v>
      </c>
      <c r="AG22" s="461"/>
      <c r="AH22" s="461"/>
      <c r="AI22" s="461"/>
      <c r="AJ22" s="461"/>
      <c r="AK22" s="461"/>
      <c r="AL22" s="461" t="s">
        <v>29</v>
      </c>
      <c r="AM22" s="461"/>
      <c r="AN22" s="461"/>
      <c r="AO22" s="461"/>
      <c r="AP22" s="461" t="s">
        <v>28</v>
      </c>
      <c r="AQ22" s="461"/>
      <c r="AR22" s="461" t="s">
        <v>27</v>
      </c>
      <c r="AS22" s="461" t="s">
        <v>26</v>
      </c>
      <c r="AT22" s="461" t="s">
        <v>25</v>
      </c>
      <c r="AU22" s="461" t="s">
        <v>24</v>
      </c>
      <c r="AV22" s="465" t="s">
        <v>23</v>
      </c>
    </row>
    <row r="23" spans="1:48" s="184" customFormat="1" ht="64.5" customHeight="1" x14ac:dyDescent="0.25">
      <c r="A23" s="450"/>
      <c r="B23" s="456"/>
      <c r="C23" s="453"/>
      <c r="D23" s="453"/>
      <c r="E23" s="467" t="s">
        <v>21</v>
      </c>
      <c r="F23" s="469" t="s">
        <v>126</v>
      </c>
      <c r="G23" s="469" t="s">
        <v>125</v>
      </c>
      <c r="H23" s="469" t="s">
        <v>124</v>
      </c>
      <c r="I23" s="473" t="s">
        <v>353</v>
      </c>
      <c r="J23" s="473" t="s">
        <v>354</v>
      </c>
      <c r="K23" s="473" t="s">
        <v>355</v>
      </c>
      <c r="L23" s="469" t="s">
        <v>74</v>
      </c>
      <c r="M23" s="453"/>
      <c r="N23" s="453"/>
      <c r="O23" s="453"/>
      <c r="P23" s="461"/>
      <c r="Q23" s="461"/>
      <c r="R23" s="461"/>
      <c r="S23" s="471" t="s">
        <v>2</v>
      </c>
      <c r="T23" s="471" t="s">
        <v>9</v>
      </c>
      <c r="U23" s="462"/>
      <c r="V23" s="462"/>
      <c r="W23" s="461"/>
      <c r="X23" s="461"/>
      <c r="Y23" s="461"/>
      <c r="Z23" s="461"/>
      <c r="AA23" s="461"/>
      <c r="AB23" s="461"/>
      <c r="AC23" s="461"/>
      <c r="AD23" s="461"/>
      <c r="AE23" s="461"/>
      <c r="AF23" s="461" t="s">
        <v>20</v>
      </c>
      <c r="AG23" s="461"/>
      <c r="AH23" s="461" t="s">
        <v>19</v>
      </c>
      <c r="AI23" s="461"/>
      <c r="AJ23" s="452" t="s">
        <v>18</v>
      </c>
      <c r="AK23" s="452" t="s">
        <v>17</v>
      </c>
      <c r="AL23" s="452" t="s">
        <v>16</v>
      </c>
      <c r="AM23" s="452" t="s">
        <v>15</v>
      </c>
      <c r="AN23" s="452" t="s">
        <v>14</v>
      </c>
      <c r="AO23" s="452" t="s">
        <v>13</v>
      </c>
      <c r="AP23" s="452" t="s">
        <v>12</v>
      </c>
      <c r="AQ23" s="463" t="s">
        <v>9</v>
      </c>
      <c r="AR23" s="461"/>
      <c r="AS23" s="461"/>
      <c r="AT23" s="461"/>
      <c r="AU23" s="461"/>
      <c r="AV23" s="466"/>
    </row>
    <row r="24" spans="1:48" s="184" customFormat="1" ht="96.75" customHeight="1" x14ac:dyDescent="0.25">
      <c r="A24" s="451"/>
      <c r="B24" s="457"/>
      <c r="C24" s="454"/>
      <c r="D24" s="454"/>
      <c r="E24" s="468"/>
      <c r="F24" s="470"/>
      <c r="G24" s="470"/>
      <c r="H24" s="470"/>
      <c r="I24" s="474"/>
      <c r="J24" s="474"/>
      <c r="K24" s="474"/>
      <c r="L24" s="470"/>
      <c r="M24" s="454"/>
      <c r="N24" s="454"/>
      <c r="O24" s="454"/>
      <c r="P24" s="461"/>
      <c r="Q24" s="461"/>
      <c r="R24" s="461"/>
      <c r="S24" s="472"/>
      <c r="T24" s="472"/>
      <c r="U24" s="462"/>
      <c r="V24" s="462"/>
      <c r="W24" s="461"/>
      <c r="X24" s="461"/>
      <c r="Y24" s="461"/>
      <c r="Z24" s="461"/>
      <c r="AA24" s="461"/>
      <c r="AB24" s="461"/>
      <c r="AC24" s="461"/>
      <c r="AD24" s="461"/>
      <c r="AE24" s="461"/>
      <c r="AF24" s="185" t="s">
        <v>11</v>
      </c>
      <c r="AG24" s="185" t="s">
        <v>10</v>
      </c>
      <c r="AH24" s="186" t="s">
        <v>2</v>
      </c>
      <c r="AI24" s="186" t="s">
        <v>9</v>
      </c>
      <c r="AJ24" s="454"/>
      <c r="AK24" s="454"/>
      <c r="AL24" s="454"/>
      <c r="AM24" s="454"/>
      <c r="AN24" s="454"/>
      <c r="AO24" s="454"/>
      <c r="AP24" s="454"/>
      <c r="AQ24" s="464"/>
      <c r="AR24" s="461"/>
      <c r="AS24" s="461"/>
      <c r="AT24" s="461"/>
      <c r="AU24" s="461"/>
      <c r="AV24" s="466"/>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8"/>
      <c r="AQ26" s="228"/>
      <c r="AR26" s="228"/>
      <c r="AS26" s="228"/>
      <c r="AT26" s="228"/>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46" zoomScale="90" zoomScaleNormal="90" zoomScaleSheetLayoutView="90" workbookViewId="0">
      <selection activeCell="A15" sqref="A15:B15"/>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76" t="str">
        <f>'1. паспорт местоположение'!A5:C5</f>
        <v>Год раскрытия информации: 2021 год</v>
      </c>
      <c r="B5" s="476"/>
      <c r="C5" s="68"/>
      <c r="D5" s="68"/>
      <c r="E5" s="68"/>
      <c r="F5" s="68"/>
      <c r="G5" s="68"/>
      <c r="H5" s="68"/>
    </row>
    <row r="6" spans="1:8" ht="18.75" x14ac:dyDescent="0.3">
      <c r="A6" s="103"/>
      <c r="B6" s="103"/>
      <c r="C6" s="103"/>
      <c r="D6" s="103"/>
      <c r="E6" s="103"/>
      <c r="F6" s="103"/>
      <c r="G6" s="103"/>
      <c r="H6" s="103"/>
    </row>
    <row r="7" spans="1:8" ht="18.75" x14ac:dyDescent="0.25">
      <c r="A7" s="365" t="s">
        <v>7</v>
      </c>
      <c r="B7" s="365"/>
      <c r="C7" s="142"/>
      <c r="D7" s="142"/>
      <c r="E7" s="142"/>
      <c r="F7" s="142"/>
      <c r="G7" s="142"/>
      <c r="H7" s="142"/>
    </row>
    <row r="8" spans="1:8" ht="18.75" x14ac:dyDescent="0.25">
      <c r="A8" s="142"/>
      <c r="B8" s="142"/>
      <c r="C8" s="142"/>
      <c r="D8" s="142"/>
      <c r="E8" s="142"/>
      <c r="F8" s="142"/>
      <c r="G8" s="142"/>
      <c r="H8" s="142"/>
    </row>
    <row r="9" spans="1:8" x14ac:dyDescent="0.25">
      <c r="A9" s="360" t="str">
        <f>'1. паспорт местоположение'!A9:C9</f>
        <v xml:space="preserve">Акционерное общество "Западная энергетическая компания" </v>
      </c>
      <c r="B9" s="360"/>
      <c r="C9" s="144"/>
      <c r="D9" s="144"/>
      <c r="E9" s="144"/>
      <c r="F9" s="144"/>
      <c r="G9" s="144"/>
      <c r="H9" s="144"/>
    </row>
    <row r="10" spans="1:8" x14ac:dyDescent="0.25">
      <c r="A10" s="361" t="s">
        <v>6</v>
      </c>
      <c r="B10" s="361"/>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0" t="str">
        <f>'1. паспорт местоположение'!A12:C12</f>
        <v>K 20-01</v>
      </c>
      <c r="B12" s="360"/>
      <c r="C12" s="144"/>
      <c r="D12" s="144"/>
      <c r="E12" s="144"/>
      <c r="F12" s="144"/>
      <c r="G12" s="144"/>
      <c r="H12" s="144"/>
    </row>
    <row r="13" spans="1:8" x14ac:dyDescent="0.25">
      <c r="A13" s="361" t="s">
        <v>5</v>
      </c>
      <c r="B13" s="361"/>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4" t="str">
        <f>'1. паспорт местоположение'!A15:C15</f>
        <v>Создание интеллектуальной системы учета электрической энергии</v>
      </c>
      <c r="B15" s="394"/>
      <c r="C15" s="144"/>
      <c r="D15" s="144"/>
      <c r="E15" s="144"/>
      <c r="F15" s="144"/>
      <c r="G15" s="144"/>
      <c r="H15" s="144"/>
    </row>
    <row r="16" spans="1:8" x14ac:dyDescent="0.25">
      <c r="A16" s="361" t="s">
        <v>4</v>
      </c>
      <c r="B16" s="361"/>
      <c r="C16" s="145"/>
      <c r="D16" s="145"/>
      <c r="E16" s="145"/>
      <c r="F16" s="145"/>
      <c r="G16" s="145"/>
      <c r="H16" s="145"/>
    </row>
    <row r="17" spans="1:2" x14ac:dyDescent="0.25">
      <c r="B17" s="78"/>
    </row>
    <row r="18" spans="1:2" ht="33.75" customHeight="1" x14ac:dyDescent="0.25">
      <c r="A18" s="477" t="s">
        <v>407</v>
      </c>
      <c r="B18" s="478"/>
    </row>
    <row r="19" spans="1:2" x14ac:dyDescent="0.25">
      <c r="B19" s="32"/>
    </row>
    <row r="20" spans="1:2" ht="16.5" thickBot="1" x14ac:dyDescent="0.3">
      <c r="B20" s="79"/>
    </row>
    <row r="21" spans="1:2" ht="65.25" customHeight="1" thickBot="1" x14ac:dyDescent="0.3">
      <c r="A21" s="80" t="s">
        <v>304</v>
      </c>
      <c r="B21" s="133" t="str">
        <f>A15</f>
        <v>Создание интеллектуальной системы учета электрической энергии</v>
      </c>
    </row>
    <row r="22" spans="1:2" ht="30" customHeight="1" thickBot="1" x14ac:dyDescent="0.3">
      <c r="A22" s="80" t="s">
        <v>305</v>
      </c>
      <c r="B22" s="247"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5">
        <f>'6.1. Паспорт сетевой график'!C54</f>
        <v>44824</v>
      </c>
    </row>
    <row r="26" spans="1:2" ht="16.5" thickBot="1" x14ac:dyDescent="0.3">
      <c r="A26" s="83" t="s">
        <v>308</v>
      </c>
      <c r="B26" s="131" t="s">
        <v>436</v>
      </c>
    </row>
    <row r="27" spans="1:2" ht="29.25" thickBot="1" x14ac:dyDescent="0.3">
      <c r="A27" s="90" t="s">
        <v>586</v>
      </c>
      <c r="B27" s="132">
        <f>'6.2. Паспорт фин осв ввод'!C24</f>
        <v>14.5</v>
      </c>
    </row>
    <row r="28" spans="1:2" ht="42" customHeight="1" thickBot="1" x14ac:dyDescent="0.3">
      <c r="A28" s="85" t="s">
        <v>309</v>
      </c>
      <c r="B28" s="85" t="s">
        <v>552</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row>
    <row r="34" spans="1:3" ht="16.5" thickBot="1" x14ac:dyDescent="0.3">
      <c r="A34" s="85" t="s">
        <v>315</v>
      </c>
      <c r="B34" s="113"/>
    </row>
    <row r="35" spans="1:3" ht="16.5" thickBot="1" x14ac:dyDescent="0.3">
      <c r="A35" s="85" t="s">
        <v>316</v>
      </c>
      <c r="B35" s="132"/>
    </row>
    <row r="36" spans="1:3" ht="16.5" thickBot="1" x14ac:dyDescent="0.3">
      <c r="A36" s="85" t="s">
        <v>317</v>
      </c>
      <c r="B36" s="132"/>
    </row>
    <row r="37" spans="1:3" s="198" customFormat="1" ht="16.5" thickBot="1" x14ac:dyDescent="0.3">
      <c r="A37" s="111" t="s">
        <v>314</v>
      </c>
      <c r="B37" s="112"/>
    </row>
    <row r="38" spans="1:3" ht="16.5" thickBot="1" x14ac:dyDescent="0.3">
      <c r="A38" s="85" t="s">
        <v>315</v>
      </c>
      <c r="B38" s="113">
        <f>B37/$B$27</f>
        <v>0</v>
      </c>
    </row>
    <row r="39" spans="1:3" ht="16.5" thickBot="1" x14ac:dyDescent="0.3">
      <c r="A39" s="85" t="s">
        <v>316</v>
      </c>
      <c r="B39" s="110"/>
    </row>
    <row r="40" spans="1:3" ht="16.5" thickBot="1" x14ac:dyDescent="0.3">
      <c r="A40" s="85" t="s">
        <v>317</v>
      </c>
      <c r="B40" s="110"/>
    </row>
    <row r="41" spans="1:3" ht="16.5" thickBot="1" x14ac:dyDescent="0.3">
      <c r="A41" s="111" t="s">
        <v>314</v>
      </c>
      <c r="B41" s="112"/>
      <c r="C41" s="198"/>
    </row>
    <row r="42" spans="1:3" ht="16.5" thickBot="1" x14ac:dyDescent="0.3">
      <c r="A42" s="85" t="s">
        <v>315</v>
      </c>
      <c r="B42" s="113">
        <f>B41/$B$27</f>
        <v>0</v>
      </c>
    </row>
    <row r="43" spans="1:3" ht="16.5" thickBot="1" x14ac:dyDescent="0.3">
      <c r="A43" s="85" t="s">
        <v>316</v>
      </c>
      <c r="B43" s="110"/>
    </row>
    <row r="44" spans="1:3" ht="16.5" thickBot="1" x14ac:dyDescent="0.3">
      <c r="A44" s="85" t="s">
        <v>317</v>
      </c>
      <c r="B44" s="110"/>
    </row>
    <row r="45" spans="1:3" ht="16.5" thickBot="1" x14ac:dyDescent="0.3">
      <c r="A45" s="111" t="s">
        <v>314</v>
      </c>
      <c r="B45" s="112"/>
      <c r="C45" s="198"/>
    </row>
    <row r="46" spans="1:3" ht="16.5" thickBot="1" x14ac:dyDescent="0.3">
      <c r="A46" s="85" t="s">
        <v>315</v>
      </c>
      <c r="B46" s="113">
        <f>B45/$B$27</f>
        <v>0</v>
      </c>
    </row>
    <row r="47" spans="1:3" ht="16.5" thickBot="1" x14ac:dyDescent="0.3">
      <c r="A47" s="85" t="s">
        <v>316</v>
      </c>
      <c r="B47" s="110"/>
    </row>
    <row r="48" spans="1:3" ht="16.5" thickBot="1" x14ac:dyDescent="0.3">
      <c r="A48" s="85" t="s">
        <v>317</v>
      </c>
      <c r="B48" s="110"/>
    </row>
    <row r="49" spans="1:3" ht="16.5" thickBot="1" x14ac:dyDescent="0.3">
      <c r="A49" s="111" t="s">
        <v>314</v>
      </c>
      <c r="B49" s="112"/>
      <c r="C49" s="198"/>
    </row>
    <row r="50" spans="1:3" ht="16.5" thickBot="1" x14ac:dyDescent="0.3">
      <c r="A50" s="85" t="s">
        <v>315</v>
      </c>
      <c r="B50" s="113">
        <f>B49/$B$27</f>
        <v>0</v>
      </c>
    </row>
    <row r="51" spans="1:3" ht="16.5" thickBot="1" x14ac:dyDescent="0.3">
      <c r="A51" s="85" t="s">
        <v>316</v>
      </c>
      <c r="B51" s="110"/>
    </row>
    <row r="52" spans="1:3" ht="16.5" thickBot="1" x14ac:dyDescent="0.3">
      <c r="A52" s="85" t="s">
        <v>317</v>
      </c>
      <c r="B52" s="110"/>
    </row>
    <row r="53" spans="1:3" ht="29.25" thickBot="1" x14ac:dyDescent="0.3">
      <c r="A53" s="91" t="s">
        <v>318</v>
      </c>
      <c r="B53" s="110">
        <f xml:space="preserve"> SUMIF(C54:C110, 20,B54:B110)</f>
        <v>0</v>
      </c>
    </row>
    <row r="54" spans="1:3" s="198" customFormat="1" ht="16.5" thickBot="1" x14ac:dyDescent="0.3">
      <c r="A54" s="111" t="s">
        <v>314</v>
      </c>
      <c r="B54" s="112"/>
    </row>
    <row r="55" spans="1:3" ht="16.5" thickBot="1" x14ac:dyDescent="0.3">
      <c r="A55" s="85" t="s">
        <v>315</v>
      </c>
      <c r="B55" s="113">
        <f>B54/$B$27</f>
        <v>0</v>
      </c>
    </row>
    <row r="56" spans="1:3" ht="16.5" thickBot="1" x14ac:dyDescent="0.3">
      <c r="A56" s="85" t="s">
        <v>316</v>
      </c>
      <c r="B56" s="110"/>
    </row>
    <row r="57" spans="1:3" ht="16.5" thickBot="1" x14ac:dyDescent="0.3">
      <c r="A57" s="85" t="s">
        <v>317</v>
      </c>
      <c r="B57" s="110"/>
    </row>
    <row r="58" spans="1:3" s="198" customFormat="1" ht="16.5" thickBot="1" x14ac:dyDescent="0.3">
      <c r="A58" s="111" t="s">
        <v>314</v>
      </c>
      <c r="B58" s="112"/>
    </row>
    <row r="59" spans="1:3" ht="16.5" thickBot="1" x14ac:dyDescent="0.3">
      <c r="A59" s="85" t="s">
        <v>315</v>
      </c>
      <c r="B59" s="113">
        <f>B58/$B$27</f>
        <v>0</v>
      </c>
    </row>
    <row r="60" spans="1:3" ht="16.5" thickBot="1" x14ac:dyDescent="0.3">
      <c r="A60" s="85" t="s">
        <v>316</v>
      </c>
      <c r="B60" s="110"/>
    </row>
    <row r="61" spans="1:3" ht="16.5" thickBot="1" x14ac:dyDescent="0.3">
      <c r="A61" s="85" t="s">
        <v>317</v>
      </c>
      <c r="B61" s="110"/>
    </row>
    <row r="62" spans="1:3" s="198" customFormat="1" ht="16.5" thickBot="1" x14ac:dyDescent="0.3">
      <c r="A62" s="111" t="s">
        <v>314</v>
      </c>
      <c r="B62" s="112"/>
    </row>
    <row r="63" spans="1:3" ht="16.5" thickBot="1" x14ac:dyDescent="0.3">
      <c r="A63" s="85" t="s">
        <v>315</v>
      </c>
      <c r="B63" s="113">
        <f>B62/$B$27</f>
        <v>0</v>
      </c>
    </row>
    <row r="64" spans="1:3" ht="16.5" thickBot="1" x14ac:dyDescent="0.3">
      <c r="A64" s="85" t="s">
        <v>316</v>
      </c>
      <c r="B64" s="110"/>
    </row>
    <row r="65" spans="1:2" ht="16.5" thickBot="1" x14ac:dyDescent="0.3">
      <c r="A65" s="85" t="s">
        <v>317</v>
      </c>
      <c r="B65" s="110"/>
    </row>
    <row r="66" spans="1:2" s="198" customFormat="1" ht="16.5" thickBot="1" x14ac:dyDescent="0.3">
      <c r="A66" s="111" t="s">
        <v>314</v>
      </c>
      <c r="B66" s="112"/>
    </row>
    <row r="67" spans="1:2" ht="16.5" thickBot="1" x14ac:dyDescent="0.3">
      <c r="A67" s="85" t="s">
        <v>315</v>
      </c>
      <c r="B67" s="113">
        <f>B66/$B$27</f>
        <v>0</v>
      </c>
    </row>
    <row r="68" spans="1:2" ht="16.5" thickBot="1" x14ac:dyDescent="0.3">
      <c r="A68" s="85" t="s">
        <v>316</v>
      </c>
      <c r="B68" s="110"/>
    </row>
    <row r="69" spans="1:2" ht="16.5" thickBot="1" x14ac:dyDescent="0.3">
      <c r="A69" s="85" t="s">
        <v>317</v>
      </c>
      <c r="B69" s="110"/>
    </row>
    <row r="70" spans="1:2" ht="29.25" thickBot="1" x14ac:dyDescent="0.3">
      <c r="A70" s="91" t="s">
        <v>319</v>
      </c>
      <c r="B70" s="110"/>
    </row>
    <row r="71" spans="1:2" s="198" customFormat="1" ht="16.5" thickBot="1" x14ac:dyDescent="0.3">
      <c r="A71" s="205"/>
      <c r="B71" s="206"/>
    </row>
    <row r="72" spans="1:2" ht="16.5" thickBot="1" x14ac:dyDescent="0.3">
      <c r="A72" s="85" t="s">
        <v>315</v>
      </c>
      <c r="B72" s="113"/>
    </row>
    <row r="73" spans="1:2" ht="16.5" thickBot="1" x14ac:dyDescent="0.3">
      <c r="A73" s="85" t="s">
        <v>316</v>
      </c>
      <c r="B73" s="132"/>
    </row>
    <row r="74" spans="1:2" ht="16.5" thickBot="1" x14ac:dyDescent="0.3">
      <c r="A74" s="85" t="s">
        <v>317</v>
      </c>
      <c r="B74" s="132"/>
    </row>
    <row r="75" spans="1:2" s="198" customFormat="1" ht="16.5" thickBot="1" x14ac:dyDescent="0.3">
      <c r="A75" s="205"/>
      <c r="B75" s="206"/>
    </row>
    <row r="76" spans="1:2" ht="16.5" thickBot="1" x14ac:dyDescent="0.3">
      <c r="A76" s="85" t="s">
        <v>315</v>
      </c>
      <c r="B76" s="113"/>
    </row>
    <row r="77" spans="1:2" ht="16.5" thickBot="1" x14ac:dyDescent="0.3">
      <c r="A77" s="85" t="s">
        <v>316</v>
      </c>
      <c r="B77" s="132"/>
    </row>
    <row r="78" spans="1:2" ht="16.5" thickBot="1" x14ac:dyDescent="0.3">
      <c r="A78" s="85" t="s">
        <v>317</v>
      </c>
      <c r="B78" s="132"/>
    </row>
    <row r="79" spans="1:2" s="198" customFormat="1" ht="16.5" thickBot="1" x14ac:dyDescent="0.3">
      <c r="A79" s="205"/>
      <c r="B79" s="206"/>
    </row>
    <row r="80" spans="1:2" ht="16.5" thickBot="1" x14ac:dyDescent="0.3">
      <c r="A80" s="85" t="s">
        <v>315</v>
      </c>
      <c r="B80" s="113"/>
    </row>
    <row r="81" spans="1:2" ht="16.5" thickBot="1" x14ac:dyDescent="0.3">
      <c r="A81" s="85" t="s">
        <v>316</v>
      </c>
      <c r="B81" s="110"/>
    </row>
    <row r="82" spans="1:2" ht="16.5" thickBot="1" x14ac:dyDescent="0.3">
      <c r="A82" s="85" t="s">
        <v>317</v>
      </c>
      <c r="B82" s="110"/>
    </row>
    <row r="83" spans="1:2" s="198" customFormat="1" ht="16.5" thickBot="1" x14ac:dyDescent="0.3">
      <c r="A83" s="111" t="s">
        <v>314</v>
      </c>
      <c r="B83" s="112"/>
    </row>
    <row r="84" spans="1:2" ht="16.5" thickBot="1" x14ac:dyDescent="0.3">
      <c r="A84" s="85" t="s">
        <v>315</v>
      </c>
      <c r="B84" s="113"/>
    </row>
    <row r="85" spans="1:2" ht="16.5" thickBot="1" x14ac:dyDescent="0.3">
      <c r="A85" s="85" t="s">
        <v>316</v>
      </c>
      <c r="B85" s="110"/>
    </row>
    <row r="86" spans="1:2" ht="16.5" thickBot="1" x14ac:dyDescent="0.3">
      <c r="A86" s="85" t="s">
        <v>317</v>
      </c>
      <c r="B86" s="110"/>
    </row>
    <row r="87" spans="1:2" s="198" customFormat="1" ht="16.5" thickBot="1" x14ac:dyDescent="0.3">
      <c r="A87" s="111" t="s">
        <v>314</v>
      </c>
      <c r="B87" s="112"/>
    </row>
    <row r="88" spans="1:2" ht="16.5" thickBot="1" x14ac:dyDescent="0.3">
      <c r="A88" s="85" t="s">
        <v>315</v>
      </c>
      <c r="B88" s="113"/>
    </row>
    <row r="89" spans="1:2" ht="16.5" thickBot="1" x14ac:dyDescent="0.3">
      <c r="A89" s="85" t="s">
        <v>316</v>
      </c>
      <c r="B89" s="110"/>
    </row>
    <row r="90" spans="1:2" ht="16.5" thickBot="1" x14ac:dyDescent="0.3">
      <c r="A90" s="85" t="s">
        <v>317</v>
      </c>
      <c r="B90" s="110"/>
    </row>
    <row r="91" spans="1:2" s="198" customFormat="1" ht="16.5" thickBot="1" x14ac:dyDescent="0.3">
      <c r="A91" s="111" t="s">
        <v>314</v>
      </c>
      <c r="B91" s="112"/>
    </row>
    <row r="92" spans="1:2" ht="16.5" thickBot="1" x14ac:dyDescent="0.3">
      <c r="A92" s="85" t="s">
        <v>315</v>
      </c>
      <c r="B92" s="113"/>
    </row>
    <row r="93" spans="1:2" ht="16.5" thickBot="1" x14ac:dyDescent="0.3">
      <c r="A93" s="85" t="s">
        <v>316</v>
      </c>
      <c r="B93" s="110"/>
    </row>
    <row r="94" spans="1:2" ht="16.5" thickBot="1" x14ac:dyDescent="0.3">
      <c r="A94" s="85" t="s">
        <v>317</v>
      </c>
      <c r="B94" s="110"/>
    </row>
    <row r="95" spans="1:2" s="198" customFormat="1" ht="16.5" thickBot="1" x14ac:dyDescent="0.3">
      <c r="A95" s="111" t="s">
        <v>314</v>
      </c>
      <c r="B95" s="112"/>
    </row>
    <row r="96" spans="1:2" ht="16.5" thickBot="1" x14ac:dyDescent="0.3">
      <c r="A96" s="85" t="s">
        <v>315</v>
      </c>
      <c r="B96" s="113"/>
    </row>
    <row r="97" spans="1:2" ht="16.5" thickBot="1" x14ac:dyDescent="0.3">
      <c r="A97" s="85" t="s">
        <v>316</v>
      </c>
      <c r="B97" s="110"/>
    </row>
    <row r="98" spans="1:2" ht="16.5" thickBot="1" x14ac:dyDescent="0.3">
      <c r="A98" s="85" t="s">
        <v>317</v>
      </c>
      <c r="B98" s="110"/>
    </row>
    <row r="99" spans="1:2" s="198" customFormat="1" ht="16.5" thickBot="1" x14ac:dyDescent="0.3">
      <c r="A99" s="111" t="s">
        <v>314</v>
      </c>
      <c r="B99" s="112"/>
    </row>
    <row r="100" spans="1:2" ht="16.5" thickBot="1" x14ac:dyDescent="0.3">
      <c r="A100" s="85" t="s">
        <v>315</v>
      </c>
      <c r="B100" s="113">
        <f>B99/$B$27</f>
        <v>0</v>
      </c>
    </row>
    <row r="101" spans="1:2" ht="16.5" thickBot="1" x14ac:dyDescent="0.3">
      <c r="A101" s="85" t="s">
        <v>316</v>
      </c>
      <c r="B101" s="110"/>
    </row>
    <row r="102" spans="1:2" ht="16.5" thickBot="1" x14ac:dyDescent="0.3">
      <c r="A102" s="85" t="s">
        <v>317</v>
      </c>
      <c r="B102" s="110"/>
    </row>
    <row r="103" spans="1:2" s="198" customFormat="1" ht="16.5" thickBot="1" x14ac:dyDescent="0.3">
      <c r="A103" s="111" t="s">
        <v>314</v>
      </c>
      <c r="B103" s="112"/>
    </row>
    <row r="104" spans="1:2" ht="16.5" thickBot="1" x14ac:dyDescent="0.3">
      <c r="A104" s="85" t="s">
        <v>315</v>
      </c>
      <c r="B104" s="113">
        <f>B103/$B$27</f>
        <v>0</v>
      </c>
    </row>
    <row r="105" spans="1:2" ht="16.5" thickBot="1" x14ac:dyDescent="0.3">
      <c r="A105" s="85" t="s">
        <v>316</v>
      </c>
      <c r="B105" s="110"/>
    </row>
    <row r="106" spans="1:2" ht="16.5" thickBot="1" x14ac:dyDescent="0.3">
      <c r="A106" s="85" t="s">
        <v>317</v>
      </c>
      <c r="B106" s="110"/>
    </row>
    <row r="107" spans="1:2" s="198" customFormat="1" ht="16.5" thickBot="1" x14ac:dyDescent="0.3">
      <c r="A107" s="111" t="s">
        <v>314</v>
      </c>
      <c r="B107" s="112"/>
    </row>
    <row r="108" spans="1:2" ht="16.5" thickBot="1" x14ac:dyDescent="0.3">
      <c r="A108" s="85" t="s">
        <v>315</v>
      </c>
      <c r="B108" s="113">
        <f>B107/$B$27</f>
        <v>0</v>
      </c>
    </row>
    <row r="109" spans="1:2" ht="16.5" thickBot="1" x14ac:dyDescent="0.3">
      <c r="A109" s="85" t="s">
        <v>316</v>
      </c>
      <c r="B109" s="110"/>
    </row>
    <row r="110" spans="1:2" ht="16.5" thickBot="1" x14ac:dyDescent="0.3">
      <c r="A110" s="85" t="s">
        <v>317</v>
      </c>
      <c r="B110" s="110"/>
    </row>
    <row r="111" spans="1:2" ht="29.25" thickBot="1" x14ac:dyDescent="0.3">
      <c r="A111" s="84" t="s">
        <v>320</v>
      </c>
      <c r="B111" s="113">
        <f>B30/B27</f>
        <v>0</v>
      </c>
    </row>
    <row r="112" spans="1:2"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4">
        <f xml:space="preserve"> SUMIF(C33:C110, 1,B33:B110)</f>
        <v>0</v>
      </c>
    </row>
    <row r="118" spans="1:2" ht="16.5" thickBot="1" x14ac:dyDescent="0.3">
      <c r="A118" s="82" t="s">
        <v>326</v>
      </c>
      <c r="B118" s="114">
        <f>B119/$B$27</f>
        <v>0</v>
      </c>
    </row>
    <row r="119" spans="1:2" ht="16.5" thickBot="1" x14ac:dyDescent="0.3">
      <c r="A119" s="83" t="s">
        <v>327</v>
      </c>
      <c r="B119" s="224">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5"/>
    </row>
    <row r="128" spans="1:2" ht="16.5" thickBot="1" x14ac:dyDescent="0.3">
      <c r="A128" s="86" t="s">
        <v>312</v>
      </c>
      <c r="B128" s="226"/>
    </row>
    <row r="129" spans="1:2" ht="16.5" thickBot="1" x14ac:dyDescent="0.3">
      <c r="A129" s="86" t="s">
        <v>337</v>
      </c>
      <c r="B129" s="225"/>
    </row>
    <row r="130" spans="1:2" ht="16.5" thickBot="1" x14ac:dyDescent="0.3">
      <c r="A130" s="86" t="s">
        <v>338</v>
      </c>
      <c r="B130" s="226"/>
    </row>
    <row r="131" spans="1:2" ht="16.5" thickBot="1" x14ac:dyDescent="0.3">
      <c r="A131" s="95" t="s">
        <v>339</v>
      </c>
      <c r="B131" s="137"/>
    </row>
    <row r="132" spans="1:2" ht="16.5" thickBot="1" x14ac:dyDescent="0.3">
      <c r="A132" s="82" t="s">
        <v>340</v>
      </c>
      <c r="B132" s="93"/>
    </row>
    <row r="133" spans="1:2" ht="16.5" thickBot="1" x14ac:dyDescent="0.3">
      <c r="A133" s="88" t="s">
        <v>341</v>
      </c>
      <c r="B133" s="223">
        <f>'6.1. Паспорт сетевой график'!H43</f>
        <v>44134</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479" t="s">
        <v>546</v>
      </c>
    </row>
    <row r="138" spans="1:2" x14ac:dyDescent="0.25">
      <c r="A138" s="88" t="s">
        <v>346</v>
      </c>
      <c r="B138" s="480"/>
    </row>
    <row r="139" spans="1:2" x14ac:dyDescent="0.25">
      <c r="A139" s="88" t="s">
        <v>347</v>
      </c>
      <c r="B139" s="480"/>
    </row>
    <row r="140" spans="1:2" x14ac:dyDescent="0.25">
      <c r="A140" s="88" t="s">
        <v>348</v>
      </c>
      <c r="B140" s="480"/>
    </row>
    <row r="141" spans="1:2" x14ac:dyDescent="0.25">
      <c r="A141" s="88" t="s">
        <v>349</v>
      </c>
      <c r="B141" s="480"/>
    </row>
    <row r="142" spans="1:2" ht="16.5" thickBot="1" x14ac:dyDescent="0.3">
      <c r="A142" s="98" t="s">
        <v>350</v>
      </c>
      <c r="B142" s="481"/>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3" t="str">
        <f>'1. паспорт местоположение'!A5:C5</f>
        <v>Год раскрытия информации: 2021 год</v>
      </c>
      <c r="B4" s="353"/>
      <c r="C4" s="353"/>
      <c r="D4" s="353"/>
      <c r="E4" s="353"/>
      <c r="F4" s="353"/>
      <c r="G4" s="353"/>
      <c r="H4" s="353"/>
      <c r="I4" s="353"/>
      <c r="J4" s="353"/>
      <c r="K4" s="353"/>
      <c r="L4" s="353"/>
      <c r="M4" s="353"/>
      <c r="N4" s="353"/>
      <c r="O4" s="353"/>
      <c r="P4" s="353"/>
      <c r="Q4" s="353"/>
      <c r="R4" s="353"/>
      <c r="S4" s="353"/>
    </row>
    <row r="5" spans="1:28" s="17" customFormat="1" ht="15.75" x14ac:dyDescent="0.2">
      <c r="A5" s="139"/>
    </row>
    <row r="6" spans="1:28" s="17" customFormat="1" ht="18.75" x14ac:dyDescent="0.2">
      <c r="A6" s="365" t="s">
        <v>7</v>
      </c>
      <c r="B6" s="365"/>
      <c r="C6" s="365"/>
      <c r="D6" s="365"/>
      <c r="E6" s="365"/>
      <c r="F6" s="365"/>
      <c r="G6" s="365"/>
      <c r="H6" s="365"/>
      <c r="I6" s="365"/>
      <c r="J6" s="365"/>
      <c r="K6" s="365"/>
      <c r="L6" s="365"/>
      <c r="M6" s="365"/>
      <c r="N6" s="365"/>
      <c r="O6" s="365"/>
      <c r="P6" s="365"/>
      <c r="Q6" s="365"/>
      <c r="R6" s="365"/>
      <c r="S6" s="365"/>
      <c r="T6" s="142"/>
      <c r="U6" s="142"/>
      <c r="V6" s="142"/>
      <c r="W6" s="142"/>
      <c r="X6" s="142"/>
      <c r="Y6" s="142"/>
      <c r="Z6" s="142"/>
      <c r="AA6" s="142"/>
      <c r="AB6" s="142"/>
    </row>
    <row r="7" spans="1:28" s="17" customFormat="1" ht="18.75" x14ac:dyDescent="0.2">
      <c r="A7" s="365"/>
      <c r="B7" s="365"/>
      <c r="C7" s="365"/>
      <c r="D7" s="365"/>
      <c r="E7" s="365"/>
      <c r="F7" s="365"/>
      <c r="G7" s="365"/>
      <c r="H7" s="365"/>
      <c r="I7" s="365"/>
      <c r="J7" s="365"/>
      <c r="K7" s="365"/>
      <c r="L7" s="365"/>
      <c r="M7" s="365"/>
      <c r="N7" s="365"/>
      <c r="O7" s="365"/>
      <c r="P7" s="365"/>
      <c r="Q7" s="365"/>
      <c r="R7" s="365"/>
      <c r="S7" s="365"/>
      <c r="T7" s="142"/>
      <c r="U7" s="142"/>
      <c r="V7" s="142"/>
      <c r="W7" s="142"/>
      <c r="X7" s="142"/>
      <c r="Y7" s="142"/>
      <c r="Z7" s="142"/>
      <c r="AA7" s="142"/>
      <c r="AB7" s="142"/>
    </row>
    <row r="8" spans="1:28" s="17" customFormat="1" ht="18.75" x14ac:dyDescent="0.2">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142"/>
      <c r="U8" s="142"/>
      <c r="V8" s="142"/>
      <c r="W8" s="142"/>
      <c r="X8" s="142"/>
      <c r="Y8" s="142"/>
      <c r="Z8" s="142"/>
      <c r="AA8" s="142"/>
      <c r="AB8" s="142"/>
    </row>
    <row r="9" spans="1:28" s="17" customFormat="1" ht="18.75" x14ac:dyDescent="0.2">
      <c r="A9" s="361" t="s">
        <v>6</v>
      </c>
      <c r="B9" s="361"/>
      <c r="C9" s="361"/>
      <c r="D9" s="361"/>
      <c r="E9" s="361"/>
      <c r="F9" s="361"/>
      <c r="G9" s="361"/>
      <c r="H9" s="361"/>
      <c r="I9" s="361"/>
      <c r="J9" s="361"/>
      <c r="K9" s="361"/>
      <c r="L9" s="361"/>
      <c r="M9" s="361"/>
      <c r="N9" s="361"/>
      <c r="O9" s="361"/>
      <c r="P9" s="361"/>
      <c r="Q9" s="361"/>
      <c r="R9" s="361"/>
      <c r="S9" s="361"/>
      <c r="T9" s="142"/>
      <c r="U9" s="142"/>
      <c r="V9" s="142"/>
      <c r="W9" s="142"/>
      <c r="X9" s="142"/>
      <c r="Y9" s="142"/>
      <c r="Z9" s="142"/>
      <c r="AA9" s="142"/>
      <c r="AB9" s="142"/>
    </row>
    <row r="10" spans="1:28" s="17" customFormat="1" ht="18.75" x14ac:dyDescent="0.2">
      <c r="A10" s="365"/>
      <c r="B10" s="365"/>
      <c r="C10" s="365"/>
      <c r="D10" s="365"/>
      <c r="E10" s="365"/>
      <c r="F10" s="365"/>
      <c r="G10" s="365"/>
      <c r="H10" s="365"/>
      <c r="I10" s="365"/>
      <c r="J10" s="365"/>
      <c r="K10" s="365"/>
      <c r="L10" s="365"/>
      <c r="M10" s="365"/>
      <c r="N10" s="365"/>
      <c r="O10" s="365"/>
      <c r="P10" s="365"/>
      <c r="Q10" s="365"/>
      <c r="R10" s="365"/>
      <c r="S10" s="365"/>
      <c r="T10" s="142"/>
      <c r="U10" s="142"/>
      <c r="V10" s="142"/>
      <c r="W10" s="142"/>
      <c r="X10" s="142"/>
      <c r="Y10" s="142"/>
      <c r="Z10" s="142"/>
      <c r="AA10" s="142"/>
      <c r="AB10" s="142"/>
    </row>
    <row r="11" spans="1:28" s="17" customFormat="1" ht="18.75" x14ac:dyDescent="0.2">
      <c r="A11" s="360" t="str">
        <f>'1. паспорт местоположение'!A12:C12</f>
        <v>K 20-01</v>
      </c>
      <c r="B11" s="360"/>
      <c r="C11" s="360"/>
      <c r="D11" s="360"/>
      <c r="E11" s="360"/>
      <c r="F11" s="360"/>
      <c r="G11" s="360"/>
      <c r="H11" s="360"/>
      <c r="I11" s="360"/>
      <c r="J11" s="360"/>
      <c r="K11" s="360"/>
      <c r="L11" s="360"/>
      <c r="M11" s="360"/>
      <c r="N11" s="360"/>
      <c r="O11" s="360"/>
      <c r="P11" s="360"/>
      <c r="Q11" s="360"/>
      <c r="R11" s="360"/>
      <c r="S11" s="360"/>
      <c r="T11" s="142"/>
      <c r="U11" s="142"/>
      <c r="V11" s="142"/>
      <c r="W11" s="142"/>
      <c r="X11" s="142"/>
      <c r="Y11" s="142"/>
      <c r="Z11" s="142"/>
      <c r="AA11" s="142"/>
      <c r="AB11" s="142"/>
    </row>
    <row r="12" spans="1:28" s="17" customFormat="1" ht="18.75" x14ac:dyDescent="0.2">
      <c r="A12" s="361" t="s">
        <v>5</v>
      </c>
      <c r="B12" s="361"/>
      <c r="C12" s="361"/>
      <c r="D12" s="361"/>
      <c r="E12" s="361"/>
      <c r="F12" s="361"/>
      <c r="G12" s="361"/>
      <c r="H12" s="361"/>
      <c r="I12" s="361"/>
      <c r="J12" s="361"/>
      <c r="K12" s="361"/>
      <c r="L12" s="361"/>
      <c r="M12" s="361"/>
      <c r="N12" s="361"/>
      <c r="O12" s="361"/>
      <c r="P12" s="361"/>
      <c r="Q12" s="361"/>
      <c r="R12" s="361"/>
      <c r="S12" s="361"/>
      <c r="T12" s="142"/>
      <c r="U12" s="142"/>
      <c r="V12" s="142"/>
      <c r="W12" s="142"/>
      <c r="X12" s="142"/>
      <c r="Y12" s="142"/>
      <c r="Z12" s="142"/>
      <c r="AA12" s="142"/>
      <c r="AB12" s="142"/>
    </row>
    <row r="13" spans="1:28" s="140"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43"/>
      <c r="U13" s="143"/>
      <c r="V13" s="143"/>
      <c r="W13" s="143"/>
      <c r="X13" s="143"/>
      <c r="Y13" s="143"/>
      <c r="Z13" s="143"/>
      <c r="AA13" s="143"/>
      <c r="AB13" s="143"/>
    </row>
    <row r="14" spans="1:28" s="141" customFormat="1" ht="15.75" x14ac:dyDescent="0.2">
      <c r="A14" s="360" t="str">
        <f>'1. паспорт местоположение'!A15:C15</f>
        <v>Создание интеллектуальной системы учета электрической энергии</v>
      </c>
      <c r="B14" s="360"/>
      <c r="C14" s="360"/>
      <c r="D14" s="360"/>
      <c r="E14" s="360"/>
      <c r="F14" s="360"/>
      <c r="G14" s="360"/>
      <c r="H14" s="360"/>
      <c r="I14" s="360"/>
      <c r="J14" s="360"/>
      <c r="K14" s="360"/>
      <c r="L14" s="360"/>
      <c r="M14" s="360"/>
      <c r="N14" s="360"/>
      <c r="O14" s="360"/>
      <c r="P14" s="360"/>
      <c r="Q14" s="360"/>
      <c r="R14" s="360"/>
      <c r="S14" s="360"/>
      <c r="T14" s="144"/>
      <c r="U14" s="144"/>
      <c r="V14" s="144"/>
      <c r="W14" s="144"/>
      <c r="X14" s="144"/>
      <c r="Y14" s="144"/>
      <c r="Z14" s="144"/>
      <c r="AA14" s="144"/>
      <c r="AB14" s="144"/>
    </row>
    <row r="15" spans="1:28" s="141"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145"/>
      <c r="U15" s="145"/>
      <c r="V15" s="145"/>
      <c r="W15" s="145"/>
      <c r="X15" s="145"/>
      <c r="Y15" s="145"/>
      <c r="Z15" s="145"/>
      <c r="AA15" s="145"/>
      <c r="AB15" s="145"/>
    </row>
    <row r="16" spans="1:28" s="141"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46"/>
      <c r="U16" s="146"/>
      <c r="V16" s="146"/>
      <c r="W16" s="146"/>
      <c r="X16" s="146"/>
      <c r="Y16" s="146"/>
    </row>
    <row r="17" spans="1:28" s="141" customFormat="1" ht="45.75" customHeight="1" x14ac:dyDescent="0.2">
      <c r="A17" s="363" t="s">
        <v>382</v>
      </c>
      <c r="B17" s="363"/>
      <c r="C17" s="363"/>
      <c r="D17" s="363"/>
      <c r="E17" s="363"/>
      <c r="F17" s="363"/>
      <c r="G17" s="363"/>
      <c r="H17" s="363"/>
      <c r="I17" s="363"/>
      <c r="J17" s="363"/>
      <c r="K17" s="363"/>
      <c r="L17" s="363"/>
      <c r="M17" s="363"/>
      <c r="N17" s="363"/>
      <c r="O17" s="363"/>
      <c r="P17" s="363"/>
      <c r="Q17" s="363"/>
      <c r="R17" s="363"/>
      <c r="S17" s="363"/>
      <c r="T17" s="147"/>
      <c r="U17" s="147"/>
      <c r="V17" s="147"/>
      <c r="W17" s="147"/>
      <c r="X17" s="147"/>
      <c r="Y17" s="147"/>
      <c r="Z17" s="147"/>
      <c r="AA17" s="147"/>
      <c r="AB17" s="147"/>
    </row>
    <row r="18" spans="1:28" s="141"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46"/>
      <c r="U18" s="146"/>
      <c r="V18" s="146"/>
      <c r="W18" s="146"/>
      <c r="X18" s="146"/>
      <c r="Y18" s="146"/>
    </row>
    <row r="19" spans="1:28" s="141" customFormat="1" ht="54" customHeight="1" x14ac:dyDescent="0.2">
      <c r="A19" s="367" t="s">
        <v>3</v>
      </c>
      <c r="B19" s="367" t="s">
        <v>94</v>
      </c>
      <c r="C19" s="368" t="s">
        <v>303</v>
      </c>
      <c r="D19" s="367" t="s">
        <v>302</v>
      </c>
      <c r="E19" s="367" t="s">
        <v>93</v>
      </c>
      <c r="F19" s="367" t="s">
        <v>92</v>
      </c>
      <c r="G19" s="367" t="s">
        <v>298</v>
      </c>
      <c r="H19" s="367" t="s">
        <v>91</v>
      </c>
      <c r="I19" s="367" t="s">
        <v>90</v>
      </c>
      <c r="J19" s="367" t="s">
        <v>89</v>
      </c>
      <c r="K19" s="367" t="s">
        <v>88</v>
      </c>
      <c r="L19" s="367" t="s">
        <v>87</v>
      </c>
      <c r="M19" s="367" t="s">
        <v>86</v>
      </c>
      <c r="N19" s="367" t="s">
        <v>85</v>
      </c>
      <c r="O19" s="367" t="s">
        <v>84</v>
      </c>
      <c r="P19" s="367" t="s">
        <v>83</v>
      </c>
      <c r="Q19" s="367" t="s">
        <v>301</v>
      </c>
      <c r="R19" s="367"/>
      <c r="S19" s="370" t="s">
        <v>376</v>
      </c>
      <c r="T19" s="146"/>
      <c r="U19" s="146"/>
      <c r="V19" s="146"/>
      <c r="W19" s="146"/>
      <c r="X19" s="146"/>
      <c r="Y19" s="146"/>
    </row>
    <row r="20" spans="1:28" s="141" customFormat="1" ht="180.75" customHeight="1" x14ac:dyDescent="0.2">
      <c r="A20" s="367"/>
      <c r="B20" s="367"/>
      <c r="C20" s="369"/>
      <c r="D20" s="367"/>
      <c r="E20" s="367"/>
      <c r="F20" s="367"/>
      <c r="G20" s="367"/>
      <c r="H20" s="367"/>
      <c r="I20" s="367"/>
      <c r="J20" s="367"/>
      <c r="K20" s="367"/>
      <c r="L20" s="367"/>
      <c r="M20" s="367"/>
      <c r="N20" s="367"/>
      <c r="O20" s="367"/>
      <c r="P20" s="367"/>
      <c r="Q20" s="148" t="s">
        <v>299</v>
      </c>
      <c r="R20" s="149" t="s">
        <v>300</v>
      </c>
      <c r="S20" s="370"/>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8" customFormat="1" ht="87.75" customHeight="1" x14ac:dyDescent="0.2">
      <c r="A22" s="231"/>
      <c r="B22" s="230" t="s">
        <v>593</v>
      </c>
      <c r="C22" s="230" t="s">
        <v>541</v>
      </c>
      <c r="D22" s="230" t="s">
        <v>541</v>
      </c>
      <c r="E22" s="230" t="s">
        <v>589</v>
      </c>
      <c r="F22" s="230" t="s">
        <v>590</v>
      </c>
      <c r="G22" s="230" t="s">
        <v>541</v>
      </c>
      <c r="H22" s="230" t="s">
        <v>541</v>
      </c>
      <c r="I22" s="230" t="s">
        <v>541</v>
      </c>
      <c r="J22" s="230" t="s">
        <v>541</v>
      </c>
      <c r="K22" s="230" t="s">
        <v>591</v>
      </c>
      <c r="L22" s="230" t="s">
        <v>592</v>
      </c>
      <c r="M22" s="230" t="s">
        <v>541</v>
      </c>
      <c r="N22" s="230" t="s">
        <v>541</v>
      </c>
      <c r="O22" s="230" t="s">
        <v>541</v>
      </c>
      <c r="P22" s="230" t="s">
        <v>541</v>
      </c>
      <c r="Q22" s="230" t="s">
        <v>541</v>
      </c>
      <c r="R22" s="230" t="s">
        <v>541</v>
      </c>
      <c r="S22" s="230" t="s">
        <v>541</v>
      </c>
      <c r="T22" s="230"/>
      <c r="U22" s="246"/>
      <c r="V22" s="246"/>
      <c r="W22" s="246"/>
      <c r="X22" s="246"/>
      <c r="Y22" s="246"/>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3" t="str">
        <f>'1. паспорт местоположение'!A5:C5</f>
        <v>Год раскрытия информации: 2021 год</v>
      </c>
      <c r="B6" s="353"/>
      <c r="C6" s="353"/>
      <c r="D6" s="353"/>
      <c r="E6" s="353"/>
      <c r="F6" s="353"/>
      <c r="G6" s="353"/>
      <c r="H6" s="353"/>
      <c r="I6" s="353"/>
      <c r="J6" s="353"/>
      <c r="K6" s="353"/>
      <c r="L6" s="353"/>
      <c r="M6" s="353"/>
      <c r="N6" s="353"/>
      <c r="O6" s="353"/>
      <c r="P6" s="353"/>
      <c r="Q6" s="353"/>
      <c r="R6" s="353"/>
      <c r="S6" s="353"/>
      <c r="T6" s="353"/>
    </row>
    <row r="7" spans="1:20" s="17" customFormat="1" x14ac:dyDescent="0.2">
      <c r="A7" s="139"/>
      <c r="H7" s="138"/>
    </row>
    <row r="8" spans="1:20" s="17"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7"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7" customFormat="1" ht="18.75" customHeight="1" x14ac:dyDescent="0.2">
      <c r="A10" s="360" t="str">
        <f>'1. паспорт местоположение'!A9:C9</f>
        <v xml:space="preserve">Акционерное общество "Западная энергетическая компания" </v>
      </c>
      <c r="B10" s="360"/>
      <c r="C10" s="360"/>
      <c r="D10" s="360"/>
      <c r="E10" s="360"/>
      <c r="F10" s="360"/>
      <c r="G10" s="360"/>
      <c r="H10" s="360"/>
      <c r="I10" s="360"/>
      <c r="J10" s="360"/>
      <c r="K10" s="360"/>
      <c r="L10" s="360"/>
      <c r="M10" s="360"/>
      <c r="N10" s="360"/>
      <c r="O10" s="360"/>
      <c r="P10" s="360"/>
      <c r="Q10" s="360"/>
      <c r="R10" s="360"/>
      <c r="S10" s="360"/>
      <c r="T10" s="360"/>
    </row>
    <row r="11" spans="1:20" s="17" customFormat="1" ht="18.75" customHeight="1" x14ac:dyDescent="0.2">
      <c r="A11" s="361" t="s">
        <v>6</v>
      </c>
      <c r="B11" s="361"/>
      <c r="C11" s="361"/>
      <c r="D11" s="361"/>
      <c r="E11" s="361"/>
      <c r="F11" s="361"/>
      <c r="G11" s="361"/>
      <c r="H11" s="361"/>
      <c r="I11" s="361"/>
      <c r="J11" s="361"/>
      <c r="K11" s="361"/>
      <c r="L11" s="361"/>
      <c r="M11" s="361"/>
      <c r="N11" s="361"/>
      <c r="O11" s="361"/>
      <c r="P11" s="361"/>
      <c r="Q11" s="361"/>
      <c r="R11" s="361"/>
      <c r="S11" s="361"/>
      <c r="T11" s="361"/>
    </row>
    <row r="12" spans="1:20" s="17"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7" customFormat="1" ht="18.75" customHeight="1" x14ac:dyDescent="0.2">
      <c r="A13" s="360" t="str">
        <f>'1. паспорт местоположение'!A12:C12</f>
        <v>K 20-01</v>
      </c>
      <c r="B13" s="360"/>
      <c r="C13" s="360"/>
      <c r="D13" s="360"/>
      <c r="E13" s="360"/>
      <c r="F13" s="360"/>
      <c r="G13" s="360"/>
      <c r="H13" s="360"/>
      <c r="I13" s="360"/>
      <c r="J13" s="360"/>
      <c r="K13" s="360"/>
      <c r="L13" s="360"/>
      <c r="M13" s="360"/>
      <c r="N13" s="360"/>
      <c r="O13" s="360"/>
      <c r="P13" s="360"/>
      <c r="Q13" s="360"/>
      <c r="R13" s="360"/>
      <c r="S13" s="360"/>
      <c r="T13" s="360"/>
    </row>
    <row r="14" spans="1:20" s="17" customFormat="1" ht="18.75" customHeight="1" x14ac:dyDescent="0.2">
      <c r="A14" s="361" t="s">
        <v>5</v>
      </c>
      <c r="B14" s="361"/>
      <c r="C14" s="361"/>
      <c r="D14" s="361"/>
      <c r="E14" s="361"/>
      <c r="F14" s="361"/>
      <c r="G14" s="361"/>
      <c r="H14" s="361"/>
      <c r="I14" s="361"/>
      <c r="J14" s="361"/>
      <c r="K14" s="361"/>
      <c r="L14" s="361"/>
      <c r="M14" s="361"/>
      <c r="N14" s="361"/>
      <c r="O14" s="361"/>
      <c r="P14" s="361"/>
      <c r="Q14" s="361"/>
      <c r="R14" s="361"/>
      <c r="S14" s="361"/>
      <c r="T14" s="361"/>
    </row>
    <row r="15" spans="1:20" s="140"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141" customFormat="1" x14ac:dyDescent="0.2">
      <c r="A16" s="360" t="str">
        <f>'1. паспорт местоположение'!A15:C15</f>
        <v>Создание интеллектуальной системы учета электрической энергии</v>
      </c>
      <c r="B16" s="360"/>
      <c r="C16" s="360"/>
      <c r="D16" s="360"/>
      <c r="E16" s="360"/>
      <c r="F16" s="360"/>
      <c r="G16" s="360"/>
      <c r="H16" s="360"/>
      <c r="I16" s="360"/>
      <c r="J16" s="360"/>
      <c r="K16" s="360"/>
      <c r="L16" s="360"/>
      <c r="M16" s="360"/>
      <c r="N16" s="360"/>
      <c r="O16" s="360"/>
      <c r="P16" s="360"/>
      <c r="Q16" s="360"/>
      <c r="R16" s="360"/>
      <c r="S16" s="360"/>
      <c r="T16" s="360"/>
    </row>
    <row r="17" spans="1:113" s="141" customFormat="1" ht="15" customHeight="1" x14ac:dyDescent="0.2">
      <c r="A17" s="361" t="s">
        <v>4</v>
      </c>
      <c r="B17" s="361"/>
      <c r="C17" s="361"/>
      <c r="D17" s="361"/>
      <c r="E17" s="361"/>
      <c r="F17" s="361"/>
      <c r="G17" s="361"/>
      <c r="H17" s="361"/>
      <c r="I17" s="361"/>
      <c r="J17" s="361"/>
      <c r="K17" s="361"/>
      <c r="L17" s="361"/>
      <c r="M17" s="361"/>
      <c r="N17" s="361"/>
      <c r="O17" s="361"/>
      <c r="P17" s="361"/>
      <c r="Q17" s="361"/>
      <c r="R17" s="361"/>
      <c r="S17" s="361"/>
      <c r="T17" s="361"/>
    </row>
    <row r="18" spans="1:113" s="141"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141" customFormat="1" ht="15" customHeight="1" x14ac:dyDescent="0.2">
      <c r="A19" s="374" t="s">
        <v>387</v>
      </c>
      <c r="B19" s="374"/>
      <c r="C19" s="374"/>
      <c r="D19" s="374"/>
      <c r="E19" s="374"/>
      <c r="F19" s="374"/>
      <c r="G19" s="374"/>
      <c r="H19" s="374"/>
      <c r="I19" s="374"/>
      <c r="J19" s="374"/>
      <c r="K19" s="374"/>
      <c r="L19" s="374"/>
      <c r="M19" s="374"/>
      <c r="N19" s="374"/>
      <c r="O19" s="374"/>
      <c r="P19" s="374"/>
      <c r="Q19" s="374"/>
      <c r="R19" s="374"/>
      <c r="S19" s="374"/>
      <c r="T19" s="374"/>
    </row>
    <row r="20" spans="1:113" s="41"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3</v>
      </c>
      <c r="B21" s="379" t="s">
        <v>200</v>
      </c>
      <c r="C21" s="380"/>
      <c r="D21" s="383" t="s">
        <v>116</v>
      </c>
      <c r="E21" s="379" t="s">
        <v>414</v>
      </c>
      <c r="F21" s="380"/>
      <c r="G21" s="379" t="s">
        <v>239</v>
      </c>
      <c r="H21" s="380"/>
      <c r="I21" s="379" t="s">
        <v>115</v>
      </c>
      <c r="J21" s="380"/>
      <c r="K21" s="383" t="s">
        <v>114</v>
      </c>
      <c r="L21" s="379" t="s">
        <v>113</v>
      </c>
      <c r="M21" s="380"/>
      <c r="N21" s="379" t="s">
        <v>442</v>
      </c>
      <c r="O21" s="380"/>
      <c r="P21" s="383" t="s">
        <v>112</v>
      </c>
      <c r="Q21" s="371" t="s">
        <v>111</v>
      </c>
      <c r="R21" s="372"/>
      <c r="S21" s="371" t="s">
        <v>110</v>
      </c>
      <c r="T21" s="373"/>
    </row>
    <row r="22" spans="1:113" ht="204.75" customHeight="1" x14ac:dyDescent="0.25">
      <c r="A22" s="377"/>
      <c r="B22" s="381"/>
      <c r="C22" s="382"/>
      <c r="D22" s="386"/>
      <c r="E22" s="381"/>
      <c r="F22" s="382"/>
      <c r="G22" s="381"/>
      <c r="H22" s="382"/>
      <c r="I22" s="381"/>
      <c r="J22" s="382"/>
      <c r="K22" s="384"/>
      <c r="L22" s="381"/>
      <c r="M22" s="382"/>
      <c r="N22" s="381"/>
      <c r="O22" s="382"/>
      <c r="P22" s="384"/>
      <c r="Q22" s="72" t="s">
        <v>109</v>
      </c>
      <c r="R22" s="72" t="s">
        <v>386</v>
      </c>
      <c r="S22" s="72" t="s">
        <v>108</v>
      </c>
      <c r="T22" s="72" t="s">
        <v>107</v>
      </c>
    </row>
    <row r="23" spans="1:113" ht="51.75" customHeight="1" x14ac:dyDescent="0.25">
      <c r="A23" s="378"/>
      <c r="B23" s="106" t="s">
        <v>105</v>
      </c>
      <c r="C23" s="106" t="s">
        <v>106</v>
      </c>
      <c r="D23" s="384"/>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85" t="s">
        <v>420</v>
      </c>
      <c r="C28" s="385"/>
      <c r="D28" s="385"/>
      <c r="E28" s="385"/>
      <c r="F28" s="385"/>
      <c r="G28" s="385"/>
      <c r="H28" s="385"/>
      <c r="I28" s="385"/>
      <c r="J28" s="385"/>
      <c r="K28" s="385"/>
      <c r="L28" s="385"/>
      <c r="M28" s="385"/>
      <c r="N28" s="385"/>
      <c r="O28" s="385"/>
      <c r="P28" s="385"/>
      <c r="Q28" s="385"/>
      <c r="R28" s="385"/>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3" t="str">
        <f>'1. паспорт местоположение'!A5:C5</f>
        <v>Год раскрытия информации: 2021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0" t="str">
        <f>'1. паспорт местоположение'!A9</f>
        <v xml:space="preserve">Акционерное общество "Западная энергетическая компания" </v>
      </c>
      <c r="F9" s="360"/>
      <c r="G9" s="360"/>
      <c r="H9" s="360"/>
      <c r="I9" s="360"/>
      <c r="J9" s="360"/>
      <c r="K9" s="360"/>
      <c r="L9" s="360"/>
      <c r="M9" s="360"/>
      <c r="N9" s="360"/>
      <c r="O9" s="360"/>
      <c r="P9" s="360"/>
      <c r="Q9" s="360"/>
      <c r="R9" s="360"/>
      <c r="S9" s="360"/>
      <c r="T9" s="360"/>
      <c r="U9" s="360"/>
      <c r="V9" s="360"/>
      <c r="W9" s="360"/>
      <c r="X9" s="360"/>
      <c r="Y9" s="360"/>
    </row>
    <row r="10" spans="1:27" s="17" customFormat="1" ht="18.75" customHeight="1" x14ac:dyDescent="0.2">
      <c r="E10" s="361" t="s">
        <v>6</v>
      </c>
      <c r="F10" s="361"/>
      <c r="G10" s="361"/>
      <c r="H10" s="361"/>
      <c r="I10" s="361"/>
      <c r="J10" s="361"/>
      <c r="K10" s="361"/>
      <c r="L10" s="361"/>
      <c r="M10" s="361"/>
      <c r="N10" s="361"/>
      <c r="O10" s="361"/>
      <c r="P10" s="361"/>
      <c r="Q10" s="361"/>
      <c r="R10" s="361"/>
      <c r="S10" s="361"/>
      <c r="T10" s="361"/>
      <c r="U10" s="361"/>
      <c r="V10" s="361"/>
      <c r="W10" s="361"/>
      <c r="X10" s="361"/>
      <c r="Y10" s="361"/>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0" t="str">
        <f>'1. паспорт местоположение'!A12</f>
        <v>K 20-01</v>
      </c>
      <c r="F12" s="360"/>
      <c r="G12" s="360"/>
      <c r="H12" s="360"/>
      <c r="I12" s="360"/>
      <c r="J12" s="360"/>
      <c r="K12" s="360"/>
      <c r="L12" s="360"/>
      <c r="M12" s="360"/>
      <c r="N12" s="360"/>
      <c r="O12" s="360"/>
      <c r="P12" s="360"/>
      <c r="Q12" s="360"/>
      <c r="R12" s="360"/>
      <c r="S12" s="360"/>
      <c r="T12" s="360"/>
      <c r="U12" s="360"/>
      <c r="V12" s="360"/>
      <c r="W12" s="360"/>
      <c r="X12" s="360"/>
      <c r="Y12" s="360"/>
    </row>
    <row r="13" spans="1:27" s="17" customFormat="1" ht="18.75" customHeight="1" x14ac:dyDescent="0.2">
      <c r="E13" s="361" t="s">
        <v>5</v>
      </c>
      <c r="F13" s="361"/>
      <c r="G13" s="361"/>
      <c r="H13" s="361"/>
      <c r="I13" s="361"/>
      <c r="J13" s="361"/>
      <c r="K13" s="361"/>
      <c r="L13" s="361"/>
      <c r="M13" s="361"/>
      <c r="N13" s="361"/>
      <c r="O13" s="361"/>
      <c r="P13" s="361"/>
      <c r="Q13" s="361"/>
      <c r="R13" s="361"/>
      <c r="S13" s="361"/>
      <c r="T13" s="361"/>
      <c r="U13" s="361"/>
      <c r="V13" s="361"/>
      <c r="W13" s="361"/>
      <c r="X13" s="361"/>
      <c r="Y13" s="361"/>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0" t="str">
        <f>'1. паспорт местоположение'!A15</f>
        <v>Создание интеллектуальной системы учета электрической энергии</v>
      </c>
      <c r="F15" s="360"/>
      <c r="G15" s="360"/>
      <c r="H15" s="360"/>
      <c r="I15" s="360"/>
      <c r="J15" s="360"/>
      <c r="K15" s="360"/>
      <c r="L15" s="360"/>
      <c r="M15" s="360"/>
      <c r="N15" s="360"/>
      <c r="O15" s="360"/>
      <c r="P15" s="360"/>
      <c r="Q15" s="360"/>
      <c r="R15" s="360"/>
      <c r="S15" s="360"/>
      <c r="T15" s="360"/>
      <c r="U15" s="360"/>
      <c r="V15" s="360"/>
      <c r="W15" s="360"/>
      <c r="X15" s="360"/>
      <c r="Y15" s="360"/>
    </row>
    <row r="16" spans="1:27" s="141"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389</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41" customFormat="1" ht="21" customHeight="1" x14ac:dyDescent="0.25"/>
    <row r="21" spans="1:27" ht="15.75" customHeight="1" x14ac:dyDescent="0.25">
      <c r="A21" s="387" t="s">
        <v>3</v>
      </c>
      <c r="B21" s="389" t="s">
        <v>396</v>
      </c>
      <c r="C21" s="390"/>
      <c r="D21" s="389" t="s">
        <v>398</v>
      </c>
      <c r="E21" s="390"/>
      <c r="F21" s="371" t="s">
        <v>88</v>
      </c>
      <c r="G21" s="373"/>
      <c r="H21" s="373"/>
      <c r="I21" s="372"/>
      <c r="J21" s="387" t="s">
        <v>399</v>
      </c>
      <c r="K21" s="389" t="s">
        <v>400</v>
      </c>
      <c r="L21" s="390"/>
      <c r="M21" s="389" t="s">
        <v>401</v>
      </c>
      <c r="N21" s="390"/>
      <c r="O21" s="389" t="s">
        <v>388</v>
      </c>
      <c r="P21" s="390"/>
      <c r="Q21" s="389" t="s">
        <v>121</v>
      </c>
      <c r="R21" s="390"/>
      <c r="S21" s="387" t="s">
        <v>120</v>
      </c>
      <c r="T21" s="387" t="s">
        <v>402</v>
      </c>
      <c r="U21" s="387" t="s">
        <v>397</v>
      </c>
      <c r="V21" s="389" t="s">
        <v>119</v>
      </c>
      <c r="W21" s="390"/>
      <c r="X21" s="371" t="s">
        <v>111</v>
      </c>
      <c r="Y21" s="373"/>
      <c r="Z21" s="371" t="s">
        <v>110</v>
      </c>
      <c r="AA21" s="373"/>
    </row>
    <row r="22" spans="1:27" ht="216" customHeight="1" x14ac:dyDescent="0.25">
      <c r="A22" s="393"/>
      <c r="B22" s="391"/>
      <c r="C22" s="392"/>
      <c r="D22" s="391"/>
      <c r="E22" s="392"/>
      <c r="F22" s="371" t="s">
        <v>118</v>
      </c>
      <c r="G22" s="372"/>
      <c r="H22" s="371" t="s">
        <v>117</v>
      </c>
      <c r="I22" s="372"/>
      <c r="J22" s="388"/>
      <c r="K22" s="391"/>
      <c r="L22" s="392"/>
      <c r="M22" s="391"/>
      <c r="N22" s="392"/>
      <c r="O22" s="391"/>
      <c r="P22" s="392"/>
      <c r="Q22" s="391"/>
      <c r="R22" s="392"/>
      <c r="S22" s="388"/>
      <c r="T22" s="388"/>
      <c r="U22" s="388"/>
      <c r="V22" s="391"/>
      <c r="W22" s="392"/>
      <c r="X22" s="72" t="s">
        <v>109</v>
      </c>
      <c r="Y22" s="72" t="s">
        <v>386</v>
      </c>
      <c r="Z22" s="72" t="s">
        <v>108</v>
      </c>
      <c r="AA22" s="72" t="s">
        <v>107</v>
      </c>
    </row>
    <row r="23" spans="1:27" ht="60" customHeight="1" x14ac:dyDescent="0.25">
      <c r="A23" s="388"/>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8"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3" t="str">
        <f>'1. паспорт местоположение'!A5:C5</f>
        <v>Год раскрытия информации: 2021 год</v>
      </c>
      <c r="B5" s="353"/>
      <c r="C5" s="353"/>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65" t="s">
        <v>7</v>
      </c>
      <c r="B7" s="365"/>
      <c r="C7" s="365"/>
      <c r="D7" s="142"/>
      <c r="E7" s="142"/>
      <c r="F7" s="142"/>
      <c r="G7" s="142"/>
      <c r="H7" s="142"/>
      <c r="I7" s="142"/>
      <c r="J7" s="142"/>
      <c r="K7" s="142"/>
      <c r="L7" s="142"/>
      <c r="M7" s="142"/>
      <c r="N7" s="142"/>
      <c r="O7" s="142"/>
      <c r="P7" s="142"/>
      <c r="Q7" s="142"/>
      <c r="R7" s="142"/>
      <c r="S7" s="142"/>
      <c r="T7" s="142"/>
      <c r="U7" s="142"/>
    </row>
    <row r="8" spans="1:29" s="17" customFormat="1" ht="18.75" x14ac:dyDescent="0.2">
      <c r="A8" s="365"/>
      <c r="B8" s="365"/>
      <c r="C8" s="365"/>
      <c r="D8" s="157"/>
      <c r="E8" s="157"/>
      <c r="F8" s="157"/>
      <c r="G8" s="157"/>
      <c r="H8" s="142"/>
      <c r="I8" s="142"/>
      <c r="J8" s="142"/>
      <c r="K8" s="142"/>
      <c r="L8" s="142"/>
      <c r="M8" s="142"/>
      <c r="N8" s="142"/>
      <c r="O8" s="142"/>
      <c r="P8" s="142"/>
      <c r="Q8" s="142"/>
      <c r="R8" s="142"/>
      <c r="S8" s="142"/>
      <c r="T8" s="142"/>
      <c r="U8" s="142"/>
    </row>
    <row r="9" spans="1:29" s="17" customFormat="1" ht="18.75" x14ac:dyDescent="0.2">
      <c r="A9" s="360" t="str">
        <f>'1. паспорт местоположение'!A9:C9</f>
        <v xml:space="preserve">Акционерное общество "Западная энергетическая компания" </v>
      </c>
      <c r="B9" s="360"/>
      <c r="C9" s="360"/>
      <c r="D9" s="144"/>
      <c r="E9" s="144"/>
      <c r="F9" s="144"/>
      <c r="G9" s="144"/>
      <c r="H9" s="142"/>
      <c r="I9" s="142"/>
      <c r="J9" s="142"/>
      <c r="K9" s="142"/>
      <c r="L9" s="142"/>
      <c r="M9" s="142"/>
      <c r="N9" s="142"/>
      <c r="O9" s="142"/>
      <c r="P9" s="142"/>
      <c r="Q9" s="142"/>
      <c r="R9" s="142"/>
      <c r="S9" s="142"/>
      <c r="T9" s="142"/>
      <c r="U9" s="142"/>
    </row>
    <row r="10" spans="1:29" s="17" customFormat="1" ht="18.75" x14ac:dyDescent="0.2">
      <c r="A10" s="361" t="s">
        <v>6</v>
      </c>
      <c r="B10" s="361"/>
      <c r="C10" s="361"/>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5"/>
      <c r="B11" s="365"/>
      <c r="C11" s="365"/>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0" t="str">
        <f>'1. паспорт местоположение'!A12:C12</f>
        <v>K 20-01</v>
      </c>
      <c r="B12" s="360"/>
      <c r="C12" s="360"/>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1" t="s">
        <v>5</v>
      </c>
      <c r="B13" s="361"/>
      <c r="C13" s="361"/>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6"/>
      <c r="B14" s="366"/>
      <c r="C14" s="366"/>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4" t="str">
        <f>'1. паспорт местоположение'!A15:C15</f>
        <v>Создание интеллектуальной системы учета электрической энергии</v>
      </c>
      <c r="B15" s="394"/>
      <c r="C15" s="394"/>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1" t="s">
        <v>4</v>
      </c>
      <c r="B16" s="361"/>
      <c r="C16" s="361"/>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2"/>
      <c r="B17" s="362"/>
      <c r="C17" s="362"/>
      <c r="D17" s="146"/>
      <c r="E17" s="146"/>
      <c r="F17" s="146"/>
      <c r="G17" s="146"/>
      <c r="H17" s="146"/>
      <c r="I17" s="146"/>
      <c r="J17" s="146"/>
      <c r="K17" s="146"/>
      <c r="L17" s="146"/>
      <c r="M17" s="146"/>
      <c r="N17" s="146"/>
      <c r="O17" s="146"/>
      <c r="P17" s="146"/>
      <c r="Q17" s="146"/>
      <c r="R17" s="146"/>
    </row>
    <row r="18" spans="1:21" s="141" customFormat="1" ht="27.75" customHeight="1" x14ac:dyDescent="0.2">
      <c r="A18" s="363" t="s">
        <v>381</v>
      </c>
      <c r="B18" s="363"/>
      <c r="C18" s="363"/>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9" t="s">
        <v>583</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581</v>
      </c>
      <c r="C24" s="33" t="s">
        <v>582</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584</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580</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613</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95" t="s">
        <v>562</v>
      </c>
      <c r="B1" s="395"/>
      <c r="C1" s="395"/>
      <c r="D1" s="395"/>
      <c r="E1" s="395"/>
    </row>
    <row r="2" spans="1:5" x14ac:dyDescent="0.25">
      <c r="A2" s="396" t="s">
        <v>563</v>
      </c>
      <c r="B2" s="396" t="s">
        <v>564</v>
      </c>
      <c r="C2" s="396"/>
      <c r="D2" s="396"/>
      <c r="E2" s="396" t="s">
        <v>297</v>
      </c>
    </row>
    <row r="3" spans="1:5" x14ac:dyDescent="0.25">
      <c r="A3" s="396"/>
      <c r="B3" s="243" t="s">
        <v>565</v>
      </c>
      <c r="C3" s="243" t="s">
        <v>566</v>
      </c>
      <c r="D3" s="243" t="s">
        <v>567</v>
      </c>
      <c r="E3" s="396"/>
    </row>
    <row r="4" spans="1:5" x14ac:dyDescent="0.25">
      <c r="A4" s="236" t="s">
        <v>568</v>
      </c>
      <c r="B4" s="237">
        <v>273</v>
      </c>
      <c r="C4" s="237">
        <v>233</v>
      </c>
      <c r="D4" s="237">
        <v>67</v>
      </c>
      <c r="E4" s="243">
        <f t="shared" ref="E4:E9" si="0">SUM(B4:D4)</f>
        <v>573</v>
      </c>
    </row>
    <row r="5" spans="1:5" x14ac:dyDescent="0.25">
      <c r="A5" s="236" t="s">
        <v>569</v>
      </c>
      <c r="B5" s="237">
        <v>8</v>
      </c>
      <c r="C5" s="237">
        <v>3</v>
      </c>
      <c r="D5" s="237">
        <v>4</v>
      </c>
      <c r="E5" s="243">
        <f t="shared" si="0"/>
        <v>15</v>
      </c>
    </row>
    <row r="6" spans="1:5" x14ac:dyDescent="0.25">
      <c r="A6" s="236" t="s">
        <v>570</v>
      </c>
      <c r="B6" s="237">
        <f>SUM(B4:B5)</f>
        <v>281</v>
      </c>
      <c r="C6" s="237">
        <f>SUM(C4:C5)</f>
        <v>236</v>
      </c>
      <c r="D6" s="237">
        <f>SUM(D4:D5)</f>
        <v>71</v>
      </c>
      <c r="E6" s="243">
        <f t="shared" si="0"/>
        <v>588</v>
      </c>
    </row>
    <row r="7" spans="1:5" x14ac:dyDescent="0.25">
      <c r="A7" s="236" t="s">
        <v>571</v>
      </c>
      <c r="B7" s="237">
        <v>540000</v>
      </c>
      <c r="C7" s="237">
        <v>684000</v>
      </c>
      <c r="D7" s="237">
        <v>780000</v>
      </c>
      <c r="E7" s="238">
        <f t="shared" si="0"/>
        <v>2004000</v>
      </c>
    </row>
    <row r="8" spans="1:5" x14ac:dyDescent="0.25">
      <c r="A8" s="236" t="s">
        <v>572</v>
      </c>
      <c r="B8" s="237">
        <f>B7*0.8</f>
        <v>432000</v>
      </c>
      <c r="C8" s="237">
        <f t="shared" ref="C8:D8" si="1">C7*0.8</f>
        <v>547200</v>
      </c>
      <c r="D8" s="237">
        <f t="shared" si="1"/>
        <v>624000</v>
      </c>
      <c r="E8" s="238">
        <f t="shared" si="0"/>
        <v>1603200</v>
      </c>
    </row>
    <row r="9" spans="1:5" x14ac:dyDescent="0.25">
      <c r="A9" s="236" t="s">
        <v>573</v>
      </c>
      <c r="B9" s="237">
        <f>B7*2.16*1.2</f>
        <v>1399680</v>
      </c>
      <c r="C9" s="237">
        <f t="shared" ref="C9:D9" si="2">C7*2.16*1.2</f>
        <v>1772928</v>
      </c>
      <c r="D9" s="237">
        <f t="shared" si="2"/>
        <v>2021760</v>
      </c>
      <c r="E9" s="239">
        <f t="shared" si="0"/>
        <v>5194368</v>
      </c>
    </row>
    <row r="10" spans="1:5" x14ac:dyDescent="0.25">
      <c r="A10" s="236" t="s">
        <v>574</v>
      </c>
      <c r="B10" s="240">
        <f>B7-B8</f>
        <v>108000</v>
      </c>
      <c r="C10" s="240">
        <f>C7-C8</f>
        <v>136800</v>
      </c>
      <c r="D10" s="240">
        <f>D7-D8</f>
        <v>156000</v>
      </c>
      <c r="E10" s="240">
        <f>B10+C10+D10</f>
        <v>400800</v>
      </c>
    </row>
    <row r="11" spans="1:5" x14ac:dyDescent="0.25">
      <c r="A11" s="236" t="s">
        <v>575</v>
      </c>
      <c r="B11" s="240">
        <f>B10*2.16*1.2</f>
        <v>279936</v>
      </c>
      <c r="C11" s="240">
        <f t="shared" ref="C11:D11" si="3">C10*2.16*1.2</f>
        <v>354585.59999999998</v>
      </c>
      <c r="D11" s="240">
        <f t="shared" si="3"/>
        <v>404352</v>
      </c>
      <c r="E11" s="241">
        <f>B11+C11+D11</f>
        <v>1038873.6</v>
      </c>
    </row>
    <row r="12" spans="1:5" x14ac:dyDescent="0.25">
      <c r="A12" s="236" t="s">
        <v>576</v>
      </c>
      <c r="B12" s="242">
        <f>B9-B11</f>
        <v>1119744</v>
      </c>
      <c r="C12" s="242">
        <f t="shared" ref="C12:D12" si="4">C9-C11</f>
        <v>1418342.3999999999</v>
      </c>
      <c r="D12" s="242">
        <f t="shared" si="4"/>
        <v>1617408</v>
      </c>
      <c r="E12" s="241">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3" t="str">
        <f>'1. паспорт местоположение'!A5:C5</f>
        <v>Год раскрытия информации: 2021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42"/>
      <c r="AB6" s="142"/>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42"/>
      <c r="AB7" s="142"/>
    </row>
    <row r="8" spans="1:28" ht="15.75" x14ac:dyDescent="0.25">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44"/>
      <c r="AB8" s="144"/>
    </row>
    <row r="9" spans="1:28" ht="15.75"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45"/>
      <c r="AB9" s="14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42"/>
      <c r="AB10" s="142"/>
    </row>
    <row r="11" spans="1:28" ht="15.75" x14ac:dyDescent="0.25">
      <c r="A11" s="360" t="str">
        <f>'1. паспорт местоположение'!A12:C12</f>
        <v>K 20-01</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44"/>
      <c r="AB11" s="144"/>
    </row>
    <row r="12" spans="1:28" ht="15.75"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45"/>
      <c r="AB12" s="145"/>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64"/>
      <c r="AB13" s="164"/>
    </row>
    <row r="14" spans="1:28" ht="15.75" x14ac:dyDescent="0.25">
      <c r="A14" s="360" t="str">
        <f>'1. паспорт местоположение'!A15:C15</f>
        <v>Создание интеллектуальной системы учета электрической энергии</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44"/>
      <c r="AB14" s="144"/>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45"/>
      <c r="AB15" s="145"/>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65"/>
      <c r="AB16" s="165"/>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65"/>
      <c r="AB17" s="165"/>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65"/>
      <c r="AB18" s="165"/>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65"/>
      <c r="AB19" s="165"/>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66"/>
      <c r="AB20" s="166"/>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66"/>
      <c r="AB21" s="166"/>
    </row>
    <row r="22" spans="1:28" x14ac:dyDescent="0.25">
      <c r="A22" s="399" t="s">
        <v>412</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67"/>
      <c r="AB22" s="167"/>
    </row>
    <row r="23" spans="1:28" ht="32.25" customHeight="1" x14ac:dyDescent="0.25">
      <c r="A23" s="401" t="s">
        <v>295</v>
      </c>
      <c r="B23" s="402"/>
      <c r="C23" s="402"/>
      <c r="D23" s="402"/>
      <c r="E23" s="402"/>
      <c r="F23" s="402"/>
      <c r="G23" s="402"/>
      <c r="H23" s="402"/>
      <c r="I23" s="402"/>
      <c r="J23" s="402"/>
      <c r="K23" s="402"/>
      <c r="L23" s="403"/>
      <c r="M23" s="400" t="s">
        <v>296</v>
      </c>
      <c r="N23" s="400"/>
      <c r="O23" s="400"/>
      <c r="P23" s="400"/>
      <c r="Q23" s="400"/>
      <c r="R23" s="400"/>
      <c r="S23" s="400"/>
      <c r="T23" s="400"/>
      <c r="U23" s="400"/>
      <c r="V23" s="400"/>
      <c r="W23" s="400"/>
      <c r="X23" s="400"/>
      <c r="Y23" s="400"/>
      <c r="Z23" s="400"/>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3" t="str">
        <f>'1. паспорт местоположение'!A5:C5</f>
        <v>Год раскрытия информации: 2021 год</v>
      </c>
      <c r="B5" s="353"/>
      <c r="C5" s="353"/>
      <c r="D5" s="353"/>
      <c r="E5" s="353"/>
      <c r="F5" s="353"/>
      <c r="G5" s="353"/>
      <c r="H5" s="353"/>
      <c r="I5" s="353"/>
      <c r="J5" s="353"/>
      <c r="K5" s="353"/>
      <c r="L5" s="353"/>
      <c r="M5" s="353"/>
      <c r="N5" s="353"/>
      <c r="O5" s="353"/>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65" t="s">
        <v>7</v>
      </c>
      <c r="B7" s="365"/>
      <c r="C7" s="365"/>
      <c r="D7" s="365"/>
      <c r="E7" s="365"/>
      <c r="F7" s="365"/>
      <c r="G7" s="365"/>
      <c r="H7" s="365"/>
      <c r="I7" s="365"/>
      <c r="J7" s="365"/>
      <c r="K7" s="365"/>
      <c r="L7" s="365"/>
      <c r="M7" s="365"/>
      <c r="N7" s="365"/>
      <c r="O7" s="365"/>
      <c r="P7" s="142"/>
      <c r="Q7" s="142"/>
      <c r="R7" s="142"/>
      <c r="S7" s="142"/>
      <c r="T7" s="142"/>
      <c r="U7" s="142"/>
      <c r="V7" s="142"/>
      <c r="W7" s="142"/>
      <c r="X7" s="142"/>
      <c r="Y7" s="142"/>
      <c r="Z7" s="142"/>
    </row>
    <row r="8" spans="1:28" s="17" customFormat="1" ht="18.75" x14ac:dyDescent="0.2">
      <c r="A8" s="365"/>
      <c r="B8" s="365"/>
      <c r="C8" s="365"/>
      <c r="D8" s="365"/>
      <c r="E8" s="365"/>
      <c r="F8" s="365"/>
      <c r="G8" s="365"/>
      <c r="H8" s="365"/>
      <c r="I8" s="365"/>
      <c r="J8" s="365"/>
      <c r="K8" s="365"/>
      <c r="L8" s="365"/>
      <c r="M8" s="365"/>
      <c r="N8" s="365"/>
      <c r="O8" s="365"/>
      <c r="P8" s="142"/>
      <c r="Q8" s="142"/>
      <c r="R8" s="142"/>
      <c r="S8" s="142"/>
      <c r="T8" s="142"/>
      <c r="U8" s="142"/>
      <c r="V8" s="142"/>
      <c r="W8" s="142"/>
      <c r="X8" s="142"/>
      <c r="Y8" s="142"/>
      <c r="Z8" s="142"/>
    </row>
    <row r="9" spans="1:28" s="17" customFormat="1" ht="18.75" x14ac:dyDescent="0.2">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142"/>
      <c r="Q9" s="142"/>
      <c r="R9" s="142"/>
      <c r="S9" s="142"/>
      <c r="T9" s="142"/>
      <c r="U9" s="142"/>
      <c r="V9" s="142"/>
      <c r="W9" s="142"/>
      <c r="X9" s="142"/>
      <c r="Y9" s="142"/>
      <c r="Z9" s="142"/>
    </row>
    <row r="10" spans="1:28" s="17" customFormat="1" ht="18.75" x14ac:dyDescent="0.2">
      <c r="A10" s="361" t="s">
        <v>6</v>
      </c>
      <c r="B10" s="361"/>
      <c r="C10" s="361"/>
      <c r="D10" s="361"/>
      <c r="E10" s="361"/>
      <c r="F10" s="361"/>
      <c r="G10" s="361"/>
      <c r="H10" s="361"/>
      <c r="I10" s="361"/>
      <c r="J10" s="361"/>
      <c r="K10" s="361"/>
      <c r="L10" s="361"/>
      <c r="M10" s="361"/>
      <c r="N10" s="361"/>
      <c r="O10" s="361"/>
      <c r="P10" s="142"/>
      <c r="Q10" s="142"/>
      <c r="R10" s="142"/>
      <c r="S10" s="142"/>
      <c r="T10" s="142"/>
      <c r="U10" s="142"/>
      <c r="V10" s="142"/>
      <c r="W10" s="142"/>
      <c r="X10" s="142"/>
      <c r="Y10" s="142"/>
      <c r="Z10" s="142"/>
    </row>
    <row r="11" spans="1:28" s="17" customFormat="1" ht="18.75" x14ac:dyDescent="0.2">
      <c r="A11" s="365"/>
      <c r="B11" s="365"/>
      <c r="C11" s="365"/>
      <c r="D11" s="365"/>
      <c r="E11" s="365"/>
      <c r="F11" s="365"/>
      <c r="G11" s="365"/>
      <c r="H11" s="365"/>
      <c r="I11" s="365"/>
      <c r="J11" s="365"/>
      <c r="K11" s="365"/>
      <c r="L11" s="365"/>
      <c r="M11" s="365"/>
      <c r="N11" s="365"/>
      <c r="O11" s="365"/>
      <c r="P11" s="142"/>
      <c r="Q11" s="142"/>
      <c r="R11" s="142"/>
      <c r="S11" s="142"/>
      <c r="T11" s="142"/>
      <c r="U11" s="142"/>
      <c r="V11" s="142"/>
      <c r="W11" s="142"/>
      <c r="X11" s="142"/>
      <c r="Y11" s="142"/>
      <c r="Z11" s="142"/>
    </row>
    <row r="12" spans="1:28" s="17" customFormat="1" ht="18.75" x14ac:dyDescent="0.2">
      <c r="A12" s="360" t="str">
        <f>'1. паспорт местоположение'!A12:C12</f>
        <v>K 20-01</v>
      </c>
      <c r="B12" s="360"/>
      <c r="C12" s="360"/>
      <c r="D12" s="360"/>
      <c r="E12" s="360"/>
      <c r="F12" s="360"/>
      <c r="G12" s="360"/>
      <c r="H12" s="360"/>
      <c r="I12" s="360"/>
      <c r="J12" s="360"/>
      <c r="K12" s="360"/>
      <c r="L12" s="360"/>
      <c r="M12" s="360"/>
      <c r="N12" s="360"/>
      <c r="O12" s="360"/>
      <c r="P12" s="142"/>
      <c r="Q12" s="142"/>
      <c r="R12" s="142"/>
      <c r="S12" s="142"/>
      <c r="T12" s="142"/>
      <c r="U12" s="142"/>
      <c r="V12" s="142"/>
      <c r="W12" s="142"/>
      <c r="X12" s="142"/>
      <c r="Y12" s="142"/>
      <c r="Z12" s="142"/>
    </row>
    <row r="13" spans="1:28" s="17" customFormat="1" ht="18.75" x14ac:dyDescent="0.2">
      <c r="A13" s="361" t="s">
        <v>5</v>
      </c>
      <c r="B13" s="361"/>
      <c r="C13" s="361"/>
      <c r="D13" s="361"/>
      <c r="E13" s="361"/>
      <c r="F13" s="361"/>
      <c r="G13" s="361"/>
      <c r="H13" s="361"/>
      <c r="I13" s="361"/>
      <c r="J13" s="361"/>
      <c r="K13" s="361"/>
      <c r="L13" s="361"/>
      <c r="M13" s="361"/>
      <c r="N13" s="361"/>
      <c r="O13" s="361"/>
      <c r="P13" s="142"/>
      <c r="Q13" s="142"/>
      <c r="R13" s="142"/>
      <c r="S13" s="142"/>
      <c r="T13" s="142"/>
      <c r="U13" s="142"/>
      <c r="V13" s="142"/>
      <c r="W13" s="142"/>
      <c r="X13" s="142"/>
      <c r="Y13" s="142"/>
      <c r="Z13" s="142"/>
    </row>
    <row r="14" spans="1:28" s="140" customFormat="1" ht="15.75" customHeight="1" x14ac:dyDescent="0.2">
      <c r="A14" s="366"/>
      <c r="B14" s="366"/>
      <c r="C14" s="366"/>
      <c r="D14" s="366"/>
      <c r="E14" s="366"/>
      <c r="F14" s="366"/>
      <c r="G14" s="366"/>
      <c r="H14" s="366"/>
      <c r="I14" s="366"/>
      <c r="J14" s="366"/>
      <c r="K14" s="366"/>
      <c r="L14" s="366"/>
      <c r="M14" s="366"/>
      <c r="N14" s="366"/>
      <c r="O14" s="366"/>
      <c r="P14" s="143"/>
      <c r="Q14" s="143"/>
      <c r="R14" s="143"/>
      <c r="S14" s="143"/>
      <c r="T14" s="143"/>
      <c r="U14" s="143"/>
      <c r="V14" s="143"/>
      <c r="W14" s="143"/>
      <c r="X14" s="143"/>
      <c r="Y14" s="143"/>
      <c r="Z14" s="143"/>
    </row>
    <row r="15" spans="1:28" s="141" customFormat="1" ht="15.75" x14ac:dyDescent="0.2">
      <c r="A15" s="360" t="str">
        <f>'1. паспорт местоположение'!A15:C15</f>
        <v>Создание интеллектуальной системы учета электрической энергии</v>
      </c>
      <c r="B15" s="360"/>
      <c r="C15" s="360"/>
      <c r="D15" s="360"/>
      <c r="E15" s="360"/>
      <c r="F15" s="360"/>
      <c r="G15" s="360"/>
      <c r="H15" s="360"/>
      <c r="I15" s="360"/>
      <c r="J15" s="360"/>
      <c r="K15" s="360"/>
      <c r="L15" s="360"/>
      <c r="M15" s="360"/>
      <c r="N15" s="360"/>
      <c r="O15" s="360"/>
      <c r="P15" s="144"/>
      <c r="Q15" s="144"/>
      <c r="R15" s="144"/>
      <c r="S15" s="144"/>
      <c r="T15" s="144"/>
      <c r="U15" s="144"/>
      <c r="V15" s="144"/>
      <c r="W15" s="144"/>
      <c r="X15" s="144"/>
      <c r="Y15" s="144"/>
      <c r="Z15" s="144"/>
    </row>
    <row r="16" spans="1:28" s="141" customFormat="1" ht="15" customHeight="1" x14ac:dyDescent="0.2">
      <c r="A16" s="361" t="s">
        <v>4</v>
      </c>
      <c r="B16" s="361"/>
      <c r="C16" s="361"/>
      <c r="D16" s="361"/>
      <c r="E16" s="361"/>
      <c r="F16" s="361"/>
      <c r="G16" s="361"/>
      <c r="H16" s="361"/>
      <c r="I16" s="361"/>
      <c r="J16" s="361"/>
      <c r="K16" s="361"/>
      <c r="L16" s="361"/>
      <c r="M16" s="361"/>
      <c r="N16" s="361"/>
      <c r="O16" s="361"/>
      <c r="P16" s="145"/>
      <c r="Q16" s="145"/>
      <c r="R16" s="145"/>
      <c r="S16" s="145"/>
      <c r="T16" s="145"/>
      <c r="U16" s="145"/>
      <c r="V16" s="145"/>
      <c r="W16" s="145"/>
      <c r="X16" s="145"/>
      <c r="Y16" s="145"/>
      <c r="Z16" s="145"/>
    </row>
    <row r="17" spans="1:26" s="141" customFormat="1" ht="15" customHeight="1" x14ac:dyDescent="0.2">
      <c r="A17" s="362"/>
      <c r="B17" s="362"/>
      <c r="C17" s="362"/>
      <c r="D17" s="362"/>
      <c r="E17" s="362"/>
      <c r="F17" s="362"/>
      <c r="G17" s="362"/>
      <c r="H17" s="362"/>
      <c r="I17" s="362"/>
      <c r="J17" s="362"/>
      <c r="K17" s="362"/>
      <c r="L17" s="362"/>
      <c r="M17" s="362"/>
      <c r="N17" s="362"/>
      <c r="O17" s="362"/>
      <c r="P17" s="146"/>
      <c r="Q17" s="146"/>
      <c r="R17" s="146"/>
      <c r="S17" s="146"/>
      <c r="T17" s="146"/>
      <c r="U17" s="146"/>
      <c r="V17" s="146"/>
      <c r="W17" s="146"/>
    </row>
    <row r="18" spans="1:26" s="141" customFormat="1" ht="91.5" customHeight="1" x14ac:dyDescent="0.2">
      <c r="A18" s="408" t="s">
        <v>390</v>
      </c>
      <c r="B18" s="408"/>
      <c r="C18" s="408"/>
      <c r="D18" s="408"/>
      <c r="E18" s="408"/>
      <c r="F18" s="408"/>
      <c r="G18" s="408"/>
      <c r="H18" s="408"/>
      <c r="I18" s="408"/>
      <c r="J18" s="408"/>
      <c r="K18" s="408"/>
      <c r="L18" s="408"/>
      <c r="M18" s="408"/>
      <c r="N18" s="408"/>
      <c r="O18" s="408"/>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4" t="s">
        <v>541</v>
      </c>
      <c r="B22" s="244" t="s">
        <v>541</v>
      </c>
      <c r="C22" s="244" t="s">
        <v>541</v>
      </c>
      <c r="D22" s="244" t="s">
        <v>541</v>
      </c>
      <c r="E22" s="244" t="s">
        <v>541</v>
      </c>
      <c r="F22" s="244" t="s">
        <v>541</v>
      </c>
      <c r="G22" s="244" t="s">
        <v>541</v>
      </c>
      <c r="H22" s="244" t="s">
        <v>541</v>
      </c>
      <c r="I22" s="244" t="s">
        <v>541</v>
      </c>
      <c r="J22" s="244" t="s">
        <v>541</v>
      </c>
      <c r="K22" s="244" t="s">
        <v>541</v>
      </c>
      <c r="L22" s="244" t="s">
        <v>541</v>
      </c>
      <c r="M22" s="244" t="s">
        <v>541</v>
      </c>
      <c r="N22" s="244" t="s">
        <v>541</v>
      </c>
      <c r="O22" s="244"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M60" sqref="M1:AE1048576"/>
    </sheetView>
  </sheetViews>
  <sheetFormatPr defaultRowHeight="12.75" x14ac:dyDescent="0.2"/>
  <cols>
    <col min="1" max="1" width="66.140625" style="263" customWidth="1"/>
    <col min="2" max="2" width="17.140625" style="263" customWidth="1"/>
    <col min="3" max="3" width="13.85546875" style="263" customWidth="1"/>
    <col min="4" max="5" width="13.5703125" style="263" customWidth="1"/>
    <col min="6" max="6" width="14.5703125" style="263" customWidth="1"/>
    <col min="7" max="7" width="13.42578125" style="263" customWidth="1"/>
    <col min="8" max="12" width="15.42578125" style="263" customWidth="1"/>
    <col min="13" max="13" width="15.42578125" style="263" hidden="1" customWidth="1"/>
    <col min="14" max="14" width="15.42578125" style="333" hidden="1" customWidth="1"/>
    <col min="15" max="19" width="15.42578125" style="263" hidden="1" customWidth="1"/>
    <col min="20" max="29" width="17.28515625" style="263" hidden="1" customWidth="1"/>
    <col min="30" max="31" width="17.28515625" style="253" hidden="1" customWidth="1"/>
    <col min="32" max="16384" width="9.140625" style="253"/>
  </cols>
  <sheetData>
    <row r="1" spans="1:45" x14ac:dyDescent="0.2">
      <c r="A1" s="250"/>
      <c r="B1" s="251"/>
      <c r="C1" s="251"/>
      <c r="D1" s="251"/>
      <c r="E1" s="251"/>
      <c r="F1" s="251"/>
      <c r="G1" s="251"/>
      <c r="H1" s="251"/>
      <c r="I1" s="251"/>
      <c r="J1" s="251"/>
      <c r="K1" s="252"/>
      <c r="L1" s="251"/>
      <c r="M1" s="251"/>
      <c r="N1" s="251"/>
      <c r="O1" s="251"/>
      <c r="P1" s="252" t="s">
        <v>66</v>
      </c>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P1" s="254"/>
      <c r="AQ1" s="254"/>
      <c r="AR1" s="255"/>
      <c r="AS1" s="255"/>
    </row>
    <row r="2" spans="1:45" x14ac:dyDescent="0.2">
      <c r="A2" s="250"/>
      <c r="B2" s="251"/>
      <c r="C2" s="251"/>
      <c r="D2" s="251"/>
      <c r="E2" s="251"/>
      <c r="F2" s="251"/>
      <c r="G2" s="251"/>
      <c r="H2" s="251"/>
      <c r="I2" s="251"/>
      <c r="J2" s="251"/>
      <c r="K2" s="256"/>
      <c r="L2" s="251"/>
      <c r="M2" s="251"/>
      <c r="N2" s="251"/>
      <c r="O2" s="251"/>
      <c r="P2" s="256" t="s">
        <v>8</v>
      </c>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P2" s="254"/>
      <c r="AQ2" s="254"/>
      <c r="AR2" s="255"/>
      <c r="AS2" s="255"/>
    </row>
    <row r="3" spans="1:45" x14ac:dyDescent="0.2">
      <c r="A3" s="257"/>
      <c r="B3" s="251"/>
      <c r="C3" s="251"/>
      <c r="D3" s="251"/>
      <c r="E3" s="251"/>
      <c r="F3" s="251"/>
      <c r="G3" s="251"/>
      <c r="H3" s="251"/>
      <c r="I3" s="251"/>
      <c r="J3" s="251"/>
      <c r="K3" s="256"/>
      <c r="L3" s="251"/>
      <c r="M3" s="251"/>
      <c r="N3" s="251"/>
      <c r="O3" s="251"/>
      <c r="P3" s="256" t="s">
        <v>441</v>
      </c>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P3" s="254"/>
      <c r="AQ3" s="254"/>
      <c r="AR3" s="255"/>
      <c r="AS3" s="255"/>
    </row>
    <row r="4" spans="1:45" x14ac:dyDescent="0.2">
      <c r="A4" s="258"/>
      <c r="B4" s="250"/>
      <c r="C4" s="250"/>
      <c r="D4" s="250"/>
      <c r="E4" s="250"/>
      <c r="F4" s="250"/>
      <c r="G4" s="250"/>
      <c r="H4" s="250"/>
      <c r="I4" s="250"/>
      <c r="J4" s="250"/>
      <c r="K4" s="256"/>
      <c r="L4" s="250"/>
      <c r="M4" s="250"/>
      <c r="N4" s="250"/>
      <c r="O4" s="250"/>
      <c r="P4" s="250"/>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4"/>
      <c r="AQ4" s="254"/>
      <c r="AR4" s="255"/>
      <c r="AS4" s="255"/>
    </row>
    <row r="5" spans="1:45" x14ac:dyDescent="0.2">
      <c r="A5" s="417" t="str">
        <f>'1. паспорт местоположение'!A5:C5</f>
        <v>Год раскрытия информации: 2021 год</v>
      </c>
      <c r="B5" s="417"/>
      <c r="C5" s="417"/>
      <c r="D5" s="417"/>
      <c r="E5" s="417"/>
      <c r="F5" s="417"/>
      <c r="G5" s="417"/>
      <c r="H5" s="417"/>
      <c r="I5" s="417"/>
      <c r="J5" s="417"/>
      <c r="K5" s="417"/>
      <c r="L5" s="417"/>
      <c r="M5" s="417"/>
      <c r="N5" s="417"/>
      <c r="O5" s="417"/>
      <c r="P5" s="417"/>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4"/>
      <c r="AQ5" s="254"/>
      <c r="AR5" s="255"/>
      <c r="AS5" s="255"/>
    </row>
    <row r="6" spans="1:45" x14ac:dyDescent="0.2">
      <c r="A6" s="258"/>
      <c r="B6" s="250"/>
      <c r="C6" s="250"/>
      <c r="D6" s="250"/>
      <c r="E6" s="250"/>
      <c r="F6" s="250"/>
      <c r="G6" s="250"/>
      <c r="H6" s="250"/>
      <c r="I6" s="250"/>
      <c r="J6" s="250"/>
      <c r="K6" s="256"/>
      <c r="L6" s="250"/>
      <c r="M6" s="250"/>
      <c r="N6" s="250"/>
      <c r="O6" s="250"/>
      <c r="P6" s="250"/>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4"/>
      <c r="AQ6" s="254"/>
      <c r="AR6" s="255"/>
      <c r="AS6" s="255"/>
    </row>
    <row r="7" spans="1:45" x14ac:dyDescent="0.2">
      <c r="A7" s="417" t="s">
        <v>7</v>
      </c>
      <c r="B7" s="417"/>
      <c r="C7" s="417"/>
      <c r="D7" s="417"/>
      <c r="E7" s="417"/>
      <c r="F7" s="417"/>
      <c r="G7" s="417"/>
      <c r="H7" s="417"/>
      <c r="I7" s="417"/>
      <c r="J7" s="417"/>
      <c r="K7" s="417"/>
      <c r="L7" s="417"/>
      <c r="M7" s="417"/>
      <c r="N7" s="417"/>
      <c r="O7" s="417"/>
      <c r="P7" s="417"/>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54"/>
      <c r="AQ7" s="254"/>
      <c r="AR7" s="255"/>
      <c r="AS7" s="255"/>
    </row>
    <row r="8" spans="1:45" x14ac:dyDescent="0.2">
      <c r="A8" s="261"/>
      <c r="B8" s="261"/>
      <c r="C8" s="261"/>
      <c r="D8" s="261"/>
      <c r="E8" s="261"/>
      <c r="F8" s="261"/>
      <c r="G8" s="261"/>
      <c r="H8" s="261"/>
      <c r="I8" s="261"/>
      <c r="J8" s="261"/>
      <c r="K8" s="261"/>
      <c r="L8" s="259"/>
      <c r="M8" s="259"/>
      <c r="N8" s="259"/>
      <c r="O8" s="259"/>
      <c r="P8" s="259"/>
      <c r="Q8" s="260"/>
      <c r="R8" s="260"/>
      <c r="S8" s="260"/>
      <c r="T8" s="260"/>
      <c r="U8" s="260"/>
      <c r="V8" s="260"/>
      <c r="W8" s="260"/>
      <c r="X8" s="260"/>
      <c r="Y8" s="260"/>
      <c r="Z8" s="251"/>
      <c r="AA8" s="251"/>
      <c r="AB8" s="251"/>
      <c r="AC8" s="251"/>
      <c r="AD8" s="251"/>
      <c r="AE8" s="251"/>
      <c r="AF8" s="251"/>
      <c r="AG8" s="251"/>
      <c r="AH8" s="251"/>
      <c r="AI8" s="251"/>
      <c r="AJ8" s="251"/>
      <c r="AK8" s="251"/>
      <c r="AL8" s="251"/>
      <c r="AM8" s="251"/>
      <c r="AN8" s="251"/>
      <c r="AO8" s="251"/>
      <c r="AP8" s="254"/>
      <c r="AQ8" s="254"/>
      <c r="AR8" s="255"/>
      <c r="AS8" s="255"/>
    </row>
    <row r="9" spans="1:45" x14ac:dyDescent="0.2">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418"/>
      <c r="O9" s="418"/>
      <c r="P9" s="418"/>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54"/>
      <c r="AQ9" s="254"/>
      <c r="AR9" s="255"/>
      <c r="AS9" s="255"/>
    </row>
    <row r="10" spans="1:45" x14ac:dyDescent="0.2">
      <c r="A10" s="416" t="s">
        <v>6</v>
      </c>
      <c r="B10" s="416"/>
      <c r="C10" s="416"/>
      <c r="D10" s="416"/>
      <c r="E10" s="416"/>
      <c r="F10" s="416"/>
      <c r="G10" s="416"/>
      <c r="H10" s="416"/>
      <c r="I10" s="416"/>
      <c r="J10" s="416"/>
      <c r="K10" s="416"/>
      <c r="L10" s="416"/>
      <c r="M10" s="416"/>
      <c r="N10" s="416"/>
      <c r="O10" s="416"/>
      <c r="P10" s="416"/>
      <c r="AD10" s="263"/>
      <c r="AE10" s="263"/>
      <c r="AF10" s="263"/>
      <c r="AG10" s="263"/>
      <c r="AH10" s="263"/>
      <c r="AI10" s="263"/>
      <c r="AJ10" s="263"/>
      <c r="AK10" s="263"/>
      <c r="AL10" s="263"/>
      <c r="AM10" s="263"/>
      <c r="AN10" s="263"/>
      <c r="AO10" s="263"/>
      <c r="AP10" s="254"/>
      <c r="AQ10" s="254"/>
      <c r="AR10" s="255"/>
      <c r="AS10" s="255"/>
    </row>
    <row r="11" spans="1:45" x14ac:dyDescent="0.2">
      <c r="A11" s="261"/>
      <c r="B11" s="261"/>
      <c r="C11" s="261"/>
      <c r="D11" s="261"/>
      <c r="E11" s="261"/>
      <c r="F11" s="261"/>
      <c r="G11" s="261"/>
      <c r="H11" s="261"/>
      <c r="I11" s="261"/>
      <c r="J11" s="261"/>
      <c r="K11" s="261"/>
      <c r="L11" s="259"/>
      <c r="M11" s="259"/>
      <c r="N11" s="259"/>
      <c r="O11" s="259"/>
      <c r="P11" s="259"/>
      <c r="Q11" s="260"/>
      <c r="R11" s="260"/>
      <c r="S11" s="260"/>
      <c r="T11" s="260"/>
      <c r="U11" s="260"/>
      <c r="V11" s="260"/>
      <c r="W11" s="260"/>
      <c r="X11" s="260"/>
      <c r="Y11" s="260"/>
      <c r="Z11" s="251"/>
      <c r="AA11" s="251"/>
      <c r="AB11" s="251"/>
      <c r="AC11" s="251"/>
      <c r="AD11" s="251"/>
      <c r="AE11" s="251"/>
      <c r="AF11" s="251"/>
      <c r="AG11" s="251"/>
      <c r="AH11" s="251"/>
      <c r="AI11" s="251"/>
      <c r="AJ11" s="251"/>
      <c r="AK11" s="251"/>
      <c r="AL11" s="251"/>
      <c r="AM11" s="251"/>
      <c r="AN11" s="251"/>
      <c r="AO11" s="251"/>
      <c r="AP11" s="254"/>
      <c r="AQ11" s="254"/>
      <c r="AR11" s="255"/>
      <c r="AS11" s="255"/>
    </row>
    <row r="12" spans="1:45" x14ac:dyDescent="0.2">
      <c r="A12" s="418" t="str">
        <f>'1. паспорт местоположение'!A12:C12</f>
        <v>K 20-01</v>
      </c>
      <c r="B12" s="418"/>
      <c r="C12" s="418"/>
      <c r="D12" s="418"/>
      <c r="E12" s="418"/>
      <c r="F12" s="418"/>
      <c r="G12" s="418"/>
      <c r="H12" s="418"/>
      <c r="I12" s="418"/>
      <c r="J12" s="418"/>
      <c r="K12" s="418"/>
      <c r="L12" s="418"/>
      <c r="M12" s="418"/>
      <c r="N12" s="418"/>
      <c r="O12" s="418"/>
      <c r="P12" s="418"/>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54"/>
      <c r="AQ12" s="254"/>
      <c r="AR12" s="255"/>
      <c r="AS12" s="255"/>
    </row>
    <row r="13" spans="1:45" x14ac:dyDescent="0.2">
      <c r="A13" s="416" t="s">
        <v>5</v>
      </c>
      <c r="B13" s="416"/>
      <c r="C13" s="416"/>
      <c r="D13" s="416"/>
      <c r="E13" s="416"/>
      <c r="F13" s="416"/>
      <c r="G13" s="416"/>
      <c r="H13" s="416"/>
      <c r="I13" s="416"/>
      <c r="J13" s="416"/>
      <c r="K13" s="416"/>
      <c r="L13" s="416"/>
      <c r="M13" s="416"/>
      <c r="N13" s="416"/>
      <c r="O13" s="416"/>
      <c r="P13" s="416"/>
      <c r="AD13" s="263"/>
      <c r="AE13" s="263"/>
      <c r="AF13" s="263"/>
      <c r="AG13" s="263"/>
      <c r="AH13" s="263"/>
      <c r="AI13" s="263"/>
      <c r="AJ13" s="263"/>
      <c r="AK13" s="263"/>
      <c r="AL13" s="263"/>
      <c r="AM13" s="263"/>
      <c r="AN13" s="263"/>
      <c r="AO13" s="263"/>
      <c r="AP13" s="254"/>
      <c r="AQ13" s="254"/>
      <c r="AR13" s="255"/>
      <c r="AS13" s="255"/>
    </row>
    <row r="14" spans="1:45" x14ac:dyDescent="0.2">
      <c r="A14" s="264"/>
      <c r="B14" s="264"/>
      <c r="C14" s="264"/>
      <c r="D14" s="264"/>
      <c r="E14" s="264"/>
      <c r="F14" s="264"/>
      <c r="G14" s="264"/>
      <c r="H14" s="264"/>
      <c r="I14" s="264"/>
      <c r="J14" s="264"/>
      <c r="K14" s="264"/>
      <c r="L14" s="264"/>
      <c r="M14" s="264"/>
      <c r="N14" s="264"/>
      <c r="O14" s="264"/>
      <c r="P14" s="264"/>
      <c r="Q14" s="265"/>
      <c r="R14" s="265"/>
      <c r="S14" s="265"/>
      <c r="T14" s="265"/>
      <c r="U14" s="265"/>
      <c r="V14" s="265"/>
      <c r="W14" s="265"/>
      <c r="X14" s="265"/>
      <c r="Y14" s="265"/>
      <c r="Z14" s="251"/>
      <c r="AA14" s="251"/>
      <c r="AB14" s="251"/>
      <c r="AC14" s="251"/>
      <c r="AD14" s="251"/>
      <c r="AE14" s="251"/>
      <c r="AF14" s="251"/>
      <c r="AG14" s="251"/>
      <c r="AH14" s="251"/>
      <c r="AI14" s="251"/>
      <c r="AJ14" s="251"/>
      <c r="AK14" s="251"/>
      <c r="AL14" s="251"/>
      <c r="AM14" s="251"/>
      <c r="AN14" s="251"/>
      <c r="AO14" s="251"/>
      <c r="AP14" s="254"/>
      <c r="AQ14" s="254"/>
      <c r="AR14" s="255"/>
      <c r="AS14" s="255"/>
    </row>
    <row r="15" spans="1:45" x14ac:dyDescent="0.2">
      <c r="A15" s="413" t="str">
        <f>'1. паспорт местоположение'!A15:C15</f>
        <v>Создание интеллектуальной системы учета электрической энергии</v>
      </c>
      <c r="B15" s="413"/>
      <c r="C15" s="413"/>
      <c r="D15" s="413"/>
      <c r="E15" s="413"/>
      <c r="F15" s="413"/>
      <c r="G15" s="413"/>
      <c r="H15" s="413"/>
      <c r="I15" s="413"/>
      <c r="J15" s="413"/>
      <c r="K15" s="413"/>
      <c r="L15" s="413"/>
      <c r="M15" s="413"/>
      <c r="N15" s="413"/>
      <c r="O15" s="413"/>
      <c r="P15" s="413"/>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54"/>
      <c r="AQ15" s="254"/>
      <c r="AR15" s="255"/>
      <c r="AS15" s="255"/>
    </row>
    <row r="16" spans="1:45" x14ac:dyDescent="0.2">
      <c r="A16" s="414" t="s">
        <v>4</v>
      </c>
      <c r="B16" s="414"/>
      <c r="C16" s="414"/>
      <c r="D16" s="414"/>
      <c r="E16" s="414"/>
      <c r="F16" s="414"/>
      <c r="G16" s="414"/>
      <c r="H16" s="414"/>
      <c r="I16" s="414"/>
      <c r="J16" s="414"/>
      <c r="K16" s="414"/>
      <c r="L16" s="414"/>
      <c r="M16" s="414"/>
      <c r="N16" s="414"/>
      <c r="O16" s="414"/>
      <c r="P16" s="414"/>
      <c r="AD16" s="263"/>
      <c r="AE16" s="263"/>
      <c r="AF16" s="263"/>
      <c r="AG16" s="263"/>
      <c r="AH16" s="263"/>
      <c r="AI16" s="263"/>
      <c r="AJ16" s="263"/>
      <c r="AK16" s="263"/>
      <c r="AL16" s="263"/>
      <c r="AM16" s="263"/>
      <c r="AN16" s="263"/>
      <c r="AO16" s="263"/>
      <c r="AP16" s="254"/>
      <c r="AQ16" s="254"/>
      <c r="AR16" s="255"/>
      <c r="AS16" s="255"/>
    </row>
    <row r="17" spans="1:4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7"/>
      <c r="X17" s="267"/>
      <c r="Y17" s="267"/>
      <c r="Z17" s="267"/>
      <c r="AA17" s="267"/>
      <c r="AB17" s="267"/>
      <c r="AC17" s="267"/>
      <c r="AD17" s="267"/>
      <c r="AE17" s="267"/>
      <c r="AF17" s="267"/>
      <c r="AG17" s="267"/>
      <c r="AH17" s="267"/>
      <c r="AI17" s="267"/>
      <c r="AJ17" s="267"/>
      <c r="AK17" s="267"/>
      <c r="AL17" s="267"/>
      <c r="AM17" s="267"/>
      <c r="AN17" s="267"/>
      <c r="AO17" s="267"/>
      <c r="AP17" s="254"/>
      <c r="AQ17" s="254"/>
      <c r="AR17" s="255"/>
      <c r="AS17" s="255"/>
    </row>
    <row r="18" spans="1:45" x14ac:dyDescent="0.2">
      <c r="A18" s="415" t="s">
        <v>391</v>
      </c>
      <c r="B18" s="415"/>
      <c r="C18" s="415"/>
      <c r="D18" s="415"/>
      <c r="E18" s="415"/>
      <c r="F18" s="415"/>
      <c r="G18" s="415"/>
      <c r="H18" s="415"/>
      <c r="I18" s="415"/>
      <c r="J18" s="415"/>
      <c r="K18" s="415"/>
      <c r="L18" s="415"/>
      <c r="M18" s="415"/>
      <c r="N18" s="415"/>
      <c r="O18" s="415"/>
      <c r="P18" s="415"/>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54"/>
      <c r="AQ18" s="254"/>
      <c r="AR18" s="255"/>
      <c r="AS18" s="255"/>
    </row>
    <row r="19" spans="1:45" x14ac:dyDescent="0.2">
      <c r="A19" s="268"/>
      <c r="B19" s="268"/>
      <c r="C19" s="268"/>
      <c r="D19" s="268"/>
      <c r="E19" s="268"/>
      <c r="F19" s="268"/>
      <c r="G19" s="268"/>
      <c r="H19" s="268"/>
      <c r="I19" s="268"/>
      <c r="J19" s="268"/>
      <c r="K19" s="268"/>
      <c r="L19" s="268"/>
      <c r="M19" s="268"/>
      <c r="N19" s="268"/>
      <c r="O19" s="268"/>
      <c r="P19" s="268"/>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54"/>
      <c r="AQ19" s="254"/>
      <c r="AR19" s="255"/>
      <c r="AS19" s="255"/>
    </row>
    <row r="20" spans="1:45" x14ac:dyDescent="0.2">
      <c r="A20" s="268"/>
      <c r="B20" s="268"/>
      <c r="C20" s="268"/>
      <c r="D20" s="268"/>
      <c r="E20" s="268"/>
      <c r="F20" s="268"/>
      <c r="G20" s="268"/>
      <c r="H20" s="268"/>
      <c r="I20" s="268"/>
      <c r="J20" s="268"/>
      <c r="K20" s="268"/>
      <c r="L20" s="268"/>
      <c r="M20" s="268"/>
      <c r="N20" s="268"/>
      <c r="O20" s="268"/>
      <c r="P20" s="268"/>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54"/>
      <c r="AQ20" s="254"/>
      <c r="AR20" s="255"/>
      <c r="AS20" s="255"/>
    </row>
    <row r="21" spans="1:45" x14ac:dyDescent="0.2">
      <c r="A21" s="269"/>
      <c r="N21" s="263"/>
      <c r="AP21" s="254"/>
      <c r="AQ21" s="254"/>
      <c r="AR21" s="255"/>
      <c r="AS21" s="255"/>
    </row>
    <row r="22" spans="1:45" x14ac:dyDescent="0.2">
      <c r="A22" s="260"/>
      <c r="N22" s="263"/>
      <c r="AP22" s="254"/>
      <c r="AQ22" s="254"/>
      <c r="AR22" s="255"/>
      <c r="AS22" s="255"/>
    </row>
    <row r="23" spans="1:45" ht="13.5" thickBot="1" x14ac:dyDescent="0.25">
      <c r="A23" s="270" t="s">
        <v>288</v>
      </c>
      <c r="B23" s="270" t="s">
        <v>1</v>
      </c>
      <c r="D23" s="271"/>
      <c r="N23" s="263"/>
    </row>
    <row r="24" spans="1:45" ht="15" x14ac:dyDescent="0.2">
      <c r="A24" s="272" t="s">
        <v>427</v>
      </c>
      <c r="B24" s="235">
        <f>'6.2. Паспорт фин осв ввод'!D30*1000000</f>
        <v>12360000</v>
      </c>
      <c r="N24" s="263"/>
    </row>
    <row r="25" spans="1:45" x14ac:dyDescent="0.2">
      <c r="A25" s="273" t="s">
        <v>286</v>
      </c>
      <c r="B25" s="274">
        <v>0</v>
      </c>
      <c r="N25" s="263"/>
    </row>
    <row r="26" spans="1:45" x14ac:dyDescent="0.2">
      <c r="A26" s="273" t="s">
        <v>284</v>
      </c>
      <c r="B26" s="274">
        <v>30</v>
      </c>
      <c r="D26" s="260" t="s">
        <v>287</v>
      </c>
      <c r="N26" s="263"/>
    </row>
    <row r="27" spans="1:45" ht="13.5" thickBot="1" x14ac:dyDescent="0.25">
      <c r="A27" s="275" t="s">
        <v>282</v>
      </c>
      <c r="B27" s="276">
        <v>1</v>
      </c>
      <c r="D27" s="409" t="s">
        <v>285</v>
      </c>
      <c r="E27" s="410"/>
      <c r="F27" s="411"/>
      <c r="G27" s="277" t="str">
        <f>IF(SUM(B89:AG89)=0,"не окупается",SUM(B89:AG89))</f>
        <v>не окупается</v>
      </c>
      <c r="H27" s="278"/>
      <c r="N27" s="263"/>
    </row>
    <row r="28" spans="1:45" ht="15" x14ac:dyDescent="0.2">
      <c r="A28" s="272" t="s">
        <v>281</v>
      </c>
      <c r="B28" s="235">
        <f>B24*0.001</f>
        <v>12360</v>
      </c>
      <c r="D28" s="409" t="s">
        <v>283</v>
      </c>
      <c r="E28" s="410"/>
      <c r="F28" s="411"/>
      <c r="G28" s="277" t="str">
        <f>IF(SUM(B90:AG90)=0,"не окупается",SUM(B90:AG90))</f>
        <v>не окупается</v>
      </c>
      <c r="H28" s="278"/>
      <c r="N28" s="263"/>
    </row>
    <row r="29" spans="1:45" x14ac:dyDescent="0.2">
      <c r="A29" s="273" t="s">
        <v>428</v>
      </c>
      <c r="B29" s="274">
        <v>6</v>
      </c>
      <c r="D29" s="409" t="s">
        <v>597</v>
      </c>
      <c r="E29" s="410"/>
      <c r="F29" s="411"/>
      <c r="G29" s="279">
        <f>L87</f>
        <v>-17302145.85953293</v>
      </c>
      <c r="H29" s="280"/>
      <c r="N29" s="263"/>
    </row>
    <row r="30" spans="1:45" x14ac:dyDescent="0.2">
      <c r="A30" s="273" t="s">
        <v>280</v>
      </c>
      <c r="B30" s="274">
        <v>6</v>
      </c>
      <c r="D30" s="409"/>
      <c r="E30" s="410"/>
      <c r="F30" s="411"/>
      <c r="G30" s="281"/>
      <c r="H30" s="282"/>
      <c r="N30" s="263"/>
    </row>
    <row r="31" spans="1:45" x14ac:dyDescent="0.2">
      <c r="A31" s="273" t="s">
        <v>259</v>
      </c>
      <c r="B31" s="274">
        <v>0</v>
      </c>
      <c r="N31" s="263"/>
    </row>
    <row r="32" spans="1:45" x14ac:dyDescent="0.2">
      <c r="A32" s="273" t="s">
        <v>279</v>
      </c>
      <c r="B32" s="274">
        <v>1</v>
      </c>
      <c r="N32" s="263"/>
    </row>
    <row r="33" spans="1:31" x14ac:dyDescent="0.2">
      <c r="A33" s="273" t="s">
        <v>278</v>
      </c>
      <c r="B33" s="274">
        <v>1</v>
      </c>
      <c r="N33" s="263"/>
    </row>
    <row r="34" spans="1:31" x14ac:dyDescent="0.2">
      <c r="A34" s="283" t="s">
        <v>598</v>
      </c>
      <c r="B34" s="274">
        <f>B24*0.03</f>
        <v>370800</v>
      </c>
      <c r="N34" s="263"/>
    </row>
    <row r="35" spans="1:31" ht="13.5" thickBot="1" x14ac:dyDescent="0.25">
      <c r="A35" s="275" t="s">
        <v>253</v>
      </c>
      <c r="B35" s="284">
        <v>0.2</v>
      </c>
      <c r="N35" s="263"/>
    </row>
    <row r="36" spans="1:31" x14ac:dyDescent="0.2">
      <c r="A36" s="272" t="s">
        <v>429</v>
      </c>
      <c r="B36" s="285">
        <v>0</v>
      </c>
      <c r="N36" s="263"/>
    </row>
    <row r="37" spans="1:31" x14ac:dyDescent="0.2">
      <c r="A37" s="273" t="s">
        <v>277</v>
      </c>
      <c r="B37" s="274"/>
      <c r="N37" s="263"/>
    </row>
    <row r="38" spans="1:31" ht="13.5" thickBot="1" x14ac:dyDescent="0.25">
      <c r="A38" s="283" t="s">
        <v>276</v>
      </c>
      <c r="B38" s="286"/>
      <c r="N38" s="263"/>
    </row>
    <row r="39" spans="1:31" x14ac:dyDescent="0.2">
      <c r="A39" s="287" t="s">
        <v>430</v>
      </c>
      <c r="B39" s="288">
        <v>1</v>
      </c>
      <c r="N39" s="263"/>
    </row>
    <row r="40" spans="1:31" x14ac:dyDescent="0.2">
      <c r="A40" s="289" t="s">
        <v>275</v>
      </c>
      <c r="B40" s="290"/>
      <c r="N40" s="263"/>
    </row>
    <row r="41" spans="1:31" x14ac:dyDescent="0.2">
      <c r="A41" s="289" t="s">
        <v>274</v>
      </c>
      <c r="B41" s="291"/>
      <c r="N41" s="263"/>
    </row>
    <row r="42" spans="1:31" x14ac:dyDescent="0.2">
      <c r="A42" s="289" t="s">
        <v>273</v>
      </c>
      <c r="B42" s="291">
        <v>0</v>
      </c>
      <c r="N42" s="263"/>
    </row>
    <row r="43" spans="1:31" x14ac:dyDescent="0.2">
      <c r="A43" s="289" t="s">
        <v>272</v>
      </c>
      <c r="B43" s="292">
        <v>9.8699999999999996E-2</v>
      </c>
      <c r="N43" s="263"/>
    </row>
    <row r="44" spans="1:31" x14ac:dyDescent="0.2">
      <c r="A44" s="289" t="s">
        <v>271</v>
      </c>
      <c r="B44" s="293">
        <v>1</v>
      </c>
      <c r="N44" s="263"/>
    </row>
    <row r="45" spans="1:31" ht="13.5" thickBot="1" x14ac:dyDescent="0.25">
      <c r="A45" s="294" t="s">
        <v>599</v>
      </c>
      <c r="B45" s="293">
        <f>B44*B43+B42*B41*(1-B35)</f>
        <v>9.8699999999999996E-2</v>
      </c>
      <c r="C45" s="295"/>
      <c r="N45" s="263"/>
    </row>
    <row r="46" spans="1:31" x14ac:dyDescent="0.2">
      <c r="A46" s="296" t="s">
        <v>270</v>
      </c>
      <c r="B46" s="297">
        <v>1</v>
      </c>
      <c r="C46" s="297">
        <v>2</v>
      </c>
      <c r="D46" s="297">
        <v>3</v>
      </c>
      <c r="E46" s="297">
        <v>4</v>
      </c>
      <c r="F46" s="297">
        <v>5</v>
      </c>
      <c r="G46" s="297">
        <v>6</v>
      </c>
      <c r="H46" s="297">
        <v>7</v>
      </c>
      <c r="I46" s="297">
        <v>8</v>
      </c>
      <c r="J46" s="297">
        <v>9</v>
      </c>
      <c r="K46" s="297">
        <v>10</v>
      </c>
      <c r="L46" s="297">
        <v>11</v>
      </c>
      <c r="M46" s="297">
        <v>12</v>
      </c>
      <c r="N46" s="297">
        <v>13</v>
      </c>
      <c r="O46" s="297">
        <v>14</v>
      </c>
      <c r="P46" s="297">
        <v>15</v>
      </c>
      <c r="Q46" s="297">
        <v>16</v>
      </c>
      <c r="R46" s="297">
        <v>17</v>
      </c>
      <c r="S46" s="297">
        <v>18</v>
      </c>
      <c r="T46" s="297">
        <v>19</v>
      </c>
      <c r="U46" s="297">
        <v>20</v>
      </c>
      <c r="V46" s="297">
        <v>21</v>
      </c>
      <c r="W46" s="297">
        <v>22</v>
      </c>
      <c r="X46" s="297">
        <v>23</v>
      </c>
      <c r="Y46" s="297">
        <v>24</v>
      </c>
      <c r="Z46" s="297">
        <v>25</v>
      </c>
      <c r="AA46" s="297">
        <v>26</v>
      </c>
      <c r="AB46" s="297">
        <v>27</v>
      </c>
      <c r="AC46" s="298">
        <v>28</v>
      </c>
      <c r="AD46" s="298">
        <v>29</v>
      </c>
      <c r="AE46" s="298">
        <v>30</v>
      </c>
    </row>
    <row r="47" spans="1:31" x14ac:dyDescent="0.2">
      <c r="A47" s="299" t="s">
        <v>269</v>
      </c>
      <c r="B47" s="300">
        <v>6.2E-2</v>
      </c>
      <c r="C47" s="300">
        <v>5.0999999999999997E-2</v>
      </c>
      <c r="D47" s="300">
        <v>4.8000000000000001E-2</v>
      </c>
      <c r="E47" s="300">
        <v>4.7E-2</v>
      </c>
      <c r="F47" s="301">
        <v>4.7E-2</v>
      </c>
      <c r="G47" s="301">
        <v>4.7E-2</v>
      </c>
      <c r="H47" s="301">
        <v>4.7E-2</v>
      </c>
      <c r="I47" s="301">
        <v>4.7E-2</v>
      </c>
      <c r="J47" s="301">
        <v>4.7E-2</v>
      </c>
      <c r="K47" s="301">
        <v>4.7E-2</v>
      </c>
      <c r="L47" s="301">
        <v>4.7E-2</v>
      </c>
      <c r="M47" s="301">
        <v>4.7E-2</v>
      </c>
      <c r="N47" s="301">
        <v>4.7E-2</v>
      </c>
      <c r="O47" s="301">
        <v>4.7E-2</v>
      </c>
      <c r="P47" s="301">
        <v>4.7E-2</v>
      </c>
      <c r="Q47" s="301">
        <v>4.7E-2</v>
      </c>
      <c r="R47" s="301">
        <v>4.7E-2</v>
      </c>
      <c r="S47" s="301">
        <v>4.7E-2</v>
      </c>
      <c r="T47" s="301">
        <v>4.7E-2</v>
      </c>
      <c r="U47" s="301">
        <v>4.7E-2</v>
      </c>
      <c r="V47" s="301">
        <v>4.7E-2</v>
      </c>
      <c r="W47" s="301">
        <v>4.7E-2</v>
      </c>
      <c r="X47" s="301">
        <v>4.7E-2</v>
      </c>
      <c r="Y47" s="301">
        <v>4.7E-2</v>
      </c>
      <c r="Z47" s="301">
        <v>4.7E-2</v>
      </c>
      <c r="AA47" s="301">
        <v>4.7E-2</v>
      </c>
      <c r="AB47" s="301">
        <v>4.7E-2</v>
      </c>
      <c r="AC47" s="301">
        <v>4.7E-2</v>
      </c>
      <c r="AD47" s="301">
        <v>4.7E-2</v>
      </c>
      <c r="AE47" s="301">
        <v>4.7E-2</v>
      </c>
    </row>
    <row r="48" spans="1:31" x14ac:dyDescent="0.2">
      <c r="A48" s="299" t="s">
        <v>268</v>
      </c>
      <c r="B48" s="301">
        <f>B47</f>
        <v>6.2E-2</v>
      </c>
      <c r="C48" s="301">
        <f t="shared" ref="C48:AE48" si="0">(1+B48)*(1+C47)-1</f>
        <v>0.1161620000000001</v>
      </c>
      <c r="D48" s="301">
        <f t="shared" si="0"/>
        <v>0.16973777600000006</v>
      </c>
      <c r="E48" s="301">
        <f t="shared" si="0"/>
        <v>0.22471545147200001</v>
      </c>
      <c r="F48" s="301">
        <f t="shared" si="0"/>
        <v>0.28227707769118382</v>
      </c>
      <c r="G48" s="301">
        <f t="shared" si="0"/>
        <v>0.34254410034266947</v>
      </c>
      <c r="H48" s="301">
        <f t="shared" si="0"/>
        <v>0.40564367305877491</v>
      </c>
      <c r="I48" s="301">
        <f t="shared" si="0"/>
        <v>0.47170892569253731</v>
      </c>
      <c r="J48" s="301">
        <f t="shared" si="0"/>
        <v>0.54087924520008657</v>
      </c>
      <c r="K48" s="301">
        <f t="shared" si="0"/>
        <v>0.61330056972449043</v>
      </c>
      <c r="L48" s="301">
        <f t="shared" si="0"/>
        <v>0.68912569650154132</v>
      </c>
      <c r="M48" s="301">
        <f t="shared" si="0"/>
        <v>0.7685146042371136</v>
      </c>
      <c r="N48" s="301">
        <f t="shared" si="0"/>
        <v>0.8516347906362578</v>
      </c>
      <c r="O48" s="301">
        <f t="shared" si="0"/>
        <v>0.93866162579616175</v>
      </c>
      <c r="P48" s="301">
        <f t="shared" si="0"/>
        <v>1.0297787222085812</v>
      </c>
      <c r="Q48" s="301">
        <f t="shared" si="0"/>
        <v>1.1251783221523843</v>
      </c>
      <c r="R48" s="301">
        <f t="shared" si="0"/>
        <v>1.2250617032935462</v>
      </c>
      <c r="S48" s="301">
        <f t="shared" si="0"/>
        <v>1.3296396033483426</v>
      </c>
      <c r="T48" s="301">
        <f t="shared" si="0"/>
        <v>1.4391326647057148</v>
      </c>
      <c r="U48" s="301">
        <f t="shared" si="0"/>
        <v>1.553771899946883</v>
      </c>
      <c r="V48" s="301">
        <f t="shared" si="0"/>
        <v>1.6737991792443863</v>
      </c>
      <c r="W48" s="301">
        <f t="shared" si="0"/>
        <v>1.7994677406688724</v>
      </c>
      <c r="X48" s="301">
        <f t="shared" si="0"/>
        <v>1.9310427244803092</v>
      </c>
      <c r="Y48" s="301">
        <f t="shared" si="0"/>
        <v>2.0688017325308836</v>
      </c>
      <c r="Z48" s="301">
        <f t="shared" si="0"/>
        <v>2.2130354139598349</v>
      </c>
      <c r="AA48" s="301">
        <f t="shared" si="0"/>
        <v>2.364048078415947</v>
      </c>
      <c r="AB48" s="301">
        <f t="shared" si="0"/>
        <v>2.5221583381014963</v>
      </c>
      <c r="AC48" s="301">
        <f t="shared" si="0"/>
        <v>2.6876997799922662</v>
      </c>
      <c r="AD48" s="301">
        <f t="shared" si="0"/>
        <v>2.8610216696519024</v>
      </c>
      <c r="AE48" s="301">
        <f t="shared" si="0"/>
        <v>3.0424896881255412</v>
      </c>
    </row>
    <row r="49" spans="1:31" ht="13.5" thickBot="1" x14ac:dyDescent="0.25">
      <c r="A49" s="302" t="s">
        <v>431</v>
      </c>
      <c r="B49" s="303">
        <f>B24*1.2/2*0</f>
        <v>0</v>
      </c>
      <c r="C49" s="303">
        <f>8.829*1000*0.6</f>
        <v>5297.4</v>
      </c>
      <c r="D49" s="303">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3">
        <v>0</v>
      </c>
      <c r="AC49" s="303">
        <v>0</v>
      </c>
      <c r="AD49" s="303">
        <v>0</v>
      </c>
      <c r="AE49" s="303">
        <v>0</v>
      </c>
    </row>
    <row r="50" spans="1:31" ht="13.5" thickBot="1" x14ac:dyDescent="0.25">
      <c r="A50" s="304"/>
      <c r="N50" s="263"/>
      <c r="AC50" s="305"/>
      <c r="AD50" s="305"/>
      <c r="AE50" s="305"/>
    </row>
    <row r="51" spans="1:31" x14ac:dyDescent="0.2">
      <c r="A51" s="306" t="s">
        <v>267</v>
      </c>
      <c r="B51" s="297">
        <v>1</v>
      </c>
      <c r="C51" s="297">
        <v>2</v>
      </c>
      <c r="D51" s="297">
        <v>3</v>
      </c>
      <c r="E51" s="297">
        <v>4</v>
      </c>
      <c r="F51" s="297">
        <v>5</v>
      </c>
      <c r="G51" s="297">
        <v>6</v>
      </c>
      <c r="H51" s="297">
        <v>7</v>
      </c>
      <c r="I51" s="297">
        <v>8</v>
      </c>
      <c r="J51" s="297">
        <v>9</v>
      </c>
      <c r="K51" s="297">
        <v>10</v>
      </c>
      <c r="L51" s="297">
        <v>11</v>
      </c>
      <c r="M51" s="297">
        <v>12</v>
      </c>
      <c r="N51" s="297">
        <v>13</v>
      </c>
      <c r="O51" s="297">
        <v>14</v>
      </c>
      <c r="P51" s="297">
        <v>15</v>
      </c>
      <c r="Q51" s="297">
        <v>16</v>
      </c>
      <c r="R51" s="297">
        <v>17</v>
      </c>
      <c r="S51" s="297">
        <v>18</v>
      </c>
      <c r="T51" s="297">
        <v>19</v>
      </c>
      <c r="U51" s="297">
        <v>20</v>
      </c>
      <c r="V51" s="297">
        <v>21</v>
      </c>
      <c r="W51" s="297">
        <v>22</v>
      </c>
      <c r="X51" s="297">
        <v>23</v>
      </c>
      <c r="Y51" s="297">
        <v>24</v>
      </c>
      <c r="Z51" s="297">
        <v>25</v>
      </c>
      <c r="AA51" s="297">
        <v>26</v>
      </c>
      <c r="AB51" s="297">
        <v>27</v>
      </c>
      <c r="AC51" s="297">
        <v>28</v>
      </c>
      <c r="AD51" s="297">
        <v>29</v>
      </c>
      <c r="AE51" s="297">
        <v>30</v>
      </c>
    </row>
    <row r="52" spans="1:31" x14ac:dyDescent="0.2">
      <c r="A52" s="299" t="s">
        <v>266</v>
      </c>
      <c r="B52" s="307">
        <v>0</v>
      </c>
      <c r="C52" s="307">
        <v>0</v>
      </c>
      <c r="D52" s="307">
        <v>0</v>
      </c>
      <c r="E52" s="307">
        <v>0</v>
      </c>
      <c r="F52" s="307">
        <v>0</v>
      </c>
      <c r="G52" s="307">
        <v>0</v>
      </c>
      <c r="H52" s="307">
        <v>0</v>
      </c>
      <c r="I52" s="307">
        <v>0</v>
      </c>
      <c r="J52" s="307">
        <v>0</v>
      </c>
      <c r="K52" s="307">
        <v>0</v>
      </c>
      <c r="L52" s="307">
        <v>0</v>
      </c>
      <c r="M52" s="307">
        <v>0</v>
      </c>
      <c r="N52" s="307">
        <v>0</v>
      </c>
      <c r="O52" s="307">
        <v>0</v>
      </c>
      <c r="P52" s="307">
        <v>0</v>
      </c>
      <c r="Q52" s="307">
        <v>0</v>
      </c>
      <c r="R52" s="307">
        <v>0</v>
      </c>
      <c r="S52" s="307">
        <v>0</v>
      </c>
      <c r="T52" s="307">
        <v>0</v>
      </c>
      <c r="U52" s="307">
        <v>0</v>
      </c>
      <c r="V52" s="307">
        <v>0</v>
      </c>
      <c r="W52" s="307">
        <v>0</v>
      </c>
      <c r="X52" s="307">
        <v>0</v>
      </c>
      <c r="Y52" s="307">
        <v>0</v>
      </c>
      <c r="Z52" s="307">
        <v>0</v>
      </c>
      <c r="AA52" s="307">
        <v>0</v>
      </c>
      <c r="AB52" s="307">
        <v>0</v>
      </c>
      <c r="AC52" s="308">
        <v>0</v>
      </c>
      <c r="AD52" s="308">
        <v>0</v>
      </c>
      <c r="AE52" s="308">
        <v>0</v>
      </c>
    </row>
    <row r="53" spans="1:31" x14ac:dyDescent="0.2">
      <c r="A53" s="299" t="s">
        <v>265</v>
      </c>
      <c r="B53" s="307">
        <v>0</v>
      </c>
      <c r="C53" s="307">
        <v>0</v>
      </c>
      <c r="D53" s="307">
        <v>0</v>
      </c>
      <c r="E53" s="307">
        <v>0</v>
      </c>
      <c r="F53" s="307">
        <v>0</v>
      </c>
      <c r="G53" s="307">
        <v>0</v>
      </c>
      <c r="H53" s="307">
        <v>0</v>
      </c>
      <c r="I53" s="307">
        <v>0</v>
      </c>
      <c r="J53" s="307">
        <v>0</v>
      </c>
      <c r="K53" s="307">
        <v>0</v>
      </c>
      <c r="L53" s="307">
        <v>0</v>
      </c>
      <c r="M53" s="307">
        <v>0</v>
      </c>
      <c r="N53" s="307">
        <v>0</v>
      </c>
      <c r="O53" s="307">
        <v>0</v>
      </c>
      <c r="P53" s="307">
        <v>0</v>
      </c>
      <c r="Q53" s="307">
        <v>0</v>
      </c>
      <c r="R53" s="307">
        <v>0</v>
      </c>
      <c r="S53" s="307">
        <v>0</v>
      </c>
      <c r="T53" s="307">
        <v>0</v>
      </c>
      <c r="U53" s="307">
        <v>0</v>
      </c>
      <c r="V53" s="307">
        <v>0</v>
      </c>
      <c r="W53" s="307">
        <v>0</v>
      </c>
      <c r="X53" s="307">
        <v>0</v>
      </c>
      <c r="Y53" s="307">
        <v>0</v>
      </c>
      <c r="Z53" s="307">
        <v>0</v>
      </c>
      <c r="AA53" s="307">
        <v>0</v>
      </c>
      <c r="AB53" s="307">
        <v>0</v>
      </c>
      <c r="AC53" s="308">
        <v>0</v>
      </c>
      <c r="AD53" s="308">
        <v>0</v>
      </c>
      <c r="AE53" s="308">
        <v>0</v>
      </c>
    </row>
    <row r="54" spans="1:31" x14ac:dyDescent="0.2">
      <c r="A54" s="299" t="s">
        <v>264</v>
      </c>
      <c r="B54" s="307">
        <v>0</v>
      </c>
      <c r="C54" s="307">
        <v>0</v>
      </c>
      <c r="D54" s="307">
        <v>0</v>
      </c>
      <c r="E54" s="307">
        <v>0</v>
      </c>
      <c r="F54" s="307">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7">
        <v>0</v>
      </c>
      <c r="AC54" s="308">
        <v>0</v>
      </c>
      <c r="AD54" s="308">
        <v>0</v>
      </c>
      <c r="AE54" s="308">
        <v>0</v>
      </c>
    </row>
    <row r="55" spans="1:31" ht="13.5" thickBot="1" x14ac:dyDescent="0.25">
      <c r="A55" s="302" t="s">
        <v>263</v>
      </c>
      <c r="B55" s="309">
        <v>0</v>
      </c>
      <c r="C55" s="309">
        <v>0</v>
      </c>
      <c r="D55" s="309">
        <v>0</v>
      </c>
      <c r="E55" s="309">
        <v>0</v>
      </c>
      <c r="F55" s="309">
        <v>0</v>
      </c>
      <c r="G55" s="309">
        <v>0</v>
      </c>
      <c r="H55" s="309">
        <v>0</v>
      </c>
      <c r="I55" s="309">
        <v>0</v>
      </c>
      <c r="J55" s="309">
        <v>0</v>
      </c>
      <c r="K55" s="309">
        <v>0</v>
      </c>
      <c r="L55" s="309">
        <v>0</v>
      </c>
      <c r="M55" s="309">
        <v>0</v>
      </c>
      <c r="N55" s="309">
        <v>0</v>
      </c>
      <c r="O55" s="309">
        <v>0</v>
      </c>
      <c r="P55" s="309">
        <v>0</v>
      </c>
      <c r="Q55" s="309">
        <v>0</v>
      </c>
      <c r="R55" s="309">
        <v>0</v>
      </c>
      <c r="S55" s="309">
        <v>0</v>
      </c>
      <c r="T55" s="309">
        <v>0</v>
      </c>
      <c r="U55" s="309">
        <v>0</v>
      </c>
      <c r="V55" s="309">
        <v>0</v>
      </c>
      <c r="W55" s="309">
        <v>0</v>
      </c>
      <c r="X55" s="309">
        <v>0</v>
      </c>
      <c r="Y55" s="309">
        <v>0</v>
      </c>
      <c r="Z55" s="309">
        <v>0</v>
      </c>
      <c r="AA55" s="309">
        <v>0</v>
      </c>
      <c r="AB55" s="309">
        <v>0</v>
      </c>
      <c r="AC55" s="310">
        <v>0</v>
      </c>
      <c r="AD55" s="310">
        <v>0</v>
      </c>
      <c r="AE55" s="310">
        <v>0</v>
      </c>
    </row>
    <row r="56" spans="1:31" ht="13.5" thickBot="1" x14ac:dyDescent="0.25">
      <c r="A56" s="304"/>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2"/>
      <c r="AD56" s="312"/>
      <c r="AE56" s="312"/>
    </row>
    <row r="57" spans="1:31" ht="13.5" thickBot="1" x14ac:dyDescent="0.25">
      <c r="A57" s="306" t="s">
        <v>432</v>
      </c>
      <c r="B57" s="297">
        <v>1</v>
      </c>
      <c r="C57" s="297">
        <v>2</v>
      </c>
      <c r="D57" s="297">
        <v>3</v>
      </c>
      <c r="E57" s="297">
        <v>4</v>
      </c>
      <c r="F57" s="297">
        <v>5</v>
      </c>
      <c r="G57" s="297">
        <v>6</v>
      </c>
      <c r="H57" s="297">
        <v>7</v>
      </c>
      <c r="I57" s="297">
        <v>8</v>
      </c>
      <c r="J57" s="297">
        <v>9</v>
      </c>
      <c r="K57" s="297">
        <v>10</v>
      </c>
      <c r="L57" s="297">
        <v>11</v>
      </c>
      <c r="M57" s="297">
        <v>12</v>
      </c>
      <c r="N57" s="297">
        <v>13</v>
      </c>
      <c r="O57" s="297">
        <v>14</v>
      </c>
      <c r="P57" s="297">
        <v>15</v>
      </c>
      <c r="Q57" s="297">
        <v>16</v>
      </c>
      <c r="R57" s="297">
        <v>17</v>
      </c>
      <c r="S57" s="297">
        <v>18</v>
      </c>
      <c r="T57" s="297">
        <v>19</v>
      </c>
      <c r="U57" s="297">
        <v>20</v>
      </c>
      <c r="V57" s="297">
        <v>21</v>
      </c>
      <c r="W57" s="297">
        <v>22</v>
      </c>
      <c r="X57" s="297">
        <v>23</v>
      </c>
      <c r="Y57" s="297">
        <v>24</v>
      </c>
      <c r="Z57" s="297">
        <v>25</v>
      </c>
      <c r="AA57" s="297">
        <v>26</v>
      </c>
      <c r="AB57" s="297">
        <v>27</v>
      </c>
      <c r="AC57" s="297">
        <v>28</v>
      </c>
      <c r="AD57" s="297">
        <v>29</v>
      </c>
      <c r="AE57" s="297">
        <v>30</v>
      </c>
    </row>
    <row r="58" spans="1:31" x14ac:dyDescent="0.2">
      <c r="A58" s="306" t="s">
        <v>262</v>
      </c>
      <c r="B58" s="297">
        <f t="shared" ref="B58:AE58" si="1">B49*$B$27</f>
        <v>0</v>
      </c>
      <c r="C58" s="297">
        <f t="shared" si="1"/>
        <v>5297.4</v>
      </c>
      <c r="D58" s="297">
        <f t="shared" si="1"/>
        <v>0</v>
      </c>
      <c r="E58" s="297">
        <f t="shared" si="1"/>
        <v>0</v>
      </c>
      <c r="F58" s="297">
        <f t="shared" si="1"/>
        <v>0</v>
      </c>
      <c r="G58" s="297">
        <f t="shared" si="1"/>
        <v>0</v>
      </c>
      <c r="H58" s="297">
        <f t="shared" si="1"/>
        <v>0</v>
      </c>
      <c r="I58" s="297">
        <f t="shared" si="1"/>
        <v>0</v>
      </c>
      <c r="J58" s="297">
        <f t="shared" si="1"/>
        <v>0</v>
      </c>
      <c r="K58" s="297">
        <f t="shared" si="1"/>
        <v>0</v>
      </c>
      <c r="L58" s="297">
        <f t="shared" si="1"/>
        <v>0</v>
      </c>
      <c r="M58" s="297">
        <f t="shared" si="1"/>
        <v>0</v>
      </c>
      <c r="N58" s="297">
        <f t="shared" si="1"/>
        <v>0</v>
      </c>
      <c r="O58" s="297">
        <f t="shared" si="1"/>
        <v>0</v>
      </c>
      <c r="P58" s="297">
        <f t="shared" si="1"/>
        <v>0</v>
      </c>
      <c r="Q58" s="297">
        <f t="shared" si="1"/>
        <v>0</v>
      </c>
      <c r="R58" s="297">
        <f t="shared" si="1"/>
        <v>0</v>
      </c>
      <c r="S58" s="297">
        <f t="shared" si="1"/>
        <v>0</v>
      </c>
      <c r="T58" s="297">
        <f t="shared" si="1"/>
        <v>0</v>
      </c>
      <c r="U58" s="297">
        <f t="shared" si="1"/>
        <v>0</v>
      </c>
      <c r="V58" s="297">
        <f t="shared" si="1"/>
        <v>0</v>
      </c>
      <c r="W58" s="297">
        <f t="shared" si="1"/>
        <v>0</v>
      </c>
      <c r="X58" s="297">
        <f t="shared" si="1"/>
        <v>0</v>
      </c>
      <c r="Y58" s="297">
        <f t="shared" si="1"/>
        <v>0</v>
      </c>
      <c r="Z58" s="297">
        <f t="shared" si="1"/>
        <v>0</v>
      </c>
      <c r="AA58" s="297">
        <f t="shared" si="1"/>
        <v>0</v>
      </c>
      <c r="AB58" s="297">
        <f t="shared" si="1"/>
        <v>0</v>
      </c>
      <c r="AC58" s="297">
        <f t="shared" si="1"/>
        <v>0</v>
      </c>
      <c r="AD58" s="297">
        <f t="shared" si="1"/>
        <v>0</v>
      </c>
      <c r="AE58" s="297">
        <f t="shared" si="1"/>
        <v>0</v>
      </c>
    </row>
    <row r="59" spans="1:31" x14ac:dyDescent="0.2">
      <c r="A59" s="299" t="s">
        <v>261</v>
      </c>
      <c r="B59" s="313">
        <f t="shared" ref="B59:AE59" si="2">SUM(B60:B65)</f>
        <v>0</v>
      </c>
      <c r="C59" s="313">
        <f t="shared" si="2"/>
        <v>-262856</v>
      </c>
      <c r="D59" s="313">
        <f t="shared" si="2"/>
        <v>-253791.99999999997</v>
      </c>
      <c r="E59" s="313">
        <f t="shared" si="2"/>
        <v>-244728</v>
      </c>
      <c r="F59" s="313">
        <f t="shared" si="2"/>
        <v>-235664</v>
      </c>
      <c r="G59" s="313">
        <f t="shared" si="2"/>
        <v>-226600</v>
      </c>
      <c r="H59" s="313">
        <f t="shared" si="2"/>
        <v>-229896</v>
      </c>
      <c r="I59" s="313">
        <f t="shared" si="2"/>
        <v>-208472</v>
      </c>
      <c r="J59" s="313">
        <f t="shared" si="2"/>
        <v>171392</v>
      </c>
      <c r="K59" s="313">
        <f t="shared" si="2"/>
        <v>-190344</v>
      </c>
      <c r="L59" s="313">
        <f t="shared" si="2"/>
        <v>-181280</v>
      </c>
      <c r="M59" s="313">
        <f t="shared" si="2"/>
        <v>-371624</v>
      </c>
      <c r="N59" s="313">
        <f t="shared" si="2"/>
        <v>-175512</v>
      </c>
      <c r="O59" s="313">
        <f t="shared" si="2"/>
        <v>-154088</v>
      </c>
      <c r="P59" s="313">
        <f t="shared" si="2"/>
        <v>-145024</v>
      </c>
      <c r="Q59" s="313">
        <f t="shared" si="2"/>
        <v>-135960</v>
      </c>
      <c r="R59" s="313">
        <f t="shared" si="2"/>
        <v>243904</v>
      </c>
      <c r="S59" s="313">
        <f t="shared" si="2"/>
        <v>-117832</v>
      </c>
      <c r="T59" s="313">
        <f t="shared" si="2"/>
        <v>-121128</v>
      </c>
      <c r="U59" s="313">
        <f t="shared" si="2"/>
        <v>-99704</v>
      </c>
      <c r="V59" s="313">
        <f t="shared" si="2"/>
        <v>-90640</v>
      </c>
      <c r="W59" s="313">
        <f t="shared" si="2"/>
        <v>-81576</v>
      </c>
      <c r="X59" s="313">
        <f t="shared" si="2"/>
        <v>-72512</v>
      </c>
      <c r="Y59" s="313">
        <f t="shared" si="2"/>
        <v>-63447.999999999993</v>
      </c>
      <c r="Z59" s="313">
        <f t="shared" si="2"/>
        <v>304056</v>
      </c>
      <c r="AA59" s="313">
        <f t="shared" si="2"/>
        <v>-45320</v>
      </c>
      <c r="AB59" s="313">
        <f t="shared" si="2"/>
        <v>-36256</v>
      </c>
      <c r="AC59" s="313">
        <f t="shared" si="2"/>
        <v>-27192</v>
      </c>
      <c r="AD59" s="313">
        <f t="shared" si="2"/>
        <v>-18128</v>
      </c>
      <c r="AE59" s="313">
        <f t="shared" si="2"/>
        <v>-9064</v>
      </c>
    </row>
    <row r="60" spans="1:31" x14ac:dyDescent="0.2">
      <c r="A60" s="314" t="s">
        <v>260</v>
      </c>
      <c r="B60" s="307"/>
      <c r="C60" s="307"/>
      <c r="D60" s="307"/>
      <c r="E60" s="307"/>
      <c r="F60" s="307"/>
      <c r="G60" s="307"/>
      <c r="H60" s="307">
        <f>-B28</f>
        <v>-12360</v>
      </c>
      <c r="I60" s="313">
        <v>0</v>
      </c>
      <c r="J60" s="307"/>
      <c r="K60" s="307"/>
      <c r="L60" s="307"/>
      <c r="M60" s="307"/>
      <c r="N60" s="307">
        <f>H60</f>
        <v>-12360</v>
      </c>
      <c r="O60" s="307"/>
      <c r="P60" s="307"/>
      <c r="Q60" s="307"/>
      <c r="R60" s="307"/>
      <c r="S60" s="307"/>
      <c r="T60" s="307">
        <f>N60</f>
        <v>-12360</v>
      </c>
      <c r="U60" s="307"/>
      <c r="V60" s="307"/>
      <c r="W60" s="307"/>
      <c r="X60" s="307"/>
      <c r="Y60" s="307"/>
      <c r="Z60" s="307">
        <f>T60</f>
        <v>-12360</v>
      </c>
      <c r="AA60" s="307"/>
      <c r="AB60" s="307"/>
      <c r="AC60" s="307"/>
      <c r="AD60" s="307"/>
      <c r="AE60" s="307"/>
    </row>
    <row r="61" spans="1:31" x14ac:dyDescent="0.2">
      <c r="A61" s="314" t="s">
        <v>259</v>
      </c>
      <c r="B61" s="307"/>
      <c r="C61" s="307"/>
      <c r="D61" s="307"/>
      <c r="E61" s="307"/>
      <c r="F61" s="307"/>
      <c r="G61" s="307"/>
      <c r="H61" s="307"/>
      <c r="I61" s="307"/>
      <c r="J61" s="307">
        <f>B34</f>
        <v>370800</v>
      </c>
      <c r="K61" s="307"/>
      <c r="L61" s="307"/>
      <c r="M61" s="307"/>
      <c r="N61" s="307"/>
      <c r="O61" s="307"/>
      <c r="P61" s="307"/>
      <c r="Q61" s="307"/>
      <c r="R61" s="307">
        <f>J61</f>
        <v>370800</v>
      </c>
      <c r="S61" s="307"/>
      <c r="T61" s="307"/>
      <c r="U61" s="307"/>
      <c r="V61" s="307"/>
      <c r="W61" s="307"/>
      <c r="X61" s="307"/>
      <c r="Y61" s="307"/>
      <c r="Z61" s="307">
        <f>R61</f>
        <v>370800</v>
      </c>
      <c r="AA61" s="315">
        <f>S61</f>
        <v>0</v>
      </c>
      <c r="AB61" s="307"/>
      <c r="AC61" s="307"/>
      <c r="AD61" s="307"/>
      <c r="AE61" s="307"/>
    </row>
    <row r="62" spans="1:31" x14ac:dyDescent="0.2">
      <c r="A62" s="314" t="s">
        <v>598</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row>
    <row r="63" spans="1:31" x14ac:dyDescent="0.2">
      <c r="A63" s="314" t="s">
        <v>429</v>
      </c>
      <c r="B63" s="316">
        <v>0</v>
      </c>
      <c r="C63" s="316">
        <v>0</v>
      </c>
      <c r="D63" s="316">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6">
        <v>0</v>
      </c>
      <c r="AC63" s="316">
        <v>0</v>
      </c>
      <c r="AD63" s="316">
        <v>0</v>
      </c>
      <c r="AE63" s="316">
        <v>0</v>
      </c>
    </row>
    <row r="64" spans="1:31" x14ac:dyDescent="0.2">
      <c r="A64" s="314" t="s">
        <v>429</v>
      </c>
      <c r="B64" s="316">
        <v>0</v>
      </c>
      <c r="C64" s="316">
        <v>0</v>
      </c>
      <c r="D64" s="316">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6">
        <v>0</v>
      </c>
      <c r="AC64" s="316">
        <v>0</v>
      </c>
      <c r="AD64" s="316">
        <v>0</v>
      </c>
      <c r="AE64" s="316">
        <v>0</v>
      </c>
    </row>
    <row r="65" spans="1:31" x14ac:dyDescent="0.2">
      <c r="A65" s="314" t="s">
        <v>600</v>
      </c>
      <c r="B65" s="316">
        <v>0</v>
      </c>
      <c r="C65" s="482">
        <f>-($B$24+C67)*0.022</f>
        <v>-262856</v>
      </c>
      <c r="D65" s="482">
        <f>-($B$24+D67+C67)*0.022</f>
        <v>-253791.99999999997</v>
      </c>
      <c r="E65" s="483">
        <f>-($B$24+E67+C67+D67)*0.022</f>
        <v>-244728</v>
      </c>
      <c r="F65" s="483">
        <f>-($B$24+F67+D67+E67+C67)*0.022</f>
        <v>-235664</v>
      </c>
      <c r="G65" s="483">
        <f>-($B$24+G67+E67+F67+D67+C67)*0.022</f>
        <v>-226600</v>
      </c>
      <c r="H65" s="483">
        <f>-($B$24+H67+F67+G67+E67+C67+D67)*0.022</f>
        <v>-217536</v>
      </c>
      <c r="I65" s="483">
        <f>-($B$24+C67+I67+G67+H67+F67+D67+E67)*0.022</f>
        <v>-208472</v>
      </c>
      <c r="J65" s="483">
        <f>-($B$24+D67+J67+H67+I67+G67+E67+F67+C67)*0.022</f>
        <v>-199408</v>
      </c>
      <c r="K65" s="483">
        <f>-($B$24+E67+K67+I67+J67+H67+F67+G67+C67+D67)*0.022</f>
        <v>-190344</v>
      </c>
      <c r="L65" s="483">
        <f>-($B$24+F67+L67+J67+K67+I67+G67+H67+E67+D67+C67)*0.022</f>
        <v>-181280</v>
      </c>
      <c r="M65" s="483">
        <f>(-$B$24+G67+M67+K67+L67+J67+H67+I67+F67+E67+D67+C67)*0.022</f>
        <v>-371624</v>
      </c>
      <c r="N65" s="483">
        <f>-($B$24+H67+N67+L67+M67+K67+I67+J67+G67+F67+E67+C67+D67)*0.022</f>
        <v>-163152</v>
      </c>
      <c r="O65" s="483">
        <f>-($B$24+I67+O67+M67+N67+L67+J67+K67+H67+G67+F67+D67+C67+E67)*0.022</f>
        <v>-154088</v>
      </c>
      <c r="P65" s="483">
        <f>-($B$24+J67+P67+N67+O67+M67+K67+L67+I67+H67+G67+E67+F67+C67+D67)*0.022</f>
        <v>-145024</v>
      </c>
      <c r="Q65" s="483">
        <f>-($B$24+K67+Q67+O67+P67+N67+L67+M67+J67+I67+H67+F67+G67+D67+C67+E67)*0.022</f>
        <v>-135960</v>
      </c>
      <c r="R65" s="483">
        <f>-($B$24+L67+R67+P67+Q67+O67+M67+N67+K67+J67+I67+G67+H67+E67+D67+C67+F67)*0.022</f>
        <v>-126895.99999999999</v>
      </c>
      <c r="S65" s="483">
        <f>-($B$24+M67+S67+Q67+R67+P67+N67+O67+L67+K67+J67+H67+I67+F67+E67+D67+C67+G67)*0.022</f>
        <v>-117832</v>
      </c>
      <c r="T65" s="483">
        <f>-($B$24+N67+T67+R67+S67+Q67+O67+P67+M67+L67+K67+I67+J67+G67+F67+E67+D67+C67+H67)*0.022</f>
        <v>-108768</v>
      </c>
      <c r="U65" s="483">
        <f>-($B$24+O67+U67+S67+T67+R67+P67+Q67+N67+M67+L67+J67+K67+H67+G67+F67+E67+C67+D67++I67)*0.022</f>
        <v>-99704</v>
      </c>
      <c r="V65" s="483">
        <f>-($B$24+P67+V67+T67+U67+S67+Q67+R67+O67+N67+M67+K67+L67+I67+H67+G67+F67+D67+E67+C67+J67)*0.022</f>
        <v>-90640</v>
      </c>
      <c r="W65" s="483">
        <f>-($B$24+Q67+W67+U67+V67+T67+R67+S67+P67+O67+N67+L67+M67+J67+I67+H67+G67+E67+F67+D67+C67+K67)*0.022</f>
        <v>-81576</v>
      </c>
      <c r="X65" s="483">
        <f>-($B$24+R67+X67+V67+W67+U67+S67+T67+Q67+P67+O67+M67+N67+K67+J67+I67+H67+F67+G67+E67+D67+C67+L67)*0.022</f>
        <v>-72512</v>
      </c>
      <c r="Y65" s="483">
        <f>-($B$24+S67+Y67+W67+X67+V67+T67+U67+R67+Q67+P67+N67+O67+L67+K67+J67+I67+G67+H67+F67+E67+D67+C67+M67)*0.022</f>
        <v>-63447.999999999993</v>
      </c>
      <c r="Z65" s="483">
        <f>-($B$24+T67+Z67+X67+Y67+W67+U67+V67+S67+R67+Q67+O67+P67+M67+L67+K67+J67+H67+I67+G67+F67+E67+D67+C67+N67)*0.022</f>
        <v>-54384</v>
      </c>
      <c r="AA65" s="483">
        <f>-($B$24+U67+AA67+Y67+Z67+X67+V67+W67+T67+S67+R67+P67+Q67+N67+M67+L67+K67+I67+J67+H67+G67+F67+E67+D67+C67+O67)*0.022</f>
        <v>-45320</v>
      </c>
      <c r="AB65" s="483">
        <f>-($B$24+V67+AB67+Z67+AA67+Y67+W67+X67+U67+T67+S67+Q67+R67+O67+N67+M67+L67+J67+K67+I67+H67+G67+F67+E67+D67+C67+P67)*0.022</f>
        <v>-36256</v>
      </c>
      <c r="AC65" s="483">
        <f>-($B$24+W67+AC67+AA67+AB67+Z67+X67+Y67+V67+U67+T67+R67+S67+P67+O67+N67+M67+K67+L67+J67+I67+H67+G67+F67+E67+D67+C67+Q67)*0.022</f>
        <v>-27192</v>
      </c>
      <c r="AD65" s="483">
        <f>-($B$24+X67+AD67+AB67+AC67+AA67+Y67+Z67+W67+V67+U67+S67+T67+Q67+P67+O67+N67+L67+M67+K67+J67+I67+H67+G67+F67+E67+D67+C67+R67)*0.022</f>
        <v>-18128</v>
      </c>
      <c r="AE65" s="483">
        <f>-($B$24+Y67+AE67+AC67+AD67+AB67+Z67+AA67+X67+W67+V67+T67+U67+R67+Q67+P67+O67+M67+N67+L67+K67+J67+I67+H67+G67+F67+E67+D67+C67+S67)*0.022</f>
        <v>-9064</v>
      </c>
    </row>
    <row r="66" spans="1:31" x14ac:dyDescent="0.2">
      <c r="A66" s="317" t="s">
        <v>601</v>
      </c>
      <c r="B66" s="318">
        <f t="shared" ref="B66:AE66" si="3">B58+B59</f>
        <v>0</v>
      </c>
      <c r="C66" s="318">
        <f t="shared" si="3"/>
        <v>-257558.6</v>
      </c>
      <c r="D66" s="318">
        <f t="shared" si="3"/>
        <v>-253791.99999999997</v>
      </c>
      <c r="E66" s="318">
        <f t="shared" si="3"/>
        <v>-244728</v>
      </c>
      <c r="F66" s="318">
        <f t="shared" si="3"/>
        <v>-235664</v>
      </c>
      <c r="G66" s="318">
        <f t="shared" si="3"/>
        <v>-226600</v>
      </c>
      <c r="H66" s="318">
        <f t="shared" si="3"/>
        <v>-229896</v>
      </c>
      <c r="I66" s="318">
        <f t="shared" si="3"/>
        <v>-208472</v>
      </c>
      <c r="J66" s="318">
        <f t="shared" si="3"/>
        <v>171392</v>
      </c>
      <c r="K66" s="318">
        <f t="shared" si="3"/>
        <v>-190344</v>
      </c>
      <c r="L66" s="318">
        <f t="shared" si="3"/>
        <v>-181280</v>
      </c>
      <c r="M66" s="318">
        <f t="shared" si="3"/>
        <v>-371624</v>
      </c>
      <c r="N66" s="318">
        <f t="shared" si="3"/>
        <v>-175512</v>
      </c>
      <c r="O66" s="318">
        <f t="shared" si="3"/>
        <v>-154088</v>
      </c>
      <c r="P66" s="318">
        <f t="shared" si="3"/>
        <v>-145024</v>
      </c>
      <c r="Q66" s="318">
        <f t="shared" si="3"/>
        <v>-135960</v>
      </c>
      <c r="R66" s="318">
        <f t="shared" si="3"/>
        <v>243904</v>
      </c>
      <c r="S66" s="318">
        <f t="shared" si="3"/>
        <v>-117832</v>
      </c>
      <c r="T66" s="318">
        <f t="shared" si="3"/>
        <v>-121128</v>
      </c>
      <c r="U66" s="318">
        <f t="shared" si="3"/>
        <v>-99704</v>
      </c>
      <c r="V66" s="318">
        <f t="shared" si="3"/>
        <v>-90640</v>
      </c>
      <c r="W66" s="318">
        <f t="shared" si="3"/>
        <v>-81576</v>
      </c>
      <c r="X66" s="318">
        <f t="shared" si="3"/>
        <v>-72512</v>
      </c>
      <c r="Y66" s="318">
        <f t="shared" si="3"/>
        <v>-63447.999999999993</v>
      </c>
      <c r="Z66" s="318">
        <f t="shared" si="3"/>
        <v>304056</v>
      </c>
      <c r="AA66" s="318">
        <f t="shared" si="3"/>
        <v>-45320</v>
      </c>
      <c r="AB66" s="318">
        <f t="shared" si="3"/>
        <v>-36256</v>
      </c>
      <c r="AC66" s="318">
        <f t="shared" si="3"/>
        <v>-27192</v>
      </c>
      <c r="AD66" s="318">
        <f t="shared" si="3"/>
        <v>-18128</v>
      </c>
      <c r="AE66" s="318">
        <f t="shared" si="3"/>
        <v>-9064</v>
      </c>
    </row>
    <row r="67" spans="1:31" x14ac:dyDescent="0.2">
      <c r="A67" s="314" t="s">
        <v>255</v>
      </c>
      <c r="B67" s="319">
        <v>0</v>
      </c>
      <c r="C67" s="319">
        <f>-($B$24)*$B$27/$B$26</f>
        <v>-412000</v>
      </c>
      <c r="D67" s="319">
        <f>C67</f>
        <v>-412000</v>
      </c>
      <c r="E67" s="319">
        <f t="shared" ref="E67:AE67" si="4">D67</f>
        <v>-412000</v>
      </c>
      <c r="F67" s="319">
        <f t="shared" si="4"/>
        <v>-412000</v>
      </c>
      <c r="G67" s="319">
        <f t="shared" si="4"/>
        <v>-412000</v>
      </c>
      <c r="H67" s="319">
        <f t="shared" si="4"/>
        <v>-412000</v>
      </c>
      <c r="I67" s="319">
        <f t="shared" si="4"/>
        <v>-412000</v>
      </c>
      <c r="J67" s="319">
        <f t="shared" si="4"/>
        <v>-412000</v>
      </c>
      <c r="K67" s="319">
        <f t="shared" si="4"/>
        <v>-412000</v>
      </c>
      <c r="L67" s="319">
        <f t="shared" si="4"/>
        <v>-412000</v>
      </c>
      <c r="M67" s="319">
        <f t="shared" si="4"/>
        <v>-412000</v>
      </c>
      <c r="N67" s="319">
        <f t="shared" si="4"/>
        <v>-412000</v>
      </c>
      <c r="O67" s="319">
        <f t="shared" si="4"/>
        <v>-412000</v>
      </c>
      <c r="P67" s="319">
        <f t="shared" si="4"/>
        <v>-412000</v>
      </c>
      <c r="Q67" s="319">
        <f t="shared" si="4"/>
        <v>-412000</v>
      </c>
      <c r="R67" s="319">
        <f t="shared" si="4"/>
        <v>-412000</v>
      </c>
      <c r="S67" s="319">
        <f t="shared" si="4"/>
        <v>-412000</v>
      </c>
      <c r="T67" s="319">
        <f t="shared" si="4"/>
        <v>-412000</v>
      </c>
      <c r="U67" s="319">
        <f t="shared" si="4"/>
        <v>-412000</v>
      </c>
      <c r="V67" s="319">
        <f t="shared" si="4"/>
        <v>-412000</v>
      </c>
      <c r="W67" s="319">
        <f t="shared" si="4"/>
        <v>-412000</v>
      </c>
      <c r="X67" s="319">
        <f t="shared" si="4"/>
        <v>-412000</v>
      </c>
      <c r="Y67" s="319">
        <f t="shared" si="4"/>
        <v>-412000</v>
      </c>
      <c r="Z67" s="319">
        <f t="shared" si="4"/>
        <v>-412000</v>
      </c>
      <c r="AA67" s="319">
        <f t="shared" si="4"/>
        <v>-412000</v>
      </c>
      <c r="AB67" s="319">
        <f t="shared" si="4"/>
        <v>-412000</v>
      </c>
      <c r="AC67" s="319">
        <f t="shared" si="4"/>
        <v>-412000</v>
      </c>
      <c r="AD67" s="319">
        <f t="shared" si="4"/>
        <v>-412000</v>
      </c>
      <c r="AE67" s="319">
        <f t="shared" si="4"/>
        <v>-412000</v>
      </c>
    </row>
    <row r="68" spans="1:31" x14ac:dyDescent="0.2">
      <c r="A68" s="317" t="s">
        <v>602</v>
      </c>
      <c r="B68" s="318">
        <f t="shared" ref="B68:AE68" si="5">B66+B67</f>
        <v>0</v>
      </c>
      <c r="C68" s="318">
        <f>C66+C67</f>
        <v>-669558.6</v>
      </c>
      <c r="D68" s="318">
        <f t="shared" si="5"/>
        <v>-665792</v>
      </c>
      <c r="E68" s="318">
        <f t="shared" si="5"/>
        <v>-656728</v>
      </c>
      <c r="F68" s="318">
        <f t="shared" si="5"/>
        <v>-647664</v>
      </c>
      <c r="G68" s="318">
        <f t="shared" si="5"/>
        <v>-638600</v>
      </c>
      <c r="H68" s="318">
        <f t="shared" si="5"/>
        <v>-641896</v>
      </c>
      <c r="I68" s="318">
        <f t="shared" si="5"/>
        <v>-620472</v>
      </c>
      <c r="J68" s="318">
        <f t="shared" si="5"/>
        <v>-240608</v>
      </c>
      <c r="K68" s="318">
        <f t="shared" si="5"/>
        <v>-602344</v>
      </c>
      <c r="L68" s="318">
        <f t="shared" si="5"/>
        <v>-593280</v>
      </c>
      <c r="M68" s="318">
        <f t="shared" si="5"/>
        <v>-783624</v>
      </c>
      <c r="N68" s="318">
        <f t="shared" si="5"/>
        <v>-587512</v>
      </c>
      <c r="O68" s="318">
        <f t="shared" si="5"/>
        <v>-566088</v>
      </c>
      <c r="P68" s="318">
        <f t="shared" si="5"/>
        <v>-557024</v>
      </c>
      <c r="Q68" s="318">
        <f t="shared" si="5"/>
        <v>-547960</v>
      </c>
      <c r="R68" s="318">
        <f t="shared" si="5"/>
        <v>-168096</v>
      </c>
      <c r="S68" s="318">
        <f t="shared" si="5"/>
        <v>-529832</v>
      </c>
      <c r="T68" s="318">
        <f t="shared" si="5"/>
        <v>-533128</v>
      </c>
      <c r="U68" s="318">
        <f t="shared" si="5"/>
        <v>-511704</v>
      </c>
      <c r="V68" s="318">
        <f t="shared" si="5"/>
        <v>-502640</v>
      </c>
      <c r="W68" s="318">
        <f t="shared" si="5"/>
        <v>-493576</v>
      </c>
      <c r="X68" s="318">
        <f t="shared" si="5"/>
        <v>-484512</v>
      </c>
      <c r="Y68" s="318">
        <f t="shared" si="5"/>
        <v>-475448</v>
      </c>
      <c r="Z68" s="318">
        <f t="shared" si="5"/>
        <v>-107944</v>
      </c>
      <c r="AA68" s="318">
        <f t="shared" si="5"/>
        <v>-457320</v>
      </c>
      <c r="AB68" s="318">
        <f t="shared" si="5"/>
        <v>-448256</v>
      </c>
      <c r="AC68" s="318">
        <f t="shared" si="5"/>
        <v>-439192</v>
      </c>
      <c r="AD68" s="318">
        <f t="shared" si="5"/>
        <v>-430128</v>
      </c>
      <c r="AE68" s="318">
        <f t="shared" si="5"/>
        <v>-421064</v>
      </c>
    </row>
    <row r="69" spans="1:31" x14ac:dyDescent="0.2">
      <c r="A69" s="314" t="s">
        <v>254</v>
      </c>
      <c r="B69" s="316">
        <v>0</v>
      </c>
      <c r="C69" s="316">
        <v>0</v>
      </c>
      <c r="D69" s="316">
        <v>0</v>
      </c>
      <c r="E69" s="316">
        <v>0</v>
      </c>
      <c r="F69" s="316">
        <v>0</v>
      </c>
      <c r="G69" s="316">
        <v>0</v>
      </c>
      <c r="H69" s="316">
        <v>0</v>
      </c>
      <c r="I69" s="316">
        <v>0</v>
      </c>
      <c r="J69" s="316">
        <v>0</v>
      </c>
      <c r="K69" s="316">
        <v>0</v>
      </c>
      <c r="L69" s="316">
        <v>0</v>
      </c>
      <c r="M69" s="316">
        <v>0</v>
      </c>
      <c r="N69" s="316">
        <v>0</v>
      </c>
      <c r="O69" s="316">
        <v>0</v>
      </c>
      <c r="P69" s="316">
        <v>0</v>
      </c>
      <c r="Q69" s="316">
        <v>0</v>
      </c>
      <c r="R69" s="316">
        <v>0</v>
      </c>
      <c r="S69" s="316">
        <v>0</v>
      </c>
      <c r="T69" s="316">
        <v>0</v>
      </c>
      <c r="U69" s="316">
        <v>0</v>
      </c>
      <c r="V69" s="316">
        <v>0</v>
      </c>
      <c r="W69" s="316">
        <v>0</v>
      </c>
      <c r="X69" s="316">
        <v>0</v>
      </c>
      <c r="Y69" s="316">
        <v>0</v>
      </c>
      <c r="Z69" s="316">
        <v>0</v>
      </c>
      <c r="AA69" s="316">
        <v>0</v>
      </c>
      <c r="AB69" s="316">
        <v>0</v>
      </c>
      <c r="AC69" s="316">
        <v>0</v>
      </c>
      <c r="AD69" s="316">
        <v>0</v>
      </c>
      <c r="AE69" s="316">
        <v>0</v>
      </c>
    </row>
    <row r="70" spans="1:31" x14ac:dyDescent="0.2">
      <c r="A70" s="317" t="s">
        <v>258</v>
      </c>
      <c r="B70" s="318">
        <f t="shared" ref="B70:AE70" si="6">B68+B69</f>
        <v>0</v>
      </c>
      <c r="C70" s="318">
        <f t="shared" si="6"/>
        <v>-669558.6</v>
      </c>
      <c r="D70" s="318">
        <f t="shared" si="6"/>
        <v>-665792</v>
      </c>
      <c r="E70" s="318">
        <f t="shared" si="6"/>
        <v>-656728</v>
      </c>
      <c r="F70" s="318">
        <f t="shared" si="6"/>
        <v>-647664</v>
      </c>
      <c r="G70" s="318">
        <f t="shared" si="6"/>
        <v>-638600</v>
      </c>
      <c r="H70" s="318">
        <f t="shared" si="6"/>
        <v>-641896</v>
      </c>
      <c r="I70" s="318">
        <f t="shared" si="6"/>
        <v>-620472</v>
      </c>
      <c r="J70" s="318">
        <f t="shared" si="6"/>
        <v>-240608</v>
      </c>
      <c r="K70" s="318">
        <f t="shared" si="6"/>
        <v>-602344</v>
      </c>
      <c r="L70" s="318">
        <f t="shared" si="6"/>
        <v>-593280</v>
      </c>
      <c r="M70" s="318">
        <f t="shared" si="6"/>
        <v>-783624</v>
      </c>
      <c r="N70" s="318">
        <f t="shared" si="6"/>
        <v>-587512</v>
      </c>
      <c r="O70" s="318">
        <f t="shared" si="6"/>
        <v>-566088</v>
      </c>
      <c r="P70" s="318">
        <f t="shared" si="6"/>
        <v>-557024</v>
      </c>
      <c r="Q70" s="318">
        <f t="shared" si="6"/>
        <v>-547960</v>
      </c>
      <c r="R70" s="318">
        <f t="shared" si="6"/>
        <v>-168096</v>
      </c>
      <c r="S70" s="318">
        <f t="shared" si="6"/>
        <v>-529832</v>
      </c>
      <c r="T70" s="318">
        <f t="shared" si="6"/>
        <v>-533128</v>
      </c>
      <c r="U70" s="318">
        <f t="shared" si="6"/>
        <v>-511704</v>
      </c>
      <c r="V70" s="318">
        <f t="shared" si="6"/>
        <v>-502640</v>
      </c>
      <c r="W70" s="318">
        <f t="shared" si="6"/>
        <v>-493576</v>
      </c>
      <c r="X70" s="318">
        <f t="shared" si="6"/>
        <v>-484512</v>
      </c>
      <c r="Y70" s="318">
        <f t="shared" si="6"/>
        <v>-475448</v>
      </c>
      <c r="Z70" s="318">
        <f t="shared" si="6"/>
        <v>-107944</v>
      </c>
      <c r="AA70" s="318">
        <f t="shared" si="6"/>
        <v>-457320</v>
      </c>
      <c r="AB70" s="318">
        <f t="shared" si="6"/>
        <v>-448256</v>
      </c>
      <c r="AC70" s="318">
        <f t="shared" si="6"/>
        <v>-439192</v>
      </c>
      <c r="AD70" s="318">
        <f t="shared" si="6"/>
        <v>-430128</v>
      </c>
      <c r="AE70" s="318">
        <f t="shared" si="6"/>
        <v>-421064</v>
      </c>
    </row>
    <row r="71" spans="1:31" x14ac:dyDescent="0.2">
      <c r="A71" s="314" t="s">
        <v>253</v>
      </c>
      <c r="B71" s="319">
        <f t="shared" ref="B71:AE71" si="7">-B70*$B$35</f>
        <v>0</v>
      </c>
      <c r="C71" s="319">
        <f t="shared" si="7"/>
        <v>133911.72</v>
      </c>
      <c r="D71" s="319">
        <f t="shared" si="7"/>
        <v>133158.39999999999</v>
      </c>
      <c r="E71" s="319">
        <f t="shared" si="7"/>
        <v>131345.60000000001</v>
      </c>
      <c r="F71" s="319">
        <f t="shared" si="7"/>
        <v>129532.8</v>
      </c>
      <c r="G71" s="319">
        <f t="shared" si="7"/>
        <v>127720</v>
      </c>
      <c r="H71" s="319">
        <f t="shared" si="7"/>
        <v>128379.20000000001</v>
      </c>
      <c r="I71" s="319">
        <f t="shared" si="7"/>
        <v>124094.40000000001</v>
      </c>
      <c r="J71" s="319">
        <f t="shared" si="7"/>
        <v>48121.600000000006</v>
      </c>
      <c r="K71" s="319">
        <f t="shared" si="7"/>
        <v>120468.8</v>
      </c>
      <c r="L71" s="319">
        <f t="shared" si="7"/>
        <v>118656</v>
      </c>
      <c r="M71" s="319">
        <f t="shared" si="7"/>
        <v>156724.80000000002</v>
      </c>
      <c r="N71" s="319">
        <f t="shared" si="7"/>
        <v>117502.40000000001</v>
      </c>
      <c r="O71" s="319">
        <f t="shared" si="7"/>
        <v>113217.60000000001</v>
      </c>
      <c r="P71" s="319">
        <f t="shared" si="7"/>
        <v>111404.8</v>
      </c>
      <c r="Q71" s="319">
        <f t="shared" si="7"/>
        <v>109592</v>
      </c>
      <c r="R71" s="319">
        <f t="shared" si="7"/>
        <v>33619.200000000004</v>
      </c>
      <c r="S71" s="319">
        <f t="shared" si="7"/>
        <v>105966.40000000001</v>
      </c>
      <c r="T71" s="319">
        <f t="shared" si="7"/>
        <v>106625.60000000001</v>
      </c>
      <c r="U71" s="319">
        <f t="shared" si="7"/>
        <v>102340.8</v>
      </c>
      <c r="V71" s="319">
        <f t="shared" si="7"/>
        <v>100528</v>
      </c>
      <c r="W71" s="319">
        <f t="shared" si="7"/>
        <v>98715.200000000012</v>
      </c>
      <c r="X71" s="319">
        <f t="shared" si="7"/>
        <v>96902.400000000009</v>
      </c>
      <c r="Y71" s="319">
        <f t="shared" si="7"/>
        <v>95089.600000000006</v>
      </c>
      <c r="Z71" s="319">
        <f t="shared" si="7"/>
        <v>21588.800000000003</v>
      </c>
      <c r="AA71" s="319">
        <f t="shared" si="7"/>
        <v>91464</v>
      </c>
      <c r="AB71" s="319">
        <f t="shared" si="7"/>
        <v>89651.200000000012</v>
      </c>
      <c r="AC71" s="319">
        <f t="shared" si="7"/>
        <v>87838.400000000009</v>
      </c>
      <c r="AD71" s="319">
        <f t="shared" si="7"/>
        <v>86025.600000000006</v>
      </c>
      <c r="AE71" s="319">
        <f t="shared" si="7"/>
        <v>84212.800000000003</v>
      </c>
    </row>
    <row r="72" spans="1:31" ht="13.5" thickBot="1" x14ac:dyDescent="0.25">
      <c r="A72" s="320" t="s">
        <v>257</v>
      </c>
      <c r="B72" s="321">
        <f t="shared" ref="B72:AE72" si="8">B70+B71</f>
        <v>0</v>
      </c>
      <c r="C72" s="321">
        <f t="shared" si="8"/>
        <v>-535646.88</v>
      </c>
      <c r="D72" s="321">
        <f t="shared" si="8"/>
        <v>-532633.59999999998</v>
      </c>
      <c r="E72" s="321">
        <f t="shared" si="8"/>
        <v>-525382.40000000002</v>
      </c>
      <c r="F72" s="321">
        <f t="shared" si="8"/>
        <v>-518131.20000000001</v>
      </c>
      <c r="G72" s="321">
        <f t="shared" si="8"/>
        <v>-510880</v>
      </c>
      <c r="H72" s="321">
        <f t="shared" si="8"/>
        <v>-513516.79999999999</v>
      </c>
      <c r="I72" s="321">
        <f t="shared" si="8"/>
        <v>-496377.59999999998</v>
      </c>
      <c r="J72" s="321">
        <f t="shared" si="8"/>
        <v>-192486.39999999999</v>
      </c>
      <c r="K72" s="321">
        <f t="shared" si="8"/>
        <v>-481875.20000000001</v>
      </c>
      <c r="L72" s="321">
        <f t="shared" si="8"/>
        <v>-474624</v>
      </c>
      <c r="M72" s="321">
        <f t="shared" si="8"/>
        <v>-626899.19999999995</v>
      </c>
      <c r="N72" s="321">
        <f t="shared" si="8"/>
        <v>-470009.59999999998</v>
      </c>
      <c r="O72" s="321">
        <f t="shared" si="8"/>
        <v>-452870.40000000002</v>
      </c>
      <c r="P72" s="321">
        <f t="shared" si="8"/>
        <v>-445619.20000000001</v>
      </c>
      <c r="Q72" s="321">
        <f t="shared" si="8"/>
        <v>-438368</v>
      </c>
      <c r="R72" s="321">
        <f t="shared" si="8"/>
        <v>-134476.79999999999</v>
      </c>
      <c r="S72" s="321">
        <f t="shared" si="8"/>
        <v>-423865.59999999998</v>
      </c>
      <c r="T72" s="321">
        <f t="shared" si="8"/>
        <v>-426502.40000000002</v>
      </c>
      <c r="U72" s="321">
        <f t="shared" si="8"/>
        <v>-409363.20000000001</v>
      </c>
      <c r="V72" s="321">
        <f t="shared" si="8"/>
        <v>-402112</v>
      </c>
      <c r="W72" s="321">
        <f t="shared" si="8"/>
        <v>-394860.79999999999</v>
      </c>
      <c r="X72" s="321">
        <f t="shared" si="8"/>
        <v>-387609.59999999998</v>
      </c>
      <c r="Y72" s="321">
        <f t="shared" si="8"/>
        <v>-380358.40000000002</v>
      </c>
      <c r="Z72" s="321">
        <f t="shared" si="8"/>
        <v>-86355.199999999997</v>
      </c>
      <c r="AA72" s="321">
        <f t="shared" si="8"/>
        <v>-365856</v>
      </c>
      <c r="AB72" s="321">
        <f t="shared" si="8"/>
        <v>-358604.79999999999</v>
      </c>
      <c r="AC72" s="321">
        <f t="shared" si="8"/>
        <v>-351353.59999999998</v>
      </c>
      <c r="AD72" s="321">
        <f t="shared" si="8"/>
        <v>-344102.40000000002</v>
      </c>
      <c r="AE72" s="321">
        <f t="shared" si="8"/>
        <v>-336851.20000000001</v>
      </c>
    </row>
    <row r="73" spans="1:31" ht="13.5" thickBot="1" x14ac:dyDescent="0.25">
      <c r="A73" s="304"/>
      <c r="B73" s="322">
        <v>0.5</v>
      </c>
      <c r="C73" s="322">
        <v>1.5</v>
      </c>
      <c r="D73" s="322">
        <v>2.5</v>
      </c>
      <c r="E73" s="322">
        <v>3.5</v>
      </c>
      <c r="F73" s="322">
        <v>4.5</v>
      </c>
      <c r="G73" s="322">
        <v>5.5</v>
      </c>
      <c r="H73" s="322">
        <v>6.5</v>
      </c>
      <c r="I73" s="322">
        <v>7.5</v>
      </c>
      <c r="J73" s="322">
        <v>8.5</v>
      </c>
      <c r="K73" s="322">
        <v>9.5</v>
      </c>
      <c r="L73" s="322">
        <v>10.5</v>
      </c>
      <c r="M73" s="322">
        <v>11.5</v>
      </c>
      <c r="N73" s="322">
        <v>12.5</v>
      </c>
      <c r="O73" s="322">
        <v>13.5</v>
      </c>
      <c r="P73" s="322">
        <v>14.5</v>
      </c>
      <c r="Q73" s="322">
        <v>15.5</v>
      </c>
      <c r="R73" s="322">
        <v>16.5</v>
      </c>
      <c r="S73" s="322">
        <v>17.5</v>
      </c>
      <c r="T73" s="322">
        <v>18.5</v>
      </c>
      <c r="U73" s="322">
        <v>19.5</v>
      </c>
      <c r="V73" s="322">
        <v>20.5</v>
      </c>
      <c r="W73" s="322">
        <v>21.5</v>
      </c>
      <c r="X73" s="322">
        <v>22.5</v>
      </c>
      <c r="Y73" s="322">
        <v>23.5</v>
      </c>
      <c r="Z73" s="322">
        <v>24.5</v>
      </c>
      <c r="AA73" s="322">
        <v>25.5</v>
      </c>
      <c r="AB73" s="322">
        <v>26.5</v>
      </c>
      <c r="AC73" s="322">
        <v>27.5</v>
      </c>
      <c r="AD73" s="322">
        <v>28.5</v>
      </c>
      <c r="AE73" s="322">
        <v>29.5</v>
      </c>
    </row>
    <row r="74" spans="1:31" x14ac:dyDescent="0.2">
      <c r="A74" s="306" t="s">
        <v>256</v>
      </c>
      <c r="B74" s="297">
        <v>1</v>
      </c>
      <c r="C74" s="297">
        <v>2</v>
      </c>
      <c r="D74" s="297">
        <v>3</v>
      </c>
      <c r="E74" s="297">
        <v>4</v>
      </c>
      <c r="F74" s="297">
        <v>5</v>
      </c>
      <c r="G74" s="297">
        <v>6</v>
      </c>
      <c r="H74" s="297">
        <v>7</v>
      </c>
      <c r="I74" s="297">
        <v>8</v>
      </c>
      <c r="J74" s="297">
        <v>9</v>
      </c>
      <c r="K74" s="297">
        <v>10</v>
      </c>
      <c r="L74" s="297">
        <v>11</v>
      </c>
      <c r="M74" s="297">
        <v>12</v>
      </c>
      <c r="N74" s="297">
        <v>13</v>
      </c>
      <c r="O74" s="297">
        <v>14</v>
      </c>
      <c r="P74" s="297">
        <v>15</v>
      </c>
      <c r="Q74" s="297">
        <v>16</v>
      </c>
      <c r="R74" s="297">
        <v>17</v>
      </c>
      <c r="S74" s="297">
        <v>18</v>
      </c>
      <c r="T74" s="297">
        <v>19</v>
      </c>
      <c r="U74" s="297">
        <v>20</v>
      </c>
      <c r="V74" s="297">
        <v>21</v>
      </c>
      <c r="W74" s="297">
        <v>22</v>
      </c>
      <c r="X74" s="297">
        <v>23</v>
      </c>
      <c r="Y74" s="297">
        <v>24</v>
      </c>
      <c r="Z74" s="297">
        <v>25</v>
      </c>
      <c r="AA74" s="297">
        <v>26</v>
      </c>
      <c r="AB74" s="297">
        <v>27</v>
      </c>
      <c r="AC74" s="297">
        <v>28</v>
      </c>
      <c r="AD74" s="297">
        <v>29</v>
      </c>
      <c r="AE74" s="297">
        <v>30</v>
      </c>
    </row>
    <row r="75" spans="1:31" x14ac:dyDescent="0.2">
      <c r="A75" s="323" t="s">
        <v>602</v>
      </c>
      <c r="B75" s="318">
        <f t="shared" ref="B75:AE75" si="9">B68</f>
        <v>0</v>
      </c>
      <c r="C75" s="318">
        <f t="shared" si="9"/>
        <v>-669558.6</v>
      </c>
      <c r="D75" s="318">
        <f t="shared" si="9"/>
        <v>-665792</v>
      </c>
      <c r="E75" s="318">
        <f t="shared" si="9"/>
        <v>-656728</v>
      </c>
      <c r="F75" s="318">
        <f t="shared" si="9"/>
        <v>-647664</v>
      </c>
      <c r="G75" s="318">
        <f t="shared" si="9"/>
        <v>-638600</v>
      </c>
      <c r="H75" s="318">
        <f t="shared" si="9"/>
        <v>-641896</v>
      </c>
      <c r="I75" s="318">
        <f t="shared" si="9"/>
        <v>-620472</v>
      </c>
      <c r="J75" s="318">
        <f t="shared" si="9"/>
        <v>-240608</v>
      </c>
      <c r="K75" s="318">
        <f t="shared" si="9"/>
        <v>-602344</v>
      </c>
      <c r="L75" s="318">
        <f t="shared" si="9"/>
        <v>-593280</v>
      </c>
      <c r="M75" s="318">
        <f t="shared" si="9"/>
        <v>-783624</v>
      </c>
      <c r="N75" s="318">
        <f t="shared" si="9"/>
        <v>-587512</v>
      </c>
      <c r="O75" s="318">
        <f t="shared" si="9"/>
        <v>-566088</v>
      </c>
      <c r="P75" s="318">
        <f t="shared" si="9"/>
        <v>-557024</v>
      </c>
      <c r="Q75" s="318">
        <f t="shared" si="9"/>
        <v>-547960</v>
      </c>
      <c r="R75" s="318">
        <f t="shared" si="9"/>
        <v>-168096</v>
      </c>
      <c r="S75" s="318">
        <f t="shared" si="9"/>
        <v>-529832</v>
      </c>
      <c r="T75" s="318">
        <f t="shared" si="9"/>
        <v>-533128</v>
      </c>
      <c r="U75" s="318">
        <f t="shared" si="9"/>
        <v>-511704</v>
      </c>
      <c r="V75" s="318">
        <f t="shared" si="9"/>
        <v>-502640</v>
      </c>
      <c r="W75" s="318">
        <f t="shared" si="9"/>
        <v>-493576</v>
      </c>
      <c r="X75" s="318">
        <f t="shared" si="9"/>
        <v>-484512</v>
      </c>
      <c r="Y75" s="318">
        <f t="shared" si="9"/>
        <v>-475448</v>
      </c>
      <c r="Z75" s="318">
        <f t="shared" si="9"/>
        <v>-107944</v>
      </c>
      <c r="AA75" s="318">
        <f t="shared" si="9"/>
        <v>-457320</v>
      </c>
      <c r="AB75" s="318">
        <f t="shared" si="9"/>
        <v>-448256</v>
      </c>
      <c r="AC75" s="318">
        <f t="shared" si="9"/>
        <v>-439192</v>
      </c>
      <c r="AD75" s="318">
        <f t="shared" si="9"/>
        <v>-430128</v>
      </c>
      <c r="AE75" s="318">
        <f t="shared" si="9"/>
        <v>-421064</v>
      </c>
    </row>
    <row r="76" spans="1:31" x14ac:dyDescent="0.2">
      <c r="A76" s="314" t="s">
        <v>255</v>
      </c>
      <c r="B76" s="319">
        <f t="shared" ref="B76:AE76" si="10">-B67</f>
        <v>0</v>
      </c>
      <c r="C76" s="319">
        <f t="shared" si="10"/>
        <v>412000</v>
      </c>
      <c r="D76" s="319">
        <f t="shared" si="10"/>
        <v>412000</v>
      </c>
      <c r="E76" s="319">
        <f t="shared" si="10"/>
        <v>412000</v>
      </c>
      <c r="F76" s="319">
        <f t="shared" si="10"/>
        <v>412000</v>
      </c>
      <c r="G76" s="319">
        <f t="shared" si="10"/>
        <v>412000</v>
      </c>
      <c r="H76" s="319">
        <f t="shared" si="10"/>
        <v>412000</v>
      </c>
      <c r="I76" s="319">
        <f t="shared" si="10"/>
        <v>412000</v>
      </c>
      <c r="J76" s="319">
        <f t="shared" si="10"/>
        <v>412000</v>
      </c>
      <c r="K76" s="319">
        <f t="shared" si="10"/>
        <v>412000</v>
      </c>
      <c r="L76" s="319">
        <f t="shared" si="10"/>
        <v>412000</v>
      </c>
      <c r="M76" s="319">
        <f t="shared" si="10"/>
        <v>412000</v>
      </c>
      <c r="N76" s="319">
        <f t="shared" si="10"/>
        <v>412000</v>
      </c>
      <c r="O76" s="319">
        <f t="shared" si="10"/>
        <v>412000</v>
      </c>
      <c r="P76" s="319">
        <f t="shared" si="10"/>
        <v>412000</v>
      </c>
      <c r="Q76" s="319">
        <f t="shared" si="10"/>
        <v>412000</v>
      </c>
      <c r="R76" s="319">
        <f t="shared" si="10"/>
        <v>412000</v>
      </c>
      <c r="S76" s="319">
        <f t="shared" si="10"/>
        <v>412000</v>
      </c>
      <c r="T76" s="319">
        <f t="shared" si="10"/>
        <v>412000</v>
      </c>
      <c r="U76" s="319">
        <f t="shared" si="10"/>
        <v>412000</v>
      </c>
      <c r="V76" s="319">
        <f t="shared" si="10"/>
        <v>412000</v>
      </c>
      <c r="W76" s="319">
        <f t="shared" si="10"/>
        <v>412000</v>
      </c>
      <c r="X76" s="319">
        <f t="shared" si="10"/>
        <v>412000</v>
      </c>
      <c r="Y76" s="319">
        <f t="shared" si="10"/>
        <v>412000</v>
      </c>
      <c r="Z76" s="319">
        <f t="shared" si="10"/>
        <v>412000</v>
      </c>
      <c r="AA76" s="319">
        <f t="shared" si="10"/>
        <v>412000</v>
      </c>
      <c r="AB76" s="319">
        <f t="shared" si="10"/>
        <v>412000</v>
      </c>
      <c r="AC76" s="319">
        <f t="shared" si="10"/>
        <v>412000</v>
      </c>
      <c r="AD76" s="319">
        <f t="shared" si="10"/>
        <v>412000</v>
      </c>
      <c r="AE76" s="319">
        <f t="shared" si="10"/>
        <v>412000</v>
      </c>
    </row>
    <row r="77" spans="1:31" x14ac:dyDescent="0.2">
      <c r="A77" s="314" t="s">
        <v>254</v>
      </c>
      <c r="B77" s="319">
        <f t="shared" ref="B77:AE77" si="11">B69</f>
        <v>0</v>
      </c>
      <c r="C77" s="319">
        <f t="shared" si="11"/>
        <v>0</v>
      </c>
      <c r="D77" s="319">
        <f t="shared" si="11"/>
        <v>0</v>
      </c>
      <c r="E77" s="319">
        <f t="shared" si="11"/>
        <v>0</v>
      </c>
      <c r="F77" s="319">
        <f t="shared" si="11"/>
        <v>0</v>
      </c>
      <c r="G77" s="319">
        <f t="shared" si="11"/>
        <v>0</v>
      </c>
      <c r="H77" s="319">
        <f t="shared" si="11"/>
        <v>0</v>
      </c>
      <c r="I77" s="319">
        <f t="shared" si="11"/>
        <v>0</v>
      </c>
      <c r="J77" s="319">
        <f t="shared" si="11"/>
        <v>0</v>
      </c>
      <c r="K77" s="319">
        <f t="shared" si="11"/>
        <v>0</v>
      </c>
      <c r="L77" s="319">
        <f t="shared" si="11"/>
        <v>0</v>
      </c>
      <c r="M77" s="319">
        <f t="shared" si="11"/>
        <v>0</v>
      </c>
      <c r="N77" s="319">
        <f t="shared" si="11"/>
        <v>0</v>
      </c>
      <c r="O77" s="319">
        <f t="shared" si="11"/>
        <v>0</v>
      </c>
      <c r="P77" s="319">
        <f t="shared" si="11"/>
        <v>0</v>
      </c>
      <c r="Q77" s="319">
        <f t="shared" si="11"/>
        <v>0</v>
      </c>
      <c r="R77" s="319">
        <f t="shared" si="11"/>
        <v>0</v>
      </c>
      <c r="S77" s="319">
        <f t="shared" si="11"/>
        <v>0</v>
      </c>
      <c r="T77" s="319">
        <f t="shared" si="11"/>
        <v>0</v>
      </c>
      <c r="U77" s="319">
        <f t="shared" si="11"/>
        <v>0</v>
      </c>
      <c r="V77" s="319">
        <f t="shared" si="11"/>
        <v>0</v>
      </c>
      <c r="W77" s="319">
        <f t="shared" si="11"/>
        <v>0</v>
      </c>
      <c r="X77" s="319">
        <f t="shared" si="11"/>
        <v>0</v>
      </c>
      <c r="Y77" s="319">
        <f t="shared" si="11"/>
        <v>0</v>
      </c>
      <c r="Z77" s="319">
        <f t="shared" si="11"/>
        <v>0</v>
      </c>
      <c r="AA77" s="319">
        <f t="shared" si="11"/>
        <v>0</v>
      </c>
      <c r="AB77" s="319">
        <f t="shared" si="11"/>
        <v>0</v>
      </c>
      <c r="AC77" s="319">
        <f t="shared" si="11"/>
        <v>0</v>
      </c>
      <c r="AD77" s="319">
        <f t="shared" si="11"/>
        <v>0</v>
      </c>
      <c r="AE77" s="319">
        <f t="shared" si="11"/>
        <v>0</v>
      </c>
    </row>
    <row r="78" spans="1:31" x14ac:dyDescent="0.2">
      <c r="A78" s="314" t="s">
        <v>253</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row>
    <row r="79" spans="1:31" x14ac:dyDescent="0.2">
      <c r="A79" s="314" t="s">
        <v>252</v>
      </c>
      <c r="B79" s="319">
        <f>IF(((SUM($B$58:B58)+SUM($B$60:B64))+SUM($B$81:B81))&lt;0,((SUM($B$58:B58)+SUM($B$60:B64))+SUM($B$81:B81))*0.2-SUM($A$79:A79),IF(SUM(A$79:$A79)&lt;0,0-SUM(A$79:$A79),0))</f>
        <v>-1625966.8000000003</v>
      </c>
      <c r="C79" s="319">
        <f>IF(((SUM($B$58:C58)+SUM($B$60:C64))+SUM($B$81:C81))&lt;0,((SUM($B$58:C58)+SUM($B$60:C64))+SUM($B$81:C81))*0.2-SUM($A$79:B79),IF(SUM($A$79:B79)&lt;0,0-SUM($A$79:B79),0))</f>
        <v>-1037473.1511160489</v>
      </c>
      <c r="D79" s="319">
        <f>IF(((SUM($B$58:D58)+SUM($B$60:D64))+SUM($B$81:D81))&lt;0,((SUM($B$58:D58)+SUM($B$60:D64))+SUM($B$81:D81))*0.2-SUM($A$79:C79),IF(SUM($A$79:C79)&lt;0,0-SUM($A$79:C79),0))</f>
        <v>-301900.56888395082</v>
      </c>
      <c r="E79" s="319">
        <f>IF(((SUM($B$58:E58)+SUM($B$60:E64))+SUM($B$81:E81))&lt;0,((SUM($B$58:E58)+SUM($B$60:E64))+SUM($B$81:E81))*0.2-SUM($A$79:D79),IF(SUM($A$79:D79)&lt;0,0-SUM($A$79:D79),0))</f>
        <v>0</v>
      </c>
      <c r="F79" s="319">
        <f>IF(((SUM($B$58:F58)+SUM($B$60:F64))+SUM($B$81:F81))&lt;0,((SUM($B$58:F58)+SUM($B$60:F64))+SUM($B$81:F81))*0.2-SUM($A$79:E79),IF(SUM($A$79:E79)&lt;0,0-SUM($A$79:E79),0))</f>
        <v>0</v>
      </c>
      <c r="G79" s="319">
        <f>IF(((SUM($B$58:G58)+SUM($B$60:G64))+SUM($B$81:G81))&lt;0,((SUM($B$58:G58)+SUM($B$60:G64))+SUM($B$81:G81))*0.2-SUM($A$79:F79),IF(SUM($A$79:F79)&lt;0,0-SUM($A$79:F79),0))</f>
        <v>0</v>
      </c>
      <c r="H79" s="319">
        <f>IF(((SUM($B$58:H58)+SUM($B$60:H64))+SUM($B$81:H81))&lt;0,((SUM($B$58:H58)+SUM($B$60:H64))+SUM($B$81:H81))*0.2-SUM($A$79:G79),IF(SUM($A$79:G79)&lt;0,0-SUM($A$79:G79),0))</f>
        <v>-2472</v>
      </c>
      <c r="I79" s="319">
        <f>IF(((SUM($B$58:I58)+SUM($B$60:I64))+SUM($B$81:I81))&lt;0,((SUM($B$58:I58)+SUM($B$60:I64))+SUM($B$81:I81))*0.2-SUM($A$79:H79),IF(SUM($A$79:H79)&lt;0,0-SUM($A$79:H79),0))</f>
        <v>0</v>
      </c>
      <c r="J79" s="319">
        <f>IF(((SUM($B$58:J58)+SUM($B$60:J64))+SUM($B$81:J81))&lt;0,((SUM($B$58:J58)+SUM($B$60:J64))+SUM($B$81:J81))*0.2-SUM($A$79:I79),IF(SUM($A$79:I79)&lt;0,0-SUM($A$79:I79),0))</f>
        <v>74160</v>
      </c>
      <c r="K79" s="319">
        <f>IF(((SUM($B$58:K58)+SUM($B$60:K64))+SUM($B$81:K81))&lt;0,((SUM($B$58:K58)+SUM($B$60:K64))+SUM($B$81:K81))*0.2-SUM($A$79:J79),IF(SUM($A$79:J79)&lt;0,0-SUM($A$79:J79),0))</f>
        <v>0</v>
      </c>
      <c r="L79" s="319">
        <f>IF(((SUM($B$58:L58)+SUM($B$60:L64))+SUM($B$81:L81))&lt;0,((SUM($B$58:L58)+SUM($B$60:L64))+SUM($B$81:L81))*0.2-SUM($A$79:K79),IF(SUM($A$79:K79)&lt;0,0-SUM($A$79:K79),0))</f>
        <v>0</v>
      </c>
      <c r="M79" s="319">
        <f>IF(((SUM($B$58:M58)+SUM($B$60:M64))+SUM($B$81:M81))&lt;0,((SUM($B$58:M58)+SUM($B$60:M64))+SUM($B$81:M81))*0.2-SUM($A$79:L79),IF(SUM($A$79:L79)&lt;0,0-SUM($A$79:L79),0))</f>
        <v>0</v>
      </c>
      <c r="N79" s="319">
        <f>IF(((SUM($B$58:N58)+SUM($B$60:N64))+SUM($B$81:N81))&lt;0,((SUM($B$58:N58)+SUM($B$60:N64))+SUM($B$81:N81))*0.2-SUM($A$79:M79),IF(SUM($A$79:M79)&lt;0,0-SUM($A$79:M79),0))</f>
        <v>-2472</v>
      </c>
      <c r="O79" s="319">
        <f>IF(((SUM($B$58:O58)+SUM($B$60:O64))+SUM($B$81:O81))&lt;0,((SUM($B$58:O58)+SUM($B$60:O64))+SUM($B$81:O81))*0.2-SUM($A$79:N79),IF(SUM($A$79:N79)&lt;0,0-SUM($A$79:N79),0))</f>
        <v>0</v>
      </c>
      <c r="P79" s="319">
        <f>IF(((SUM($B$58:P58)+SUM($B$60:P64))+SUM($B$81:P81))&lt;0,((SUM($B$58:P58)+SUM($B$60:P64))+SUM($B$81:P81))*0.2-SUM($A$79:O79),IF(SUM($A$79:O79)&lt;0,0-SUM($A$79:O79),0))</f>
        <v>0</v>
      </c>
      <c r="Q79" s="319">
        <f>IF(((SUM($B$58:Q58)+SUM($B$60:Q64))+SUM($B$81:Q81))&lt;0,((SUM($B$58:Q58)+SUM($B$60:Q64))+SUM($B$81:Q81))*0.2-SUM($A$79:P79),IF(SUM($A$79:P79)&lt;0,0-SUM($A$79:P79),0))</f>
        <v>0</v>
      </c>
      <c r="R79" s="319">
        <f>IF(((SUM($B$58:R58)+SUM($B$60:R64))+SUM($B$81:R81))&lt;0,((SUM($B$58:R58)+SUM($B$60:R64))+SUM($B$81:R81))*0.2-SUM($A$79:Q79),IF(SUM($A$79:Q79)&lt;0,0-SUM($A$79:Q79),0))</f>
        <v>74160</v>
      </c>
      <c r="S79" s="319">
        <f>IF(((SUM($B$58:S58)+SUM($B$60:S64))+SUM($B$81:S81))&lt;0,((SUM($B$58:S58)+SUM($B$60:S64))+SUM($B$81:S81))*0.2-SUM($A$79:R79),IF(SUM($A$79:R79)&lt;0,0-SUM($A$79:R79),0))</f>
        <v>0</v>
      </c>
      <c r="T79" s="319">
        <f>IF(((SUM($B$58:T58)+SUM($B$60:T64))+SUM($B$81:T81))&lt;0,((SUM($B$58:T58)+SUM($B$60:T64))+SUM($B$81:T81))*0.2-SUM($A$79:S79),IF(SUM($A$79:S79)&lt;0,0-SUM($A$79:S79),0))</f>
        <v>-2472</v>
      </c>
      <c r="U79" s="319">
        <f>IF(((SUM($B$58:U58)+SUM($B$60:U64))+SUM($B$81:U81))&lt;0,((SUM($B$58:U58)+SUM($B$60:U64))+SUM($B$81:U81))*0.2-SUM($A$79:T79),IF(SUM($A$79:T79)&lt;0,0-SUM($A$79:T79),0))</f>
        <v>0</v>
      </c>
      <c r="V79" s="319">
        <f>IF(((SUM($B$58:V58)+SUM($B$60:V64))+SUM($B$81:V81))&lt;0,((SUM($B$58:V58)+SUM($B$60:V64))+SUM($B$81:V81))*0.2-SUM($A$79:U79),IF(SUM($A$79:U79)&lt;0,0-SUM($A$79:U79),0))</f>
        <v>0</v>
      </c>
      <c r="W79" s="319">
        <f>IF(((SUM($B$58:W58)+SUM($B$60:W64))+SUM($B$81:W81))&lt;0,((SUM($B$58:W58)+SUM($B$60:W64))+SUM($B$81:W81))*0.2-SUM($A$79:V79),IF(SUM($A$79:V79)&lt;0,0-SUM($A$79:V79),0))</f>
        <v>0</v>
      </c>
      <c r="X79" s="319">
        <f>IF(((SUM($B$58:X58)+SUM($B$60:X64))+SUM($B$81:X81))&lt;0,((SUM($B$58:X58)+SUM($B$60:X64))+SUM($B$81:X81))*0.2-SUM($A$79:W79),IF(SUM($A$79:W79)&lt;0,0-SUM($A$79:W79),0))</f>
        <v>0</v>
      </c>
      <c r="Y79" s="319">
        <f>IF(((SUM($B$58:Y58)+SUM($B$60:Y64))+SUM($B$81:Y81))&lt;0,((SUM($B$58:Y58)+SUM($B$60:Y64))+SUM($B$81:Y81))*0.2-SUM($A$79:X79),IF(SUM($A$79:X79)&lt;0,0-SUM($A$79:X79),0))</f>
        <v>0</v>
      </c>
      <c r="Z79" s="319">
        <f>IF(((SUM($B$58:Z58)+SUM($B$60:Z64))+SUM($B$81:Z81))&lt;0,((SUM($B$58:Z58)+SUM($B$60:Z64))+SUM($B$81:Z81))*0.2-SUM($A$79:Y79),IF(SUM($A$79:Y79)&lt;0,0-SUM($A$79:Y79),0))</f>
        <v>71688</v>
      </c>
      <c r="AA79" s="319">
        <f>IF(((SUM($B$58:AA58)+SUM($B$60:AA64))+SUM($B$81:AA81))&lt;0,((SUM($B$58:AA58)+SUM($B$60:AA64))+SUM($B$81:AA81))*0.2-SUM($A$79:Z79),IF(SUM($A$79:Z79)&lt;0,0-SUM($A$79:Z79),0))</f>
        <v>0</v>
      </c>
      <c r="AB79" s="319">
        <f>IF(((SUM($B$58:AB58)+SUM($B$60:AB64))+SUM($B$81:AB81))&lt;0,((SUM($B$58:AB58)+SUM($B$60:AB64))+SUM($B$81:AB81))*0.2-SUM($A$79:AA79),IF(SUM($A$79:AA79)&lt;0,0-SUM($A$79:AA79),0))</f>
        <v>0</v>
      </c>
      <c r="AC79" s="319">
        <f>IF(((SUM($B$58:AC58)+SUM($B$60:AC64))+SUM($B$81:AC81))&lt;0,((SUM($B$58:AC58)+SUM($B$60:AC64))+SUM($B$81:AC81))*0.2-SUM($A$79:AB79),IF(SUM($A$79:AB79)&lt;0,0-SUM($A$79:AB79),0))</f>
        <v>0</v>
      </c>
      <c r="AD79" s="319">
        <f>IF(((SUM($B$58:AD58)+SUM($B$60:AD64))+SUM($B$81:AD81))&lt;0,((SUM($B$58:AD58)+SUM($B$60:AD64))+SUM($B$81:AD81))*0.2-SUM($A$79:AC79),IF(SUM($A$79:AC79)&lt;0,0-SUM($A$79:AC79),0))</f>
        <v>0</v>
      </c>
      <c r="AE79" s="319">
        <f>IF(((SUM($B$58:AE58)+SUM($B$60:AE64))+SUM($B$81:AE81))&lt;0,((SUM($B$58:AE58)+SUM($B$60:AE64))+SUM($B$81:AE81))*0.2-SUM($A$79:AD79),IF(SUM($A$79:AD79)&lt;0,0-SUM($A$79:AD79),0))</f>
        <v>0</v>
      </c>
    </row>
    <row r="80" spans="1:31" x14ac:dyDescent="0.2">
      <c r="A80" s="314" t="s">
        <v>251</v>
      </c>
      <c r="B80" s="319">
        <f>-B58*($B$38)</f>
        <v>0</v>
      </c>
      <c r="C80" s="319">
        <f t="shared" ref="C80:AE80" si="12">-C58*($B$38)</f>
        <v>0</v>
      </c>
      <c r="D80" s="319">
        <f t="shared" si="12"/>
        <v>0</v>
      </c>
      <c r="E80" s="319">
        <f t="shared" si="12"/>
        <v>0</v>
      </c>
      <c r="F80" s="319">
        <f t="shared" si="12"/>
        <v>0</v>
      </c>
      <c r="G80" s="319">
        <f t="shared" si="12"/>
        <v>0</v>
      </c>
      <c r="H80" s="319">
        <f t="shared" si="12"/>
        <v>0</v>
      </c>
      <c r="I80" s="319">
        <f t="shared" si="12"/>
        <v>0</v>
      </c>
      <c r="J80" s="319">
        <f t="shared" si="12"/>
        <v>0</v>
      </c>
      <c r="K80" s="319">
        <f t="shared" si="12"/>
        <v>0</v>
      </c>
      <c r="L80" s="319">
        <f t="shared" si="12"/>
        <v>0</v>
      </c>
      <c r="M80" s="319">
        <f t="shared" si="12"/>
        <v>0</v>
      </c>
      <c r="N80" s="319">
        <f t="shared" si="12"/>
        <v>0</v>
      </c>
      <c r="O80" s="319">
        <f t="shared" si="12"/>
        <v>0</v>
      </c>
      <c r="P80" s="319">
        <f t="shared" si="12"/>
        <v>0</v>
      </c>
      <c r="Q80" s="319">
        <f t="shared" si="12"/>
        <v>0</v>
      </c>
      <c r="R80" s="319">
        <f t="shared" si="12"/>
        <v>0</v>
      </c>
      <c r="S80" s="319">
        <f t="shared" si="12"/>
        <v>0</v>
      </c>
      <c r="T80" s="319">
        <f t="shared" si="12"/>
        <v>0</v>
      </c>
      <c r="U80" s="319">
        <f t="shared" si="12"/>
        <v>0</v>
      </c>
      <c r="V80" s="319">
        <f t="shared" si="12"/>
        <v>0</v>
      </c>
      <c r="W80" s="319">
        <f t="shared" si="12"/>
        <v>0</v>
      </c>
      <c r="X80" s="319">
        <f t="shared" si="12"/>
        <v>0</v>
      </c>
      <c r="Y80" s="319">
        <f t="shared" si="12"/>
        <v>0</v>
      </c>
      <c r="Z80" s="319">
        <f t="shared" si="12"/>
        <v>0</v>
      </c>
      <c r="AA80" s="319">
        <f t="shared" si="12"/>
        <v>0</v>
      </c>
      <c r="AB80" s="319">
        <f t="shared" si="12"/>
        <v>0</v>
      </c>
      <c r="AC80" s="319">
        <f t="shared" si="12"/>
        <v>0</v>
      </c>
      <c r="AD80" s="319">
        <f t="shared" si="12"/>
        <v>0</v>
      </c>
      <c r="AE80" s="319">
        <f t="shared" si="12"/>
        <v>0</v>
      </c>
    </row>
    <row r="81" spans="1:31" x14ac:dyDescent="0.2">
      <c r="A81" s="314" t="s">
        <v>433</v>
      </c>
      <c r="B81" s="324">
        <f>-'6.2. Паспорт фин осв ввод'!N24*1000000</f>
        <v>-8129834.0000000009</v>
      </c>
      <c r="C81" s="324">
        <f>-'6.2. Паспорт фин осв ввод'!P24*1000000</f>
        <v>-5192663.155580244</v>
      </c>
      <c r="D81" s="316">
        <f>-'6.2. Паспорт фин осв ввод'!V24*1000000</f>
        <v>-1509502.8444197541</v>
      </c>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row>
    <row r="82" spans="1:31" x14ac:dyDescent="0.2">
      <c r="A82" s="314" t="s">
        <v>250</v>
      </c>
      <c r="B82" s="316">
        <v>0</v>
      </c>
      <c r="C82" s="316">
        <v>0</v>
      </c>
      <c r="D82" s="316">
        <v>0</v>
      </c>
      <c r="E82" s="316">
        <v>0</v>
      </c>
      <c r="F82" s="316">
        <v>0</v>
      </c>
      <c r="G82" s="316">
        <v>0</v>
      </c>
      <c r="H82" s="316">
        <v>0</v>
      </c>
      <c r="I82" s="316">
        <v>0</v>
      </c>
      <c r="J82" s="316">
        <v>0</v>
      </c>
      <c r="K82" s="316">
        <v>0</v>
      </c>
      <c r="L82" s="316">
        <v>0</v>
      </c>
      <c r="M82" s="316">
        <v>0</v>
      </c>
      <c r="N82" s="316">
        <v>0</v>
      </c>
      <c r="O82" s="316">
        <v>0</v>
      </c>
      <c r="P82" s="316">
        <v>0</v>
      </c>
      <c r="Q82" s="316">
        <v>0</v>
      </c>
      <c r="R82" s="316">
        <v>0</v>
      </c>
      <c r="S82" s="316">
        <v>0</v>
      </c>
      <c r="T82" s="316">
        <v>0</v>
      </c>
      <c r="U82" s="316">
        <v>0</v>
      </c>
      <c r="V82" s="316">
        <v>0</v>
      </c>
      <c r="W82" s="316">
        <v>0</v>
      </c>
      <c r="X82" s="316">
        <v>0</v>
      </c>
      <c r="Y82" s="316">
        <v>0</v>
      </c>
      <c r="Z82" s="316">
        <v>0</v>
      </c>
      <c r="AA82" s="316">
        <v>0</v>
      </c>
      <c r="AB82" s="316">
        <v>0</v>
      </c>
      <c r="AC82" s="316">
        <v>0</v>
      </c>
      <c r="AD82" s="316">
        <v>0</v>
      </c>
      <c r="AE82" s="316">
        <v>0</v>
      </c>
    </row>
    <row r="83" spans="1:31" x14ac:dyDescent="0.2">
      <c r="A83" s="317" t="s">
        <v>249</v>
      </c>
      <c r="B83" s="318">
        <f t="shared" ref="B83:AE83" si="13">SUM(B75:B82)</f>
        <v>-9755800.8000000007</v>
      </c>
      <c r="C83" s="318">
        <f t="shared" si="13"/>
        <v>-6487694.9066962935</v>
      </c>
      <c r="D83" s="318">
        <f t="shared" si="13"/>
        <v>-2065195.4133037049</v>
      </c>
      <c r="E83" s="318">
        <f t="shared" si="13"/>
        <v>-244728</v>
      </c>
      <c r="F83" s="318">
        <f t="shared" si="13"/>
        <v>-235664</v>
      </c>
      <c r="G83" s="318">
        <f t="shared" si="13"/>
        <v>-226600</v>
      </c>
      <c r="H83" s="318">
        <f t="shared" si="13"/>
        <v>-232368</v>
      </c>
      <c r="I83" s="318">
        <f t="shared" si="13"/>
        <v>-208472</v>
      </c>
      <c r="J83" s="318">
        <f t="shared" si="13"/>
        <v>245552</v>
      </c>
      <c r="K83" s="318">
        <f t="shared" si="13"/>
        <v>-190344</v>
      </c>
      <c r="L83" s="318">
        <f t="shared" si="13"/>
        <v>-181280</v>
      </c>
      <c r="M83" s="318">
        <f t="shared" si="13"/>
        <v>-371624</v>
      </c>
      <c r="N83" s="318">
        <f t="shared" si="13"/>
        <v>-177984</v>
      </c>
      <c r="O83" s="318">
        <f t="shared" si="13"/>
        <v>-154088</v>
      </c>
      <c r="P83" s="318">
        <f t="shared" si="13"/>
        <v>-145024</v>
      </c>
      <c r="Q83" s="318">
        <f t="shared" si="13"/>
        <v>-135960</v>
      </c>
      <c r="R83" s="318">
        <f t="shared" si="13"/>
        <v>318064</v>
      </c>
      <c r="S83" s="318">
        <f t="shared" si="13"/>
        <v>-117832</v>
      </c>
      <c r="T83" s="318">
        <f t="shared" si="13"/>
        <v>-123600</v>
      </c>
      <c r="U83" s="318">
        <f t="shared" si="13"/>
        <v>-99704</v>
      </c>
      <c r="V83" s="318">
        <f t="shared" si="13"/>
        <v>-90640</v>
      </c>
      <c r="W83" s="318">
        <f t="shared" si="13"/>
        <v>-81576</v>
      </c>
      <c r="X83" s="318">
        <f t="shared" si="13"/>
        <v>-72512</v>
      </c>
      <c r="Y83" s="318">
        <f t="shared" si="13"/>
        <v>-63448</v>
      </c>
      <c r="Z83" s="318">
        <f t="shared" si="13"/>
        <v>375744</v>
      </c>
      <c r="AA83" s="318">
        <f t="shared" si="13"/>
        <v>-45320</v>
      </c>
      <c r="AB83" s="318">
        <f t="shared" si="13"/>
        <v>-36256</v>
      </c>
      <c r="AC83" s="318">
        <f t="shared" si="13"/>
        <v>-27192</v>
      </c>
      <c r="AD83" s="318">
        <f t="shared" si="13"/>
        <v>-18128</v>
      </c>
      <c r="AE83" s="318">
        <f t="shared" si="13"/>
        <v>-9064</v>
      </c>
    </row>
    <row r="84" spans="1:31" x14ac:dyDescent="0.2">
      <c r="A84" s="317" t="s">
        <v>603</v>
      </c>
      <c r="B84" s="318">
        <f>SUM($B$83:B83)</f>
        <v>-9755800.8000000007</v>
      </c>
      <c r="C84" s="318">
        <f>SUM($B$83:C83)</f>
        <v>-16243495.706696294</v>
      </c>
      <c r="D84" s="318">
        <f>SUM($B$83:D83)</f>
        <v>-18308691.119999997</v>
      </c>
      <c r="E84" s="318">
        <f>SUM($B$83:E83)</f>
        <v>-18553419.119999997</v>
      </c>
      <c r="F84" s="318">
        <f>SUM($B$83:F83)</f>
        <v>-18789083.119999997</v>
      </c>
      <c r="G84" s="318">
        <f>SUM($B$83:G83)</f>
        <v>-19015683.119999997</v>
      </c>
      <c r="H84" s="318">
        <f>SUM($B$83:H83)</f>
        <v>-19248051.119999997</v>
      </c>
      <c r="I84" s="318">
        <f>SUM($B$83:I83)</f>
        <v>-19456523.119999997</v>
      </c>
      <c r="J84" s="318">
        <f>SUM($B$83:J83)</f>
        <v>-19210971.119999997</v>
      </c>
      <c r="K84" s="318">
        <f>SUM($B$83:K83)</f>
        <v>-19401315.119999997</v>
      </c>
      <c r="L84" s="318">
        <f>SUM($B$83:L83)</f>
        <v>-19582595.119999997</v>
      </c>
      <c r="M84" s="318">
        <f>SUM($B$83:M83)</f>
        <v>-19954219.119999997</v>
      </c>
      <c r="N84" s="318">
        <f>SUM($B$83:N83)</f>
        <v>-20132203.119999997</v>
      </c>
      <c r="O84" s="318">
        <f>SUM($B$83:O83)</f>
        <v>-20286291.119999997</v>
      </c>
      <c r="P84" s="318">
        <f>SUM($B$83:P83)</f>
        <v>-20431315.119999997</v>
      </c>
      <c r="Q84" s="318">
        <f>SUM($B$83:Q83)</f>
        <v>-20567275.119999997</v>
      </c>
      <c r="R84" s="318">
        <f>SUM($B$83:R83)</f>
        <v>-20249211.119999997</v>
      </c>
      <c r="S84" s="318">
        <f>SUM($B$83:S83)</f>
        <v>-20367043.119999997</v>
      </c>
      <c r="T84" s="318">
        <f>SUM($B$83:T83)</f>
        <v>-20490643.119999997</v>
      </c>
      <c r="U84" s="318">
        <f>SUM($B$83:U83)</f>
        <v>-20590347.119999997</v>
      </c>
      <c r="V84" s="318">
        <f>SUM($B$83:V83)</f>
        <v>-20680987.119999997</v>
      </c>
      <c r="W84" s="318">
        <f>SUM($B$83:W83)</f>
        <v>-20762563.119999997</v>
      </c>
      <c r="X84" s="318">
        <f>SUM($B$83:X83)</f>
        <v>-20835075.119999997</v>
      </c>
      <c r="Y84" s="318">
        <f>SUM($B$83:Y83)</f>
        <v>-20898523.119999997</v>
      </c>
      <c r="Z84" s="318">
        <f>SUM($B$83:Z83)</f>
        <v>-20522779.119999997</v>
      </c>
      <c r="AA84" s="318">
        <f>SUM($B$83:AA83)</f>
        <v>-20568099.119999997</v>
      </c>
      <c r="AB84" s="318">
        <f>SUM($B$83:AB83)</f>
        <v>-20604355.119999997</v>
      </c>
      <c r="AC84" s="318">
        <f>SUM($B$83:AC83)</f>
        <v>-20631547.119999997</v>
      </c>
      <c r="AD84" s="318">
        <f>SUM($B$83:AD83)</f>
        <v>-20649675.119999997</v>
      </c>
      <c r="AE84" s="318">
        <f>SUM($B$83:AE83)</f>
        <v>-20658739.119999997</v>
      </c>
    </row>
    <row r="85" spans="1:31" x14ac:dyDescent="0.2">
      <c r="A85" s="325" t="s">
        <v>434</v>
      </c>
      <c r="B85" s="326">
        <f t="shared" ref="B85:AE85" si="14">1/POWER((1+$B$43),B73)</f>
        <v>0.95402649883562884</v>
      </c>
      <c r="C85" s="326">
        <f t="shared" si="14"/>
        <v>0.86832301705254278</v>
      </c>
      <c r="D85" s="326">
        <f t="shared" si="14"/>
        <v>0.79031857381682236</v>
      </c>
      <c r="E85" s="326">
        <f t="shared" si="14"/>
        <v>0.71932153801476506</v>
      </c>
      <c r="F85" s="326">
        <f t="shared" si="14"/>
        <v>0.65470241013449082</v>
      </c>
      <c r="G85" s="326">
        <f t="shared" si="14"/>
        <v>0.59588824077044755</v>
      </c>
      <c r="H85" s="326">
        <f t="shared" si="14"/>
        <v>0.54235755053285484</v>
      </c>
      <c r="I85" s="326">
        <f t="shared" si="14"/>
        <v>0.49363570631915432</v>
      </c>
      <c r="J85" s="326">
        <f t="shared" si="14"/>
        <v>0.44929071295090039</v>
      </c>
      <c r="K85" s="326">
        <f t="shared" si="14"/>
        <v>0.40892938286238317</v>
      </c>
      <c r="L85" s="326">
        <f t="shared" si="14"/>
        <v>0.37219384987929666</v>
      </c>
      <c r="M85" s="326">
        <f t="shared" si="14"/>
        <v>0.3387583961766602</v>
      </c>
      <c r="N85" s="326">
        <f t="shared" si="14"/>
        <v>0.30832656428202437</v>
      </c>
      <c r="O85" s="326">
        <f t="shared" si="14"/>
        <v>0.28062852851736092</v>
      </c>
      <c r="P85" s="326">
        <f t="shared" si="14"/>
        <v>0.25541870257336935</v>
      </c>
      <c r="Q85" s="326">
        <f t="shared" si="14"/>
        <v>0.23247356200361272</v>
      </c>
      <c r="R85" s="326">
        <f t="shared" si="14"/>
        <v>0.21158966233149432</v>
      </c>
      <c r="S85" s="326">
        <f t="shared" si="14"/>
        <v>0.19258183519750091</v>
      </c>
      <c r="T85" s="326">
        <f t="shared" si="14"/>
        <v>0.17528154655274497</v>
      </c>
      <c r="U85" s="326">
        <f t="shared" si="14"/>
        <v>0.15953540234162647</v>
      </c>
      <c r="V85" s="326">
        <f t="shared" si="14"/>
        <v>0.14520378842416171</v>
      </c>
      <c r="W85" s="326">
        <f t="shared" si="14"/>
        <v>0.13215963267876735</v>
      </c>
      <c r="X85" s="326">
        <f t="shared" si="14"/>
        <v>0.12028727830960895</v>
      </c>
      <c r="Y85" s="326">
        <f t="shared" si="14"/>
        <v>0.10948145836862559</v>
      </c>
      <c r="Z85" s="326">
        <f t="shared" si="14"/>
        <v>9.9646362399768443E-2</v>
      </c>
      <c r="AA85" s="326">
        <f t="shared" si="14"/>
        <v>9.0694786929797461E-2</v>
      </c>
      <c r="AB85" s="326">
        <f t="shared" si="14"/>
        <v>8.2547362273411681E-2</v>
      </c>
      <c r="AC85" s="326">
        <f t="shared" si="14"/>
        <v>7.5131848797134526E-2</v>
      </c>
      <c r="AD85" s="326">
        <f t="shared" si="14"/>
        <v>6.8382496402234039E-2</v>
      </c>
      <c r="AE85" s="326">
        <f t="shared" si="14"/>
        <v>6.2239461547496142E-2</v>
      </c>
    </row>
    <row r="86" spans="1:31" x14ac:dyDescent="0.2">
      <c r="A86" s="323" t="s">
        <v>604</v>
      </c>
      <c r="B86" s="318">
        <f t="shared" ref="B86:AE86" si="15">B83*B85</f>
        <v>-9307292.4805618282</v>
      </c>
      <c r="C86" s="318">
        <f t="shared" si="15"/>
        <v>-5633414.8150989404</v>
      </c>
      <c r="D86" s="318">
        <f t="shared" si="15"/>
        <v>-1632162.293695227</v>
      </c>
      <c r="E86" s="318">
        <f t="shared" si="15"/>
        <v>-176038.12135527743</v>
      </c>
      <c r="F86" s="318">
        <f t="shared" si="15"/>
        <v>-154289.78878193465</v>
      </c>
      <c r="G86" s="318">
        <f t="shared" si="15"/>
        <v>-135028.27535858343</v>
      </c>
      <c r="H86" s="318">
        <f t="shared" si="15"/>
        <v>-126026.53930221841</v>
      </c>
      <c r="I86" s="318">
        <f t="shared" si="15"/>
        <v>-102909.22296776673</v>
      </c>
      <c r="J86" s="318">
        <f t="shared" si="15"/>
        <v>110324.23314651949</v>
      </c>
      <c r="K86" s="318">
        <f t="shared" si="15"/>
        <v>-77837.254451557455</v>
      </c>
      <c r="L86" s="318">
        <f t="shared" si="15"/>
        <v>-67471.301106118903</v>
      </c>
      <c r="M86" s="318">
        <f t="shared" si="15"/>
        <v>-125890.75022075517</v>
      </c>
      <c r="N86" s="318">
        <f t="shared" si="15"/>
        <v>-54877.195217171829</v>
      </c>
      <c r="O86" s="318">
        <f t="shared" si="15"/>
        <v>-43241.488702183109</v>
      </c>
      <c r="P86" s="318">
        <f t="shared" si="15"/>
        <v>-37041.84192200032</v>
      </c>
      <c r="Q86" s="318">
        <f t="shared" si="15"/>
        <v>-31607.105490011185</v>
      </c>
      <c r="R86" s="318">
        <f t="shared" si="15"/>
        <v>67299.054359804402</v>
      </c>
      <c r="S86" s="318">
        <f t="shared" si="15"/>
        <v>-22692.302804991927</v>
      </c>
      <c r="T86" s="318">
        <f t="shared" si="15"/>
        <v>-21664.799153919277</v>
      </c>
      <c r="U86" s="318">
        <f t="shared" si="15"/>
        <v>-15906.317755069525</v>
      </c>
      <c r="V86" s="318">
        <f t="shared" si="15"/>
        <v>-13161.271382766017</v>
      </c>
      <c r="W86" s="318">
        <f t="shared" si="15"/>
        <v>-10781.054195403125</v>
      </c>
      <c r="X86" s="318">
        <f t="shared" si="15"/>
        <v>-8722.2711247863645</v>
      </c>
      <c r="Y86" s="318">
        <f t="shared" si="15"/>
        <v>-6946.379570572557</v>
      </c>
      <c r="Z86" s="318">
        <f t="shared" si="15"/>
        <v>37441.522793538592</v>
      </c>
      <c r="AA86" s="318">
        <f t="shared" si="15"/>
        <v>-4110.2877436584213</v>
      </c>
      <c r="AB86" s="318">
        <f t="shared" si="15"/>
        <v>-2992.837166584814</v>
      </c>
      <c r="AC86" s="318">
        <f t="shared" si="15"/>
        <v>-2042.9852324916819</v>
      </c>
      <c r="AD86" s="318">
        <f t="shared" si="15"/>
        <v>-1239.6378947796986</v>
      </c>
      <c r="AE86" s="318">
        <f t="shared" si="15"/>
        <v>-564.13847946650503</v>
      </c>
    </row>
    <row r="87" spans="1:31" x14ac:dyDescent="0.2">
      <c r="A87" s="323" t="s">
        <v>605</v>
      </c>
      <c r="B87" s="318">
        <f>SUM($B$86:B86)</f>
        <v>-9307292.4805618282</v>
      </c>
      <c r="C87" s="318">
        <f>SUM($B$86:C86)</f>
        <v>-14940707.295660768</v>
      </c>
      <c r="D87" s="318">
        <f>SUM($B$86:D86)</f>
        <v>-16572869.589355994</v>
      </c>
      <c r="E87" s="318">
        <f>SUM($B$86:E86)</f>
        <v>-16748907.710711271</v>
      </c>
      <c r="F87" s="318">
        <f>SUM($B$86:F86)</f>
        <v>-16903197.499493204</v>
      </c>
      <c r="G87" s="318">
        <f>SUM($B$86:G86)</f>
        <v>-17038225.774851788</v>
      </c>
      <c r="H87" s="318">
        <f>SUM($B$86:H86)</f>
        <v>-17164252.314154007</v>
      </c>
      <c r="I87" s="318">
        <f>SUM($B$86:I86)</f>
        <v>-17267161.537121773</v>
      </c>
      <c r="J87" s="318">
        <f>SUM($B$86:J86)</f>
        <v>-17156837.303975254</v>
      </c>
      <c r="K87" s="318">
        <f>SUM($B$86:K86)</f>
        <v>-17234674.558426812</v>
      </c>
      <c r="L87" s="318">
        <f>SUM($B$86:L86)</f>
        <v>-17302145.85953293</v>
      </c>
      <c r="M87" s="318">
        <f>SUM($B$86:M86)</f>
        <v>-17428036.609753687</v>
      </c>
      <c r="N87" s="318">
        <f>SUM($B$86:N86)</f>
        <v>-17482913.80497086</v>
      </c>
      <c r="O87" s="318">
        <f>SUM($B$86:O86)</f>
        <v>-17526155.293673042</v>
      </c>
      <c r="P87" s="318">
        <f>SUM($B$86:P86)</f>
        <v>-17563197.135595042</v>
      </c>
      <c r="Q87" s="318">
        <f>SUM($B$86:Q86)</f>
        <v>-17594804.241085052</v>
      </c>
      <c r="R87" s="318">
        <f>SUM($B$86:R86)</f>
        <v>-17527505.186725248</v>
      </c>
      <c r="S87" s="318">
        <f>SUM($B$86:S86)</f>
        <v>-17550197.489530239</v>
      </c>
      <c r="T87" s="318">
        <f>SUM($B$86:T86)</f>
        <v>-17571862.28868416</v>
      </c>
      <c r="U87" s="318">
        <f>SUM($B$86:U86)</f>
        <v>-17587768.606439229</v>
      </c>
      <c r="V87" s="318">
        <f>SUM($B$86:V86)</f>
        <v>-17600929.877821997</v>
      </c>
      <c r="W87" s="318">
        <f>SUM($B$86:W86)</f>
        <v>-17611710.932017401</v>
      </c>
      <c r="X87" s="318">
        <f>SUM($B$86:X86)</f>
        <v>-17620433.203142188</v>
      </c>
      <c r="Y87" s="318">
        <f>SUM($B$86:Y86)</f>
        <v>-17627379.582712762</v>
      </c>
      <c r="Z87" s="318">
        <f>SUM($B$86:Z86)</f>
        <v>-17589938.059919223</v>
      </c>
      <c r="AA87" s="318">
        <f>SUM($B$86:AA86)</f>
        <v>-17594048.347662881</v>
      </c>
      <c r="AB87" s="318">
        <f>SUM($B$86:AB86)</f>
        <v>-17597041.184829466</v>
      </c>
      <c r="AC87" s="318">
        <f>SUM($B$86:AC86)</f>
        <v>-17599084.170061957</v>
      </c>
      <c r="AD87" s="318">
        <f>SUM($B$86:AD86)</f>
        <v>-17600323.807956737</v>
      </c>
      <c r="AE87" s="318">
        <f>SUM($B$86:AE86)</f>
        <v>-17600887.946436204</v>
      </c>
    </row>
    <row r="88" spans="1:31" x14ac:dyDescent="0.2">
      <c r="A88" s="323" t="s">
        <v>606</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row>
    <row r="89" spans="1:31" x14ac:dyDescent="0.2">
      <c r="A89" s="323" t="s">
        <v>607</v>
      </c>
      <c r="B89" s="328">
        <f t="shared" ref="B89:AE89" si="16">IF(AND(B84&gt;0,A84&lt;0),(B74-(B84/(B84-A84))),0)</f>
        <v>0</v>
      </c>
      <c r="C89" s="328">
        <f t="shared" si="16"/>
        <v>0</v>
      </c>
      <c r="D89" s="328">
        <f t="shared" si="16"/>
        <v>0</v>
      </c>
      <c r="E89" s="328">
        <f t="shared" si="16"/>
        <v>0</v>
      </c>
      <c r="F89" s="328">
        <f t="shared" si="16"/>
        <v>0</v>
      </c>
      <c r="G89" s="328">
        <f t="shared" si="16"/>
        <v>0</v>
      </c>
      <c r="H89" s="328">
        <f t="shared" si="16"/>
        <v>0</v>
      </c>
      <c r="I89" s="328">
        <f t="shared" si="16"/>
        <v>0</v>
      </c>
      <c r="J89" s="328">
        <f t="shared" si="16"/>
        <v>0</v>
      </c>
      <c r="K89" s="328">
        <f t="shared" si="16"/>
        <v>0</v>
      </c>
      <c r="L89" s="328">
        <f t="shared" si="16"/>
        <v>0</v>
      </c>
      <c r="M89" s="328">
        <f t="shared" si="16"/>
        <v>0</v>
      </c>
      <c r="N89" s="328">
        <f t="shared" si="16"/>
        <v>0</v>
      </c>
      <c r="O89" s="328">
        <f t="shared" si="16"/>
        <v>0</v>
      </c>
      <c r="P89" s="328">
        <f t="shared" si="16"/>
        <v>0</v>
      </c>
      <c r="Q89" s="328">
        <f t="shared" si="16"/>
        <v>0</v>
      </c>
      <c r="R89" s="328">
        <f t="shared" si="16"/>
        <v>0</v>
      </c>
      <c r="S89" s="328">
        <f t="shared" si="16"/>
        <v>0</v>
      </c>
      <c r="T89" s="328">
        <f t="shared" si="16"/>
        <v>0</v>
      </c>
      <c r="U89" s="328">
        <f t="shared" si="16"/>
        <v>0</v>
      </c>
      <c r="V89" s="328">
        <f t="shared" si="16"/>
        <v>0</v>
      </c>
      <c r="W89" s="328">
        <f t="shared" si="16"/>
        <v>0</v>
      </c>
      <c r="X89" s="328">
        <f t="shared" si="16"/>
        <v>0</v>
      </c>
      <c r="Y89" s="328">
        <f t="shared" si="16"/>
        <v>0</v>
      </c>
      <c r="Z89" s="328">
        <f t="shared" si="16"/>
        <v>0</v>
      </c>
      <c r="AA89" s="328">
        <f t="shared" si="16"/>
        <v>0</v>
      </c>
      <c r="AB89" s="328">
        <f t="shared" si="16"/>
        <v>0</v>
      </c>
      <c r="AC89" s="328">
        <f t="shared" si="16"/>
        <v>0</v>
      </c>
      <c r="AD89" s="328">
        <f t="shared" si="16"/>
        <v>0</v>
      </c>
      <c r="AE89" s="328">
        <f t="shared" si="16"/>
        <v>0</v>
      </c>
    </row>
    <row r="90" spans="1:31" ht="13.5" thickBot="1" x14ac:dyDescent="0.25">
      <c r="A90" s="329" t="s">
        <v>608</v>
      </c>
      <c r="B90" s="330">
        <f t="shared" ref="B90:AE90" si="17">IF(AND(B87&gt;0,A87&lt;0),(B74-(B87/(B87-A87))),0)</f>
        <v>0</v>
      </c>
      <c r="C90" s="330">
        <f t="shared" si="17"/>
        <v>0</v>
      </c>
      <c r="D90" s="330">
        <f t="shared" si="17"/>
        <v>0</v>
      </c>
      <c r="E90" s="330">
        <f t="shared" si="17"/>
        <v>0</v>
      </c>
      <c r="F90" s="330">
        <f t="shared" si="17"/>
        <v>0</v>
      </c>
      <c r="G90" s="330">
        <f t="shared" si="17"/>
        <v>0</v>
      </c>
      <c r="H90" s="330">
        <f t="shared" si="17"/>
        <v>0</v>
      </c>
      <c r="I90" s="330">
        <f t="shared" si="17"/>
        <v>0</v>
      </c>
      <c r="J90" s="330">
        <f t="shared" si="17"/>
        <v>0</v>
      </c>
      <c r="K90" s="330">
        <f t="shared" si="17"/>
        <v>0</v>
      </c>
      <c r="L90" s="330">
        <f t="shared" si="17"/>
        <v>0</v>
      </c>
      <c r="M90" s="330">
        <f t="shared" si="17"/>
        <v>0</v>
      </c>
      <c r="N90" s="330">
        <f t="shared" si="17"/>
        <v>0</v>
      </c>
      <c r="O90" s="330">
        <f t="shared" si="17"/>
        <v>0</v>
      </c>
      <c r="P90" s="330">
        <f t="shared" si="17"/>
        <v>0</v>
      </c>
      <c r="Q90" s="330">
        <f t="shared" si="17"/>
        <v>0</v>
      </c>
      <c r="R90" s="330">
        <f t="shared" si="17"/>
        <v>0</v>
      </c>
      <c r="S90" s="330">
        <f t="shared" si="17"/>
        <v>0</v>
      </c>
      <c r="T90" s="330">
        <f t="shared" si="17"/>
        <v>0</v>
      </c>
      <c r="U90" s="330">
        <f t="shared" si="17"/>
        <v>0</v>
      </c>
      <c r="V90" s="330">
        <f t="shared" si="17"/>
        <v>0</v>
      </c>
      <c r="W90" s="330">
        <f t="shared" si="17"/>
        <v>0</v>
      </c>
      <c r="X90" s="330">
        <f t="shared" si="17"/>
        <v>0</v>
      </c>
      <c r="Y90" s="330">
        <f t="shared" si="17"/>
        <v>0</v>
      </c>
      <c r="Z90" s="330">
        <f t="shared" si="17"/>
        <v>0</v>
      </c>
      <c r="AA90" s="330">
        <f t="shared" si="17"/>
        <v>0</v>
      </c>
      <c r="AB90" s="330">
        <f t="shared" si="17"/>
        <v>0</v>
      </c>
      <c r="AC90" s="330">
        <f t="shared" si="17"/>
        <v>0</v>
      </c>
      <c r="AD90" s="330">
        <f t="shared" si="17"/>
        <v>0</v>
      </c>
      <c r="AE90" s="330">
        <f t="shared" si="17"/>
        <v>0</v>
      </c>
    </row>
    <row r="91" spans="1:31" x14ac:dyDescent="0.2">
      <c r="A91" s="331"/>
      <c r="B91" s="331">
        <v>2020</v>
      </c>
      <c r="C91" s="331">
        <f t="shared" ref="C91:R92" si="18">B91+1</f>
        <v>2021</v>
      </c>
      <c r="D91" s="331">
        <f t="shared" si="18"/>
        <v>2022</v>
      </c>
      <c r="E91" s="331">
        <f t="shared" si="18"/>
        <v>2023</v>
      </c>
      <c r="F91" s="331">
        <f t="shared" si="18"/>
        <v>2024</v>
      </c>
      <c r="G91" s="331">
        <f t="shared" si="18"/>
        <v>2025</v>
      </c>
      <c r="H91" s="331">
        <f t="shared" si="18"/>
        <v>2026</v>
      </c>
      <c r="I91" s="331">
        <f t="shared" si="18"/>
        <v>2027</v>
      </c>
      <c r="J91" s="331">
        <f t="shared" si="18"/>
        <v>2028</v>
      </c>
      <c r="K91" s="331">
        <f t="shared" si="18"/>
        <v>2029</v>
      </c>
      <c r="L91" s="331">
        <f t="shared" si="18"/>
        <v>2030</v>
      </c>
      <c r="M91" s="331">
        <f t="shared" si="18"/>
        <v>2031</v>
      </c>
      <c r="N91" s="331">
        <f t="shared" si="18"/>
        <v>2032</v>
      </c>
      <c r="O91" s="331">
        <f t="shared" si="18"/>
        <v>2033</v>
      </c>
      <c r="P91" s="331">
        <f t="shared" si="18"/>
        <v>2034</v>
      </c>
      <c r="Q91" s="331">
        <f t="shared" si="18"/>
        <v>2035</v>
      </c>
      <c r="R91" s="331">
        <f t="shared" si="18"/>
        <v>2036</v>
      </c>
      <c r="S91" s="331">
        <f t="shared" ref="S91:AE92" si="19">R91+1</f>
        <v>2037</v>
      </c>
      <c r="T91" s="331">
        <f t="shared" si="19"/>
        <v>2038</v>
      </c>
      <c r="U91" s="331">
        <f t="shared" si="19"/>
        <v>2039</v>
      </c>
      <c r="V91" s="331">
        <f t="shared" si="19"/>
        <v>2040</v>
      </c>
      <c r="W91" s="331">
        <f t="shared" si="19"/>
        <v>2041</v>
      </c>
      <c r="X91" s="331">
        <f t="shared" si="19"/>
        <v>2042</v>
      </c>
      <c r="Y91" s="331">
        <f t="shared" si="19"/>
        <v>2043</v>
      </c>
      <c r="Z91" s="331">
        <f t="shared" si="19"/>
        <v>2044</v>
      </c>
      <c r="AA91" s="331">
        <f t="shared" si="19"/>
        <v>2045</v>
      </c>
      <c r="AB91" s="331">
        <f t="shared" si="19"/>
        <v>2046</v>
      </c>
      <c r="AC91" s="331">
        <f t="shared" si="19"/>
        <v>2047</v>
      </c>
      <c r="AD91" s="331">
        <f t="shared" si="19"/>
        <v>2048</v>
      </c>
      <c r="AE91" s="331">
        <f t="shared" si="19"/>
        <v>2049</v>
      </c>
    </row>
    <row r="92" spans="1:31" x14ac:dyDescent="0.2">
      <c r="B92" s="263">
        <v>1</v>
      </c>
      <c r="C92" s="263">
        <f>B92+1</f>
        <v>2</v>
      </c>
      <c r="D92" s="263">
        <f t="shared" si="18"/>
        <v>3</v>
      </c>
      <c r="E92" s="263">
        <f t="shared" si="18"/>
        <v>4</v>
      </c>
      <c r="F92" s="263">
        <f t="shared" si="18"/>
        <v>5</v>
      </c>
      <c r="G92" s="263">
        <f t="shared" si="18"/>
        <v>6</v>
      </c>
      <c r="H92" s="263">
        <f t="shared" si="18"/>
        <v>7</v>
      </c>
      <c r="I92" s="263">
        <f t="shared" si="18"/>
        <v>8</v>
      </c>
      <c r="J92" s="263">
        <f t="shared" si="18"/>
        <v>9</v>
      </c>
      <c r="K92" s="263">
        <f t="shared" si="18"/>
        <v>10</v>
      </c>
      <c r="L92" s="263">
        <f t="shared" si="18"/>
        <v>11</v>
      </c>
      <c r="M92" s="263">
        <f t="shared" si="18"/>
        <v>12</v>
      </c>
      <c r="N92" s="263">
        <f t="shared" si="18"/>
        <v>13</v>
      </c>
      <c r="O92" s="263">
        <f t="shared" si="18"/>
        <v>14</v>
      </c>
      <c r="P92" s="263">
        <f t="shared" si="18"/>
        <v>15</v>
      </c>
      <c r="Q92" s="263">
        <f t="shared" si="18"/>
        <v>16</v>
      </c>
      <c r="R92" s="263">
        <f t="shared" si="18"/>
        <v>17</v>
      </c>
      <c r="S92" s="263">
        <f t="shared" si="19"/>
        <v>18</v>
      </c>
      <c r="T92" s="263">
        <f t="shared" si="19"/>
        <v>19</v>
      </c>
      <c r="U92" s="263">
        <f t="shared" si="19"/>
        <v>20</v>
      </c>
      <c r="V92" s="263">
        <f t="shared" si="19"/>
        <v>21</v>
      </c>
      <c r="W92" s="263">
        <f t="shared" si="19"/>
        <v>22</v>
      </c>
      <c r="X92" s="263">
        <f t="shared" si="19"/>
        <v>23</v>
      </c>
      <c r="Y92" s="263">
        <f t="shared" si="19"/>
        <v>24</v>
      </c>
      <c r="Z92" s="263">
        <f t="shared" si="19"/>
        <v>25</v>
      </c>
      <c r="AA92" s="263">
        <f t="shared" si="19"/>
        <v>26</v>
      </c>
      <c r="AB92" s="263">
        <f t="shared" si="19"/>
        <v>27</v>
      </c>
      <c r="AC92" s="263">
        <f t="shared" si="19"/>
        <v>28</v>
      </c>
      <c r="AD92" s="263">
        <f t="shared" si="19"/>
        <v>29</v>
      </c>
      <c r="AE92" s="263">
        <f t="shared" si="19"/>
        <v>30</v>
      </c>
    </row>
    <row r="93" spans="1:31" x14ac:dyDescent="0.2">
      <c r="A93" s="412" t="s">
        <v>609</v>
      </c>
      <c r="B93" s="412"/>
      <c r="C93" s="412"/>
      <c r="D93" s="412"/>
      <c r="E93" s="412"/>
      <c r="F93" s="412"/>
      <c r="G93" s="412"/>
      <c r="H93" s="412"/>
      <c r="I93" s="412"/>
      <c r="J93" s="412"/>
      <c r="K93" s="412"/>
      <c r="L93" s="412"/>
      <c r="M93" s="412"/>
      <c r="N93" s="412"/>
      <c r="O93" s="412"/>
      <c r="P93" s="412"/>
      <c r="Q93" s="412"/>
      <c r="R93" s="412"/>
      <c r="S93" s="412"/>
      <c r="T93" s="412"/>
      <c r="U93" s="412"/>
      <c r="V93" s="412"/>
      <c r="W93" s="412"/>
      <c r="X93" s="412"/>
      <c r="Y93" s="412"/>
      <c r="Z93" s="412"/>
      <c r="AA93" s="412"/>
      <c r="AB93" s="412"/>
      <c r="AC93" s="412"/>
    </row>
    <row r="94" spans="1:31" x14ac:dyDescent="0.2">
      <c r="A94" s="412" t="s">
        <v>610</v>
      </c>
      <c r="B94" s="412"/>
      <c r="C94" s="412"/>
      <c r="D94" s="412"/>
      <c r="E94" s="412"/>
      <c r="F94" s="412"/>
      <c r="G94" s="412"/>
      <c r="H94" s="412"/>
      <c r="I94" s="412"/>
      <c r="N94" s="263"/>
    </row>
    <row r="95" spans="1:31" x14ac:dyDescent="0.2">
      <c r="C95" s="332"/>
      <c r="N95" s="263"/>
    </row>
    <row r="96" spans="1:31" x14ac:dyDescent="0.2">
      <c r="N96" s="263"/>
    </row>
    <row r="97" spans="14:14" s="253" customFormat="1" x14ac:dyDescent="0.2">
      <c r="N97" s="263"/>
    </row>
    <row r="98" spans="14:14" s="253" customFormat="1" x14ac:dyDescent="0.2">
      <c r="N98" s="263"/>
    </row>
    <row r="99" spans="14:14" s="253" customFormat="1" x14ac:dyDescent="0.2">
      <c r="N99" s="263"/>
    </row>
    <row r="100" spans="14:14" s="253" customFormat="1" x14ac:dyDescent="0.2">
      <c r="N100" s="263"/>
    </row>
    <row r="101" spans="14:14" s="253" customFormat="1" x14ac:dyDescent="0.2">
      <c r="N101" s="263"/>
    </row>
    <row r="102" spans="14:14" s="253" customFormat="1" x14ac:dyDescent="0.2">
      <c r="N102" s="263"/>
    </row>
    <row r="103" spans="14:14" s="253" customFormat="1" x14ac:dyDescent="0.2">
      <c r="N103" s="263"/>
    </row>
    <row r="104" spans="14:14" s="253" customFormat="1" x14ac:dyDescent="0.2">
      <c r="N104" s="263"/>
    </row>
    <row r="105" spans="14:14" s="253" customFormat="1" x14ac:dyDescent="0.2">
      <c r="N105" s="263"/>
    </row>
    <row r="106" spans="14:14" s="253" customFormat="1" x14ac:dyDescent="0.2">
      <c r="N106" s="263"/>
    </row>
    <row r="107" spans="14:14" s="253" customFormat="1" x14ac:dyDescent="0.2">
      <c r="N107" s="263"/>
    </row>
    <row r="108" spans="14:14" s="253" customFormat="1" x14ac:dyDescent="0.2">
      <c r="N108" s="263"/>
    </row>
    <row r="109" spans="14:14" s="253" customFormat="1" x14ac:dyDescent="0.2">
      <c r="N109" s="263"/>
    </row>
    <row r="110" spans="14:14" s="253" customFormat="1" x14ac:dyDescent="0.2">
      <c r="N110" s="263"/>
    </row>
    <row r="111" spans="14:14" s="253" customFormat="1" x14ac:dyDescent="0.2">
      <c r="N111" s="263"/>
    </row>
    <row r="112" spans="14:14" s="253" customFormat="1" x14ac:dyDescent="0.2">
      <c r="N112" s="263"/>
    </row>
    <row r="113" spans="14:14" s="253" customFormat="1" x14ac:dyDescent="0.2">
      <c r="N113" s="263"/>
    </row>
    <row r="114" spans="14:14" s="253" customFormat="1" x14ac:dyDescent="0.2">
      <c r="N114" s="263"/>
    </row>
    <row r="115" spans="14:14" s="253" customFormat="1" x14ac:dyDescent="0.2">
      <c r="N115" s="263"/>
    </row>
    <row r="116" spans="14:14" s="253" customFormat="1" x14ac:dyDescent="0.2">
      <c r="N116" s="263"/>
    </row>
    <row r="117" spans="14:14" s="253" customFormat="1" x14ac:dyDescent="0.2">
      <c r="N117" s="263"/>
    </row>
    <row r="118" spans="14:14" s="253" customFormat="1" x14ac:dyDescent="0.2">
      <c r="N118" s="263"/>
    </row>
    <row r="119" spans="14:14" s="253" customFormat="1" x14ac:dyDescent="0.2">
      <c r="N119" s="263"/>
    </row>
    <row r="120" spans="14:14" s="253" customFormat="1" x14ac:dyDescent="0.2">
      <c r="N120" s="263"/>
    </row>
    <row r="121" spans="14:14" s="253" customFormat="1" x14ac:dyDescent="0.2">
      <c r="N121" s="263"/>
    </row>
    <row r="122" spans="14:14" s="253" customFormat="1" x14ac:dyDescent="0.2">
      <c r="N122" s="263"/>
    </row>
    <row r="123" spans="14:14" s="253" customFormat="1" x14ac:dyDescent="0.2">
      <c r="N123" s="263"/>
    </row>
    <row r="124" spans="14:14" s="253" customFormat="1" x14ac:dyDescent="0.2">
      <c r="N124" s="263"/>
    </row>
    <row r="125" spans="14:14" s="253" customFormat="1" x14ac:dyDescent="0.2">
      <c r="N125" s="263"/>
    </row>
    <row r="126" spans="14:14" s="253" customFormat="1" x14ac:dyDescent="0.2">
      <c r="N126" s="263"/>
    </row>
    <row r="127" spans="14:14" s="253" customFormat="1" x14ac:dyDescent="0.2">
      <c r="N127" s="263"/>
    </row>
    <row r="128" spans="14:14" s="253" customFormat="1" x14ac:dyDescent="0.2">
      <c r="N128" s="263"/>
    </row>
    <row r="129" spans="14:14" s="253" customFormat="1" x14ac:dyDescent="0.2">
      <c r="N129" s="263"/>
    </row>
    <row r="130" spans="14:14" s="253" customFormat="1" x14ac:dyDescent="0.2">
      <c r="N130" s="263"/>
    </row>
    <row r="131" spans="14:14" s="253" customFormat="1" x14ac:dyDescent="0.2">
      <c r="N131" s="263"/>
    </row>
    <row r="132" spans="14:14" s="253" customFormat="1" x14ac:dyDescent="0.2">
      <c r="N132" s="263"/>
    </row>
    <row r="133" spans="14:14" s="253" customFormat="1" x14ac:dyDescent="0.2">
      <c r="N133" s="263"/>
    </row>
    <row r="134" spans="14:14" s="253" customFormat="1" x14ac:dyDescent="0.2">
      <c r="N134" s="263"/>
    </row>
    <row r="135" spans="14:14" s="253" customFormat="1" x14ac:dyDescent="0.2">
      <c r="N135" s="263"/>
    </row>
    <row r="136" spans="14:14" s="253" customFormat="1" x14ac:dyDescent="0.2">
      <c r="N136" s="263"/>
    </row>
    <row r="137" spans="14:14" s="253" customFormat="1" x14ac:dyDescent="0.2">
      <c r="N137" s="263"/>
    </row>
    <row r="138" spans="14:14" s="253" customFormat="1" x14ac:dyDescent="0.2">
      <c r="N138" s="263"/>
    </row>
    <row r="139" spans="14:14" s="253" customFormat="1" x14ac:dyDescent="0.2">
      <c r="N139" s="263"/>
    </row>
    <row r="140" spans="14:14" s="253" customFormat="1" x14ac:dyDescent="0.2">
      <c r="N140" s="263"/>
    </row>
    <row r="141" spans="14:14" s="253" customFormat="1" x14ac:dyDescent="0.2">
      <c r="N141" s="263"/>
    </row>
    <row r="142" spans="14:14" s="253" customFormat="1" x14ac:dyDescent="0.2">
      <c r="N142" s="263"/>
    </row>
    <row r="143" spans="14:14" s="253" customFormat="1" x14ac:dyDescent="0.2">
      <c r="N143" s="263"/>
    </row>
    <row r="144" spans="14:14" s="253" customFormat="1" x14ac:dyDescent="0.2">
      <c r="N144" s="263"/>
    </row>
    <row r="145" spans="14:14" s="253" customFormat="1" x14ac:dyDescent="0.2">
      <c r="N145" s="263"/>
    </row>
    <row r="146" spans="14:14" s="253" customFormat="1" x14ac:dyDescent="0.2">
      <c r="N146" s="263"/>
    </row>
    <row r="147" spans="14:14" s="253" customFormat="1" x14ac:dyDescent="0.2">
      <c r="N147" s="263"/>
    </row>
    <row r="148" spans="14:14" s="253" customFormat="1" x14ac:dyDescent="0.2">
      <c r="N148" s="263"/>
    </row>
    <row r="149" spans="14:14" s="253" customFormat="1" x14ac:dyDescent="0.2">
      <c r="N149" s="263"/>
    </row>
    <row r="150" spans="14:14" s="253" customFormat="1" x14ac:dyDescent="0.2">
      <c r="N150" s="263"/>
    </row>
    <row r="151" spans="14:14" s="253" customFormat="1" x14ac:dyDescent="0.2">
      <c r="N151" s="263"/>
    </row>
    <row r="152" spans="14:14" s="253" customFormat="1" x14ac:dyDescent="0.2">
      <c r="N152" s="263"/>
    </row>
    <row r="153" spans="14:14" s="253" customFormat="1" x14ac:dyDescent="0.2">
      <c r="N153" s="263"/>
    </row>
    <row r="154" spans="14:14" s="253" customFormat="1" x14ac:dyDescent="0.2">
      <c r="N154" s="263"/>
    </row>
    <row r="155" spans="14:14" s="253" customFormat="1" x14ac:dyDescent="0.2">
      <c r="N155" s="263"/>
    </row>
    <row r="156" spans="14:14" s="253" customFormat="1" x14ac:dyDescent="0.2">
      <c r="N156" s="263"/>
    </row>
    <row r="157" spans="14:14" s="253" customFormat="1" x14ac:dyDescent="0.2">
      <c r="N157" s="263"/>
    </row>
    <row r="158" spans="14:14" s="253" customFormat="1" x14ac:dyDescent="0.2">
      <c r="N158" s="263"/>
    </row>
    <row r="159" spans="14:14" s="253" customFormat="1" x14ac:dyDescent="0.2">
      <c r="N159" s="263"/>
    </row>
    <row r="160" spans="14:14" s="253" customFormat="1" x14ac:dyDescent="0.2">
      <c r="N160" s="263"/>
    </row>
    <row r="161" spans="14:14" s="253" customFormat="1" x14ac:dyDescent="0.2">
      <c r="N161" s="263"/>
    </row>
    <row r="162" spans="14:14" s="253" customFormat="1" x14ac:dyDescent="0.2">
      <c r="N162" s="263"/>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2021-03-31T00:31:07Z</dcterms:modified>
</cp:coreProperties>
</file>