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706_1153926028850_39\F0708_1153926028850_39_отправка\формы 1-21\"/>
    </mc:Choice>
  </mc:AlternateContent>
  <xr:revisionPtr revIDLastSave="0" documentId="13_ncr:1_{8D44B9E2-8CAE-469F-B380-E707528991DA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стр.1_4!$A$19:$W$455</definedName>
    <definedName name="_xlnm.Print_Titles" localSheetId="0">стр.1_4!$14:$16</definedName>
    <definedName name="_xlnm.Print_Area" localSheetId="0">стр.1_4!$A$1:$W$457</definedName>
  </definedNames>
  <calcPr calcId="181029"/>
</workbook>
</file>

<file path=xl/calcChain.xml><?xml version="1.0" encoding="utf-8"?>
<calcChain xmlns="http://schemas.openxmlformats.org/spreadsheetml/2006/main">
  <c r="M106" i="1" l="1"/>
  <c r="L106" i="1"/>
  <c r="M128" i="1"/>
  <c r="M120" i="1"/>
  <c r="U171" i="1" l="1"/>
  <c r="T171" i="1"/>
  <c r="T309" i="1" s="1"/>
  <c r="P171" i="1"/>
  <c r="P309" i="1" s="1"/>
  <c r="R171" i="1"/>
  <c r="R309" i="1" s="1"/>
  <c r="S171" i="1"/>
  <c r="Q171" i="1"/>
  <c r="S25" i="1"/>
  <c r="S83" i="1" s="1"/>
  <c r="Q25" i="1"/>
  <c r="Q83" i="1" s="1"/>
  <c r="O28" i="1"/>
  <c r="Q28" i="1"/>
  <c r="U25" i="1"/>
  <c r="U71" i="1"/>
  <c r="S71" i="1"/>
  <c r="Q71" i="1"/>
  <c r="O71" i="1"/>
  <c r="U68" i="1"/>
  <c r="U67" i="1"/>
  <c r="S68" i="1"/>
  <c r="S67" i="1"/>
  <c r="Q68" i="1"/>
  <c r="Q67" i="1"/>
  <c r="O68" i="1"/>
  <c r="O67" i="1"/>
  <c r="Q54" i="1"/>
  <c r="O54" i="1"/>
  <c r="U53" i="1"/>
  <c r="S53" i="1"/>
  <c r="Q53" i="1"/>
  <c r="O53" i="1"/>
  <c r="O65" i="1"/>
  <c r="U65" i="1" l="1"/>
  <c r="S65" i="1"/>
  <c r="Q65" i="1"/>
  <c r="M363" i="1" l="1"/>
  <c r="O363" i="1"/>
  <c r="Q363" i="1"/>
  <c r="S363" i="1"/>
  <c r="U363" i="1"/>
  <c r="V363" i="1"/>
  <c r="Q345" i="1"/>
  <c r="O345" i="1"/>
  <c r="W447" i="1"/>
  <c r="V447" i="1"/>
  <c r="W446" i="1"/>
  <c r="V446" i="1"/>
  <c r="W445" i="1"/>
  <c r="V445" i="1"/>
  <c r="U444" i="1"/>
  <c r="T444" i="1"/>
  <c r="S444" i="1"/>
  <c r="R444" i="1"/>
  <c r="Q444" i="1"/>
  <c r="P444" i="1"/>
  <c r="O444" i="1"/>
  <c r="N444" i="1"/>
  <c r="M444" i="1"/>
  <c r="W444" i="1" s="1"/>
  <c r="L444" i="1"/>
  <c r="V444" i="1" s="1"/>
  <c r="W443" i="1"/>
  <c r="V443" i="1"/>
  <c r="W442" i="1"/>
  <c r="V442" i="1"/>
  <c r="W441" i="1"/>
  <c r="V441" i="1"/>
  <c r="U440" i="1"/>
  <c r="U439" i="1" s="1"/>
  <c r="T440" i="1"/>
  <c r="T439" i="1" s="1"/>
  <c r="S440" i="1"/>
  <c r="S439" i="1" s="1"/>
  <c r="R440" i="1"/>
  <c r="Q440" i="1"/>
  <c r="Q439" i="1" s="1"/>
  <c r="P440" i="1"/>
  <c r="P439" i="1" s="1"/>
  <c r="O440" i="1"/>
  <c r="O439" i="1" s="1"/>
  <c r="N440" i="1"/>
  <c r="M440" i="1"/>
  <c r="W440" i="1" s="1"/>
  <c r="W439" i="1" s="1"/>
  <c r="L440" i="1"/>
  <c r="L439" i="1" s="1"/>
  <c r="W362" i="1"/>
  <c r="W361" i="1"/>
  <c r="W360" i="1"/>
  <c r="W359" i="1"/>
  <c r="W358" i="1"/>
  <c r="W357" i="1"/>
  <c r="V357" i="1"/>
  <c r="W356" i="1"/>
  <c r="V356" i="1"/>
  <c r="W355" i="1"/>
  <c r="V355" i="1"/>
  <c r="W354" i="1"/>
  <c r="V354" i="1"/>
  <c r="W353" i="1"/>
  <c r="V353" i="1"/>
  <c r="W352" i="1"/>
  <c r="V352" i="1"/>
  <c r="W351" i="1"/>
  <c r="V351" i="1"/>
  <c r="U346" i="1"/>
  <c r="T346" i="1"/>
  <c r="S346" i="1"/>
  <c r="R346" i="1"/>
  <c r="Q346" i="1"/>
  <c r="P346" i="1"/>
  <c r="O346" i="1"/>
  <c r="N346" i="1"/>
  <c r="L346" i="1"/>
  <c r="U310" i="1"/>
  <c r="T310" i="1"/>
  <c r="S310" i="1"/>
  <c r="R310" i="1"/>
  <c r="Q310" i="1"/>
  <c r="P310" i="1"/>
  <c r="O310" i="1"/>
  <c r="N310" i="1"/>
  <c r="L310" i="1"/>
  <c r="U309" i="1"/>
  <c r="S309" i="1"/>
  <c r="Q309" i="1"/>
  <c r="O309" i="1"/>
  <c r="N309" i="1"/>
  <c r="L309" i="1"/>
  <c r="U307" i="1"/>
  <c r="T307" i="1"/>
  <c r="S307" i="1"/>
  <c r="R307" i="1"/>
  <c r="Q307" i="1"/>
  <c r="P307" i="1"/>
  <c r="O307" i="1"/>
  <c r="N307" i="1"/>
  <c r="L307" i="1"/>
  <c r="U272" i="1"/>
  <c r="T272" i="1"/>
  <c r="S272" i="1"/>
  <c r="R272" i="1"/>
  <c r="Q272" i="1"/>
  <c r="P272" i="1"/>
  <c r="O272" i="1"/>
  <c r="N272" i="1"/>
  <c r="M272" i="1"/>
  <c r="L272" i="1"/>
  <c r="U271" i="1"/>
  <c r="T271" i="1"/>
  <c r="S271" i="1"/>
  <c r="R271" i="1"/>
  <c r="Q271" i="1"/>
  <c r="P271" i="1"/>
  <c r="O271" i="1"/>
  <c r="N271" i="1"/>
  <c r="M271" i="1"/>
  <c r="L271" i="1"/>
  <c r="W260" i="1"/>
  <c r="V260" i="1"/>
  <c r="W259" i="1"/>
  <c r="V259" i="1"/>
  <c r="W258" i="1"/>
  <c r="V258" i="1"/>
  <c r="W257" i="1"/>
  <c r="V257" i="1"/>
  <c r="W256" i="1"/>
  <c r="V256" i="1"/>
  <c r="W255" i="1"/>
  <c r="V255" i="1"/>
  <c r="W254" i="1"/>
  <c r="V254" i="1"/>
  <c r="W253" i="1"/>
  <c r="V253" i="1"/>
  <c r="U252" i="1"/>
  <c r="T252" i="1"/>
  <c r="S252" i="1"/>
  <c r="R252" i="1"/>
  <c r="Q252" i="1"/>
  <c r="P252" i="1"/>
  <c r="O252" i="1"/>
  <c r="N252" i="1"/>
  <c r="M252" i="1"/>
  <c r="W252" i="1" s="1"/>
  <c r="L252" i="1"/>
  <c r="U251" i="1"/>
  <c r="T251" i="1"/>
  <c r="S251" i="1"/>
  <c r="R251" i="1"/>
  <c r="R250" i="1" s="1"/>
  <c r="Q251" i="1"/>
  <c r="P251" i="1"/>
  <c r="O251" i="1"/>
  <c r="O250" i="1" s="1"/>
  <c r="N251" i="1"/>
  <c r="N250" i="1" s="1"/>
  <c r="M251" i="1"/>
  <c r="L251" i="1"/>
  <c r="U250" i="1"/>
  <c r="S250" i="1"/>
  <c r="Q250" i="1"/>
  <c r="W245" i="1"/>
  <c r="V245" i="1"/>
  <c r="U232" i="1"/>
  <c r="U231" i="1" s="1"/>
  <c r="T232" i="1"/>
  <c r="S232" i="1"/>
  <c r="S231" i="1" s="1"/>
  <c r="R232" i="1"/>
  <c r="R231" i="1" s="1"/>
  <c r="Q232" i="1"/>
  <c r="P232" i="1"/>
  <c r="O232" i="1"/>
  <c r="N232" i="1"/>
  <c r="N231" i="1" s="1"/>
  <c r="L232" i="1"/>
  <c r="L231" i="1" s="1"/>
  <c r="T231" i="1"/>
  <c r="Q231" i="1"/>
  <c r="P231" i="1"/>
  <c r="O231" i="1"/>
  <c r="V227" i="1"/>
  <c r="V226" i="1"/>
  <c r="U225" i="1"/>
  <c r="T225" i="1"/>
  <c r="T244" i="1" s="1"/>
  <c r="S225" i="1"/>
  <c r="S244" i="1" s="1"/>
  <c r="R225" i="1"/>
  <c r="R244" i="1" s="1"/>
  <c r="Q225" i="1"/>
  <c r="P225" i="1"/>
  <c r="P244" i="1" s="1"/>
  <c r="O225" i="1"/>
  <c r="O244" i="1" s="1"/>
  <c r="N225" i="1"/>
  <c r="N244" i="1" s="1"/>
  <c r="M225" i="1"/>
  <c r="L225" i="1"/>
  <c r="L244" i="1" s="1"/>
  <c r="V244" i="1" s="1"/>
  <c r="V224" i="1"/>
  <c r="U220" i="1"/>
  <c r="U243" i="1" s="1"/>
  <c r="T220" i="1"/>
  <c r="S220" i="1"/>
  <c r="S218" i="1" s="1"/>
  <c r="R220" i="1"/>
  <c r="R243" i="1" s="1"/>
  <c r="Q220" i="1"/>
  <c r="Q243" i="1" s="1"/>
  <c r="P220" i="1"/>
  <c r="P243" i="1" s="1"/>
  <c r="O220" i="1"/>
  <c r="O218" i="1" s="1"/>
  <c r="O242" i="1" s="1"/>
  <c r="N220" i="1"/>
  <c r="N243" i="1" s="1"/>
  <c r="L220" i="1"/>
  <c r="L243" i="1" s="1"/>
  <c r="W219" i="1"/>
  <c r="V219" i="1"/>
  <c r="V210" i="1"/>
  <c r="V214" i="1"/>
  <c r="V213" i="1"/>
  <c r="V212" i="1"/>
  <c r="W205" i="1"/>
  <c r="V205" i="1"/>
  <c r="W204" i="1"/>
  <c r="V204" i="1"/>
  <c r="W203" i="1"/>
  <c r="V203" i="1"/>
  <c r="W202" i="1"/>
  <c r="V202" i="1"/>
  <c r="U201" i="1"/>
  <c r="T201" i="1"/>
  <c r="T199" i="1" s="1"/>
  <c r="S201" i="1"/>
  <c r="S199" i="1" s="1"/>
  <c r="R201" i="1"/>
  <c r="Q201" i="1"/>
  <c r="Q199" i="1" s="1"/>
  <c r="P201" i="1"/>
  <c r="P199" i="1" s="1"/>
  <c r="O201" i="1"/>
  <c r="O199" i="1" s="1"/>
  <c r="N201" i="1"/>
  <c r="M201" i="1"/>
  <c r="M199" i="1" s="1"/>
  <c r="L201" i="1"/>
  <c r="V201" i="1" s="1"/>
  <c r="V199" i="1" s="1"/>
  <c r="W200" i="1"/>
  <c r="V200" i="1"/>
  <c r="U199" i="1"/>
  <c r="R199" i="1"/>
  <c r="N199" i="1"/>
  <c r="M215" i="1"/>
  <c r="U207" i="1"/>
  <c r="U206" i="1" s="1"/>
  <c r="T207" i="1"/>
  <c r="T206" i="1" s="1"/>
  <c r="R207" i="1"/>
  <c r="R206" i="1" s="1"/>
  <c r="P207" i="1"/>
  <c r="P206" i="1" s="1"/>
  <c r="N207" i="1"/>
  <c r="N206" i="1" s="1"/>
  <c r="W179" i="1"/>
  <c r="V179" i="1"/>
  <c r="W178" i="1"/>
  <c r="V178" i="1"/>
  <c r="U177" i="1"/>
  <c r="T177" i="1"/>
  <c r="S177" i="1"/>
  <c r="S163" i="1" s="1"/>
  <c r="R177" i="1"/>
  <c r="Q177" i="1"/>
  <c r="P177" i="1"/>
  <c r="O177" i="1"/>
  <c r="N177" i="1"/>
  <c r="M177" i="1"/>
  <c r="L177" i="1"/>
  <c r="V177" i="1" s="1"/>
  <c r="W176" i="1"/>
  <c r="V176" i="1"/>
  <c r="W175" i="1"/>
  <c r="V175" i="1"/>
  <c r="U174" i="1"/>
  <c r="T174" i="1"/>
  <c r="S174" i="1"/>
  <c r="R174" i="1"/>
  <c r="Q174" i="1"/>
  <c r="P174" i="1"/>
  <c r="O174" i="1"/>
  <c r="N174" i="1"/>
  <c r="M174" i="1"/>
  <c r="L174" i="1"/>
  <c r="W173" i="1"/>
  <c r="V173" i="1"/>
  <c r="W170" i="1"/>
  <c r="V170" i="1"/>
  <c r="W169" i="1"/>
  <c r="V169" i="1"/>
  <c r="W168" i="1"/>
  <c r="V168" i="1"/>
  <c r="W167" i="1"/>
  <c r="V167" i="1"/>
  <c r="W166" i="1"/>
  <c r="V166" i="1"/>
  <c r="W165" i="1"/>
  <c r="V165" i="1"/>
  <c r="U164" i="1"/>
  <c r="U163" i="1" s="1"/>
  <c r="T164" i="1"/>
  <c r="S164" i="1"/>
  <c r="R164" i="1"/>
  <c r="R163" i="1" s="1"/>
  <c r="R238" i="1" s="1"/>
  <c r="Q164" i="1"/>
  <c r="Q163" i="1" s="1"/>
  <c r="P164" i="1"/>
  <c r="O164" i="1"/>
  <c r="N164" i="1"/>
  <c r="N163" i="1" s="1"/>
  <c r="N238" i="1" s="1"/>
  <c r="M164" i="1"/>
  <c r="L164" i="1"/>
  <c r="W160" i="1"/>
  <c r="V160" i="1"/>
  <c r="T150" i="1"/>
  <c r="R150" i="1"/>
  <c r="P150" i="1"/>
  <c r="N150" i="1"/>
  <c r="U149" i="1"/>
  <c r="T149" i="1"/>
  <c r="S149" i="1"/>
  <c r="R149" i="1"/>
  <c r="Q149" i="1"/>
  <c r="P149" i="1"/>
  <c r="O149" i="1"/>
  <c r="N149" i="1"/>
  <c r="U148" i="1"/>
  <c r="T148" i="1"/>
  <c r="S148" i="1"/>
  <c r="R148" i="1"/>
  <c r="Q148" i="1"/>
  <c r="P148" i="1"/>
  <c r="O148" i="1"/>
  <c r="N148" i="1"/>
  <c r="U147" i="1"/>
  <c r="U146" i="1" s="1"/>
  <c r="T147" i="1"/>
  <c r="S147" i="1"/>
  <c r="S146" i="1" s="1"/>
  <c r="R147" i="1"/>
  <c r="Q147" i="1"/>
  <c r="P147" i="1"/>
  <c r="P146" i="1" s="1"/>
  <c r="O147" i="1"/>
  <c r="O146" i="1" s="1"/>
  <c r="N147" i="1"/>
  <c r="U145" i="1"/>
  <c r="T145" i="1"/>
  <c r="S145" i="1"/>
  <c r="R145" i="1"/>
  <c r="Q145" i="1"/>
  <c r="P145" i="1"/>
  <c r="O145" i="1"/>
  <c r="N145" i="1"/>
  <c r="T144" i="1"/>
  <c r="R144" i="1"/>
  <c r="P144" i="1"/>
  <c r="N144" i="1"/>
  <c r="T143" i="1"/>
  <c r="R143" i="1"/>
  <c r="P143" i="1"/>
  <c r="N143" i="1"/>
  <c r="U142" i="1"/>
  <c r="T142" i="1"/>
  <c r="S142" i="1"/>
  <c r="R142" i="1"/>
  <c r="Q142" i="1"/>
  <c r="P142" i="1"/>
  <c r="O142" i="1"/>
  <c r="N142" i="1"/>
  <c r="T141" i="1"/>
  <c r="R141" i="1"/>
  <c r="R135" i="1" s="1"/>
  <c r="P141" i="1"/>
  <c r="N141" i="1"/>
  <c r="U140" i="1"/>
  <c r="T140" i="1"/>
  <c r="S140" i="1"/>
  <c r="R140" i="1"/>
  <c r="Q140" i="1"/>
  <c r="P140" i="1"/>
  <c r="O140" i="1"/>
  <c r="N140" i="1"/>
  <c r="U139" i="1"/>
  <c r="T139" i="1"/>
  <c r="S139" i="1"/>
  <c r="R139" i="1"/>
  <c r="Q139" i="1"/>
  <c r="P139" i="1"/>
  <c r="O139" i="1"/>
  <c r="N139" i="1"/>
  <c r="U138" i="1"/>
  <c r="T138" i="1"/>
  <c r="S138" i="1"/>
  <c r="R138" i="1"/>
  <c r="Q138" i="1"/>
  <c r="P138" i="1"/>
  <c r="O138" i="1"/>
  <c r="N138" i="1"/>
  <c r="U137" i="1"/>
  <c r="T137" i="1"/>
  <c r="T136" i="1" s="1"/>
  <c r="S137" i="1"/>
  <c r="R137" i="1"/>
  <c r="Q137" i="1"/>
  <c r="P137" i="1"/>
  <c r="P136" i="1" s="1"/>
  <c r="O137" i="1"/>
  <c r="O136" i="1" s="1"/>
  <c r="N137" i="1"/>
  <c r="S136" i="1"/>
  <c r="T135" i="1"/>
  <c r="N135" i="1"/>
  <c r="W125" i="1"/>
  <c r="V125" i="1"/>
  <c r="W124" i="1"/>
  <c r="V124" i="1"/>
  <c r="W123" i="1"/>
  <c r="V123" i="1"/>
  <c r="W122" i="1"/>
  <c r="V122" i="1"/>
  <c r="U121" i="1"/>
  <c r="T121" i="1"/>
  <c r="S121" i="1"/>
  <c r="R121" i="1"/>
  <c r="Q121" i="1"/>
  <c r="P121" i="1"/>
  <c r="O121" i="1"/>
  <c r="N121" i="1"/>
  <c r="T120" i="1"/>
  <c r="S120" i="1"/>
  <c r="R120" i="1"/>
  <c r="Q120" i="1"/>
  <c r="P120" i="1"/>
  <c r="N120" i="1"/>
  <c r="W118" i="1"/>
  <c r="V118" i="1"/>
  <c r="W117" i="1"/>
  <c r="V117" i="1"/>
  <c r="W116" i="1"/>
  <c r="V116" i="1"/>
  <c r="W115" i="1"/>
  <c r="V115" i="1"/>
  <c r="W110" i="1"/>
  <c r="V110" i="1"/>
  <c r="W109" i="1"/>
  <c r="V109" i="1"/>
  <c r="W108" i="1"/>
  <c r="V108" i="1"/>
  <c r="W107" i="1"/>
  <c r="U106" i="1"/>
  <c r="T106" i="1"/>
  <c r="S106" i="1"/>
  <c r="R106" i="1"/>
  <c r="Q106" i="1"/>
  <c r="P106" i="1"/>
  <c r="O106" i="1"/>
  <c r="N106" i="1"/>
  <c r="L92" i="1"/>
  <c r="W104" i="1"/>
  <c r="V104" i="1"/>
  <c r="W103" i="1"/>
  <c r="V103" i="1"/>
  <c r="W102" i="1"/>
  <c r="V102" i="1"/>
  <c r="W101" i="1"/>
  <c r="V101" i="1"/>
  <c r="W100" i="1"/>
  <c r="V100" i="1"/>
  <c r="U99" i="1"/>
  <c r="T99" i="1"/>
  <c r="S99" i="1"/>
  <c r="R99" i="1"/>
  <c r="Q99" i="1"/>
  <c r="P99" i="1"/>
  <c r="O99" i="1"/>
  <c r="N99" i="1"/>
  <c r="M99" i="1"/>
  <c r="W98" i="1"/>
  <c r="V98" i="1"/>
  <c r="W97" i="1"/>
  <c r="V97" i="1"/>
  <c r="W96" i="1"/>
  <c r="V96" i="1"/>
  <c r="W95" i="1"/>
  <c r="V95" i="1"/>
  <c r="W94" i="1"/>
  <c r="V94" i="1"/>
  <c r="U93" i="1"/>
  <c r="U92" i="1" s="1"/>
  <c r="T93" i="1"/>
  <c r="S93" i="1"/>
  <c r="R93" i="1"/>
  <c r="Q93" i="1"/>
  <c r="P93" i="1"/>
  <c r="O93" i="1"/>
  <c r="N93" i="1"/>
  <c r="M93" i="1"/>
  <c r="U91" i="1"/>
  <c r="T91" i="1"/>
  <c r="S91" i="1"/>
  <c r="R91" i="1"/>
  <c r="Q91" i="1"/>
  <c r="P91" i="1"/>
  <c r="O91" i="1"/>
  <c r="N91" i="1"/>
  <c r="L91" i="1"/>
  <c r="U90" i="1"/>
  <c r="T90" i="1"/>
  <c r="S90" i="1"/>
  <c r="R90" i="1"/>
  <c r="Q90" i="1"/>
  <c r="P90" i="1"/>
  <c r="O90" i="1"/>
  <c r="N90" i="1"/>
  <c r="M90" i="1"/>
  <c r="L90" i="1"/>
  <c r="U89" i="1"/>
  <c r="T89" i="1"/>
  <c r="T88" i="1" s="1"/>
  <c r="S89" i="1"/>
  <c r="S88" i="1" s="1"/>
  <c r="R89" i="1"/>
  <c r="Q89" i="1"/>
  <c r="P89" i="1"/>
  <c r="P88" i="1" s="1"/>
  <c r="O89" i="1"/>
  <c r="O88" i="1" s="1"/>
  <c r="N89" i="1"/>
  <c r="M89" i="1"/>
  <c r="L89" i="1"/>
  <c r="L88" i="1" s="1"/>
  <c r="U88" i="1"/>
  <c r="U87" i="1"/>
  <c r="T87" i="1"/>
  <c r="S87" i="1"/>
  <c r="R87" i="1"/>
  <c r="Q87" i="1"/>
  <c r="P87" i="1"/>
  <c r="O87" i="1"/>
  <c r="N87" i="1"/>
  <c r="M87" i="1"/>
  <c r="L87" i="1"/>
  <c r="U86" i="1"/>
  <c r="U114" i="1" s="1"/>
  <c r="U144" i="1" s="1"/>
  <c r="T86" i="1"/>
  <c r="S86" i="1"/>
  <c r="R86" i="1"/>
  <c r="Q86" i="1"/>
  <c r="Q114" i="1" s="1"/>
  <c r="Q144" i="1" s="1"/>
  <c r="P86" i="1"/>
  <c r="O86" i="1"/>
  <c r="N86" i="1"/>
  <c r="L86" i="1"/>
  <c r="U85" i="1"/>
  <c r="T85" i="1"/>
  <c r="S85" i="1"/>
  <c r="S113" i="1" s="1"/>
  <c r="S143" i="1" s="1"/>
  <c r="R85" i="1"/>
  <c r="Q85" i="1"/>
  <c r="P85" i="1"/>
  <c r="O85" i="1"/>
  <c r="O113" i="1" s="1"/>
  <c r="O143" i="1" s="1"/>
  <c r="N85" i="1"/>
  <c r="L85" i="1"/>
  <c r="U84" i="1"/>
  <c r="T84" i="1"/>
  <c r="S84" i="1"/>
  <c r="R84" i="1"/>
  <c r="Q84" i="1"/>
  <c r="P84" i="1"/>
  <c r="O84" i="1"/>
  <c r="N84" i="1"/>
  <c r="M84" i="1"/>
  <c r="L84" i="1"/>
  <c r="U83" i="1"/>
  <c r="T83" i="1"/>
  <c r="R83" i="1"/>
  <c r="P83" i="1"/>
  <c r="O83" i="1"/>
  <c r="N83" i="1"/>
  <c r="L83" i="1"/>
  <c r="U82" i="1"/>
  <c r="T82" i="1"/>
  <c r="S82" i="1"/>
  <c r="R82" i="1"/>
  <c r="Q82" i="1"/>
  <c r="P82" i="1"/>
  <c r="O82" i="1"/>
  <c r="N82" i="1"/>
  <c r="M82" i="1"/>
  <c r="L82" i="1"/>
  <c r="U81" i="1"/>
  <c r="T81" i="1"/>
  <c r="S81" i="1"/>
  <c r="R81" i="1"/>
  <c r="Q81" i="1"/>
  <c r="P81" i="1"/>
  <c r="O81" i="1"/>
  <c r="N81" i="1"/>
  <c r="M81" i="1"/>
  <c r="L81" i="1"/>
  <c r="U80" i="1"/>
  <c r="T80" i="1"/>
  <c r="S80" i="1"/>
  <c r="R80" i="1"/>
  <c r="Q80" i="1"/>
  <c r="P80" i="1"/>
  <c r="O80" i="1"/>
  <c r="N80" i="1"/>
  <c r="M80" i="1"/>
  <c r="L80" i="1"/>
  <c r="U79" i="1"/>
  <c r="T79" i="1"/>
  <c r="S79" i="1"/>
  <c r="S78" i="1" s="1"/>
  <c r="R79" i="1"/>
  <c r="Q79" i="1"/>
  <c r="P79" i="1"/>
  <c r="O79" i="1"/>
  <c r="O78" i="1" s="1"/>
  <c r="N79" i="1"/>
  <c r="M79" i="1"/>
  <c r="L79" i="1"/>
  <c r="U78" i="1"/>
  <c r="V111" i="1"/>
  <c r="V112" i="1"/>
  <c r="W112" i="1"/>
  <c r="Q113" i="1"/>
  <c r="Q143" i="1" s="1"/>
  <c r="V113" i="1"/>
  <c r="S114" i="1"/>
  <c r="S144" i="1" s="1"/>
  <c r="V114" i="1"/>
  <c r="V119" i="1"/>
  <c r="U73" i="1"/>
  <c r="T73" i="1"/>
  <c r="S73" i="1"/>
  <c r="R73" i="1"/>
  <c r="Q73" i="1"/>
  <c r="P73" i="1"/>
  <c r="O73" i="1"/>
  <c r="N73" i="1"/>
  <c r="L73" i="1"/>
  <c r="L66" i="1"/>
  <c r="N66" i="1"/>
  <c r="O66" i="1"/>
  <c r="P66" i="1"/>
  <c r="Q66" i="1"/>
  <c r="R66" i="1"/>
  <c r="S66" i="1"/>
  <c r="T66" i="1"/>
  <c r="U66" i="1"/>
  <c r="U58" i="1"/>
  <c r="T58" i="1"/>
  <c r="S58" i="1"/>
  <c r="R58" i="1"/>
  <c r="Q58" i="1"/>
  <c r="P58" i="1"/>
  <c r="O58" i="1"/>
  <c r="N58" i="1"/>
  <c r="L58" i="1"/>
  <c r="T51" i="1"/>
  <c r="T49" i="1" s="1"/>
  <c r="R51" i="1"/>
  <c r="R49" i="1" s="1"/>
  <c r="P51" i="1"/>
  <c r="P49" i="1" s="1"/>
  <c r="N51" i="1"/>
  <c r="N49" i="1" s="1"/>
  <c r="L51" i="1"/>
  <c r="W50" i="1"/>
  <c r="V50" i="1"/>
  <c r="U45" i="1"/>
  <c r="T45" i="1"/>
  <c r="S45" i="1"/>
  <c r="R45" i="1"/>
  <c r="Q45" i="1"/>
  <c r="P45" i="1"/>
  <c r="O45" i="1"/>
  <c r="N45" i="1"/>
  <c r="M45" i="1"/>
  <c r="L45" i="1"/>
  <c r="W39" i="1"/>
  <c r="V39" i="1"/>
  <c r="W38" i="1"/>
  <c r="V38" i="1"/>
  <c r="W37" i="1"/>
  <c r="V37" i="1"/>
  <c r="W36" i="1"/>
  <c r="V36" i="1"/>
  <c r="U35" i="1"/>
  <c r="T35" i="1"/>
  <c r="S35" i="1"/>
  <c r="R35" i="1"/>
  <c r="Q35" i="1"/>
  <c r="P35" i="1"/>
  <c r="O35" i="1"/>
  <c r="N35" i="1"/>
  <c r="M35" i="1"/>
  <c r="L35" i="1"/>
  <c r="U20" i="1"/>
  <c r="U19" i="1" s="1"/>
  <c r="T20" i="1"/>
  <c r="T19" i="1" s="1"/>
  <c r="S20" i="1"/>
  <c r="S19" i="1" s="1"/>
  <c r="R20" i="1"/>
  <c r="R19" i="1" s="1"/>
  <c r="Q20" i="1"/>
  <c r="Q19" i="1" s="1"/>
  <c r="P20" i="1"/>
  <c r="P19" i="1" s="1"/>
  <c r="O20" i="1"/>
  <c r="O19" i="1" s="1"/>
  <c r="N20" i="1"/>
  <c r="N19" i="1" s="1"/>
  <c r="M20" i="1"/>
  <c r="L20" i="1"/>
  <c r="L19" i="1" s="1"/>
  <c r="T218" i="1" l="1"/>
  <c r="T242" i="1" s="1"/>
  <c r="S242" i="1"/>
  <c r="Q146" i="1"/>
  <c r="W146" i="1" s="1"/>
  <c r="O163" i="1"/>
  <c r="O301" i="1" s="1"/>
  <c r="W177" i="1"/>
  <c r="V99" i="1"/>
  <c r="N92" i="1"/>
  <c r="R92" i="1"/>
  <c r="P218" i="1"/>
  <c r="P242" i="1" s="1"/>
  <c r="W87" i="1"/>
  <c r="N88" i="1"/>
  <c r="M88" i="1"/>
  <c r="Q88" i="1"/>
  <c r="W99" i="1"/>
  <c r="P135" i="1"/>
  <c r="R88" i="1"/>
  <c r="V88" i="1" s="1"/>
  <c r="N78" i="1"/>
  <c r="R136" i="1"/>
  <c r="S92" i="1"/>
  <c r="W89" i="1"/>
  <c r="P92" i="1"/>
  <c r="U136" i="1"/>
  <c r="V147" i="1"/>
  <c r="V149" i="1"/>
  <c r="T92" i="1"/>
  <c r="V121" i="1"/>
  <c r="W137" i="1"/>
  <c r="Q136" i="1"/>
  <c r="T146" i="1"/>
  <c r="N146" i="1"/>
  <c r="R146" i="1"/>
  <c r="M92" i="1"/>
  <c r="Q92" i="1"/>
  <c r="W106" i="1"/>
  <c r="W121" i="1"/>
  <c r="N136" i="1"/>
  <c r="V138" i="1"/>
  <c r="W139" i="1"/>
  <c r="V164" i="1"/>
  <c r="V140" i="1"/>
  <c r="W148" i="1"/>
  <c r="W164" i="1"/>
  <c r="V142" i="1"/>
  <c r="V144" i="1"/>
  <c r="V145" i="1"/>
  <c r="W140" i="1"/>
  <c r="V91" i="1"/>
  <c r="W81" i="1"/>
  <c r="R78" i="1"/>
  <c r="V90" i="1"/>
  <c r="M78" i="1"/>
  <c r="Q78" i="1"/>
  <c r="V174" i="1"/>
  <c r="U240" i="1"/>
  <c r="V251" i="1"/>
  <c r="M439" i="1"/>
  <c r="V51" i="1"/>
  <c r="V79" i="1"/>
  <c r="P78" i="1"/>
  <c r="T78" i="1"/>
  <c r="V81" i="1"/>
  <c r="W35" i="1"/>
  <c r="L34" i="1"/>
  <c r="L77" i="1" s="1"/>
  <c r="L156" i="1" s="1"/>
  <c r="L161" i="1" s="1"/>
  <c r="P34" i="1"/>
  <c r="T34" i="1"/>
  <c r="T77" i="1" s="1"/>
  <c r="L49" i="1"/>
  <c r="V49" i="1" s="1"/>
  <c r="W79" i="1"/>
  <c r="W142" i="1"/>
  <c r="N240" i="1"/>
  <c r="P240" i="1"/>
  <c r="T240" i="1"/>
  <c r="Q218" i="1"/>
  <c r="Q242" i="1" s="1"/>
  <c r="R240" i="1"/>
  <c r="W174" i="1"/>
  <c r="L218" i="1"/>
  <c r="L242" i="1" s="1"/>
  <c r="P239" i="1"/>
  <c r="T239" i="1"/>
  <c r="T243" i="1"/>
  <c r="V243" i="1" s="1"/>
  <c r="V440" i="1"/>
  <c r="V439" i="1" s="1"/>
  <c r="V93" i="1"/>
  <c r="W145" i="1"/>
  <c r="W147" i="1"/>
  <c r="U218" i="1"/>
  <c r="U242" i="1" s="1"/>
  <c r="U239" i="1"/>
  <c r="L250" i="1"/>
  <c r="P250" i="1"/>
  <c r="T250" i="1"/>
  <c r="V346" i="1"/>
  <c r="W93" i="1"/>
  <c r="W138" i="1"/>
  <c r="V143" i="1"/>
  <c r="V148" i="1"/>
  <c r="V225" i="1"/>
  <c r="N239" i="1"/>
  <c r="R239" i="1"/>
  <c r="W251" i="1"/>
  <c r="N439" i="1"/>
  <c r="R439" i="1"/>
  <c r="V139" i="1"/>
  <c r="V141" i="1"/>
  <c r="P163" i="1"/>
  <c r="P238" i="1" s="1"/>
  <c r="P246" i="1" s="1"/>
  <c r="T163" i="1"/>
  <c r="T238" i="1" s="1"/>
  <c r="T246" i="1" s="1"/>
  <c r="W201" i="1"/>
  <c r="W199" i="1" s="1"/>
  <c r="O243" i="1"/>
  <c r="S243" i="1"/>
  <c r="Q244" i="1"/>
  <c r="U244" i="1"/>
  <c r="V252" i="1"/>
  <c r="N34" i="1"/>
  <c r="N77" i="1" s="1"/>
  <c r="N105" i="1" s="1"/>
  <c r="N156" i="1" s="1"/>
  <c r="R34" i="1"/>
  <c r="R77" i="1" s="1"/>
  <c r="V35" i="1"/>
  <c r="V89" i="1"/>
  <c r="Q301" i="1"/>
  <c r="N301" i="1"/>
  <c r="R301" i="1"/>
  <c r="S301" i="1"/>
  <c r="U301" i="1"/>
  <c r="P77" i="1"/>
  <c r="P105" i="1" s="1"/>
  <c r="P156" i="1" s="1"/>
  <c r="L78" i="1"/>
  <c r="V80" i="1"/>
  <c r="V82" i="1"/>
  <c r="V84" i="1"/>
  <c r="V87" i="1"/>
  <c r="W80" i="1"/>
  <c r="W82" i="1"/>
  <c r="W84" i="1"/>
  <c r="W90" i="1"/>
  <c r="W363" i="1"/>
  <c r="V232" i="1"/>
  <c r="N218" i="1"/>
  <c r="R218" i="1"/>
  <c r="R242" i="1" s="1"/>
  <c r="L199" i="1"/>
  <c r="L163" i="1"/>
  <c r="L238" i="1" s="1"/>
  <c r="V92" i="1"/>
  <c r="O92" i="1"/>
  <c r="O114" i="1"/>
  <c r="U113" i="1"/>
  <c r="R105" i="1" l="1"/>
  <c r="R156" i="1" s="1"/>
  <c r="R246" i="1"/>
  <c r="W88" i="1"/>
  <c r="V135" i="1"/>
  <c r="T105" i="1"/>
  <c r="T156" i="1" s="1"/>
  <c r="W92" i="1"/>
  <c r="V78" i="1"/>
  <c r="V146" i="1"/>
  <c r="W136" i="1"/>
  <c r="N242" i="1"/>
  <c r="N246" i="1" s="1"/>
  <c r="N159" i="1"/>
  <c r="P157" i="1" s="1"/>
  <c r="P159" i="1" s="1"/>
  <c r="R157" i="1" s="1"/>
  <c r="R159" i="1" s="1"/>
  <c r="T157" i="1" s="1"/>
  <c r="T159" i="1" s="1"/>
  <c r="T301" i="1"/>
  <c r="P301" i="1"/>
  <c r="W78" i="1"/>
  <c r="L240" i="1"/>
  <c r="L239" i="1"/>
  <c r="L246" i="1" s="1"/>
  <c r="L301" i="1"/>
  <c r="V106" i="1"/>
  <c r="V107" i="1"/>
  <c r="U143" i="1"/>
  <c r="O144" i="1"/>
  <c r="T161" i="1" l="1"/>
  <c r="V246" i="1"/>
  <c r="R161" i="1"/>
  <c r="N161" i="1"/>
  <c r="P161" i="1"/>
  <c r="V137" i="1"/>
  <c r="V136" i="1"/>
  <c r="V369" i="1"/>
  <c r="V350" i="1"/>
  <c r="V343" i="1"/>
  <c r="V344" i="1"/>
  <c r="V345" i="1"/>
  <c r="V347" i="1"/>
  <c r="V348" i="1"/>
  <c r="V338" i="1"/>
  <c r="V339" i="1"/>
  <c r="V340" i="1"/>
  <c r="V341" i="1"/>
  <c r="V336" i="1"/>
  <c r="V337" i="1"/>
  <c r="V299" i="1"/>
  <c r="V289" i="1"/>
  <c r="V290" i="1"/>
  <c r="V291" i="1"/>
  <c r="V292" i="1"/>
  <c r="V293" i="1"/>
  <c r="V294" i="1"/>
  <c r="V295" i="1"/>
  <c r="V296" i="1"/>
  <c r="V297" i="1"/>
  <c r="V280" i="1"/>
  <c r="V281" i="1"/>
  <c r="V282" i="1"/>
  <c r="V283" i="1"/>
  <c r="V284" i="1"/>
  <c r="V285" i="1"/>
  <c r="V277" i="1"/>
  <c r="V267" i="1"/>
  <c r="V265" i="1"/>
  <c r="V261" i="1"/>
  <c r="V233" i="1"/>
  <c r="V237" i="1"/>
  <c r="V247" i="1"/>
  <c r="V248" i="1"/>
  <c r="V228" i="1"/>
  <c r="V236" i="1"/>
  <c r="V231" i="1" s="1"/>
  <c r="V235" i="1"/>
  <c r="V234" i="1"/>
  <c r="V230" i="1"/>
  <c r="V229" i="1"/>
  <c r="V223" i="1"/>
  <c r="V222" i="1"/>
  <c r="V221" i="1"/>
  <c r="V220" i="1"/>
  <c r="V217" i="1"/>
  <c r="V216" i="1"/>
  <c r="V215" i="1"/>
  <c r="V211" i="1"/>
  <c r="V209" i="1"/>
  <c r="V208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2" i="1"/>
  <c r="V171" i="1"/>
  <c r="V159" i="1"/>
  <c r="V158" i="1"/>
  <c r="V157" i="1"/>
  <c r="V40" i="1"/>
  <c r="V41" i="1"/>
  <c r="V42" i="1"/>
  <c r="V43" i="1"/>
  <c r="V44" i="1"/>
  <c r="V45" i="1"/>
  <c r="V46" i="1"/>
  <c r="V47" i="1"/>
  <c r="V48" i="1"/>
  <c r="V52" i="1"/>
  <c r="V53" i="1"/>
  <c r="V54" i="1"/>
  <c r="V55" i="1"/>
  <c r="V56" i="1"/>
  <c r="V57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4" i="1"/>
  <c r="V75" i="1"/>
  <c r="V76" i="1"/>
  <c r="V126" i="1"/>
  <c r="V127" i="1"/>
  <c r="V128" i="1"/>
  <c r="V129" i="1"/>
  <c r="V130" i="1"/>
  <c r="V131" i="1"/>
  <c r="V132" i="1"/>
  <c r="V133" i="1"/>
  <c r="V134" i="1"/>
  <c r="V151" i="1"/>
  <c r="V152" i="1"/>
  <c r="V153" i="1"/>
  <c r="V154" i="1"/>
  <c r="V28" i="1"/>
  <c r="V29" i="1"/>
  <c r="V30" i="1"/>
  <c r="V31" i="1"/>
  <c r="V32" i="1"/>
  <c r="V33" i="1"/>
  <c r="V26" i="1"/>
  <c r="V27" i="1"/>
  <c r="V25" i="1"/>
  <c r="W338" i="1"/>
  <c r="V163" i="1" l="1"/>
  <c r="V238" i="1" s="1"/>
  <c r="V58" i="1"/>
  <c r="V207" i="1"/>
  <c r="V206" i="1" s="1"/>
  <c r="V73" i="1"/>
  <c r="V250" i="1"/>
  <c r="V309" i="1"/>
  <c r="V85" i="1"/>
  <c r="V307" i="1"/>
  <c r="V19" i="1"/>
  <c r="V310" i="1"/>
  <c r="V86" i="1"/>
  <c r="V218" i="1"/>
  <c r="V242" i="1" s="1"/>
  <c r="V150" i="1"/>
  <c r="V120" i="1"/>
  <c r="V34" i="1"/>
  <c r="V279" i="1"/>
  <c r="V240" i="1" l="1"/>
  <c r="V239" i="1"/>
  <c r="V301" i="1"/>
  <c r="V77" i="1"/>
  <c r="M402" i="1"/>
  <c r="M423" i="1"/>
  <c r="V83" i="1" l="1"/>
  <c r="V105" i="1"/>
  <c r="M285" i="1"/>
  <c r="M295" i="1"/>
  <c r="M299" i="1"/>
  <c r="M277" i="1"/>
  <c r="W120" i="1"/>
  <c r="V156" i="1" l="1"/>
  <c r="V161" i="1" s="1"/>
  <c r="Q344" i="1"/>
  <c r="Q339" i="1"/>
  <c r="O344" i="1" l="1"/>
  <c r="O339" i="1"/>
  <c r="O72" i="1" l="1"/>
  <c r="M237" i="1"/>
  <c r="M234" i="1"/>
  <c r="M233" i="1"/>
  <c r="M222" i="1"/>
  <c r="M220" i="1" s="1"/>
  <c r="M230" i="1"/>
  <c r="M244" i="1" s="1"/>
  <c r="W244" i="1" s="1"/>
  <c r="M229" i="1"/>
  <c r="M228" i="1"/>
  <c r="M211" i="1"/>
  <c r="M208" i="1"/>
  <c r="M209" i="1"/>
  <c r="M197" i="1"/>
  <c r="M196" i="1"/>
  <c r="M194" i="1"/>
  <c r="M193" i="1"/>
  <c r="M192" i="1"/>
  <c r="M191" i="1"/>
  <c r="M190" i="1"/>
  <c r="M188" i="1"/>
  <c r="M186" i="1"/>
  <c r="M185" i="1"/>
  <c r="M180" i="1"/>
  <c r="M172" i="1"/>
  <c r="M171" i="1"/>
  <c r="M297" i="1"/>
  <c r="M293" i="1"/>
  <c r="M289" i="1"/>
  <c r="M282" i="1"/>
  <c r="M267" i="1"/>
  <c r="M265" i="1"/>
  <c r="M261" i="1"/>
  <c r="M159" i="1"/>
  <c r="O157" i="1" s="1"/>
  <c r="O159" i="1" s="1"/>
  <c r="Q157" i="1" s="1"/>
  <c r="Q159" i="1" s="1"/>
  <c r="S157" i="1" s="1"/>
  <c r="S159" i="1" s="1"/>
  <c r="U157" i="1" s="1"/>
  <c r="U159" i="1" s="1"/>
  <c r="M158" i="1"/>
  <c r="M157" i="1"/>
  <c r="M56" i="1"/>
  <c r="M72" i="1"/>
  <c r="M71" i="1"/>
  <c r="M67" i="1"/>
  <c r="M54" i="1"/>
  <c r="M53" i="1"/>
  <c r="M74" i="1"/>
  <c r="K40" i="1"/>
  <c r="K71" i="1"/>
  <c r="K72" i="1"/>
  <c r="K65" i="1"/>
  <c r="K56" i="1"/>
  <c r="K54" i="1"/>
  <c r="K53" i="1"/>
  <c r="K48" i="1"/>
  <c r="M48" i="1"/>
  <c r="M91" i="1" s="1"/>
  <c r="M119" i="1" s="1"/>
  <c r="M149" i="1" s="1"/>
  <c r="M43" i="1"/>
  <c r="K43" i="1"/>
  <c r="K42" i="1"/>
  <c r="M86" i="1"/>
  <c r="M114" i="1" s="1"/>
  <c r="M144" i="1" s="1"/>
  <c r="M232" i="1" l="1"/>
  <c r="M207" i="1"/>
  <c r="M250" i="1"/>
  <c r="W86" i="1"/>
  <c r="M309" i="1"/>
  <c r="M163" i="1"/>
  <c r="W232" i="1"/>
  <c r="M231" i="1"/>
  <c r="M307" i="1"/>
  <c r="M19" i="1"/>
  <c r="M310" i="1"/>
  <c r="M206" i="1"/>
  <c r="W91" i="1"/>
  <c r="M243" i="1"/>
  <c r="W243" i="1" s="1"/>
  <c r="M218" i="1"/>
  <c r="K34" i="1"/>
  <c r="K346" i="1"/>
  <c r="M198" i="1"/>
  <c r="M181" i="1" s="1"/>
  <c r="K73" i="1"/>
  <c r="K33" i="1"/>
  <c r="K28" i="1"/>
  <c r="K27" i="1"/>
  <c r="K25" i="1"/>
  <c r="K336" i="1"/>
  <c r="J346" i="1"/>
  <c r="I346" i="1"/>
  <c r="K345" i="1"/>
  <c r="K341" i="1"/>
  <c r="K340" i="1"/>
  <c r="M242" i="1" l="1"/>
  <c r="W119" i="1"/>
  <c r="W149" i="1"/>
  <c r="M238" i="1"/>
  <c r="M301" i="1"/>
  <c r="W144" i="1"/>
  <c r="W114" i="1"/>
  <c r="M239" i="1"/>
  <c r="M240" i="1"/>
  <c r="M431" i="1"/>
  <c r="V383" i="1"/>
  <c r="V380" i="1" s="1"/>
  <c r="V371" i="1" s="1"/>
  <c r="V402" i="1"/>
  <c r="V396" i="1" s="1"/>
  <c r="V395" i="1" s="1"/>
  <c r="M246" i="1" l="1"/>
  <c r="M279" i="1"/>
  <c r="K181" i="1" l="1"/>
  <c r="J181" i="1"/>
  <c r="J183" i="1"/>
  <c r="K183" i="1"/>
  <c r="M183" i="1"/>
  <c r="I183" i="1"/>
  <c r="K371" i="1" l="1"/>
  <c r="K370" i="1" s="1"/>
  <c r="K427" i="1"/>
  <c r="K369" i="1" l="1"/>
  <c r="W337" i="1" l="1"/>
  <c r="W339" i="1"/>
  <c r="W340" i="1"/>
  <c r="W341" i="1"/>
  <c r="W342" i="1"/>
  <c r="W343" i="1"/>
  <c r="W344" i="1"/>
  <c r="W345" i="1"/>
  <c r="W347" i="1"/>
  <c r="W348" i="1"/>
  <c r="W349" i="1"/>
  <c r="W336" i="1"/>
  <c r="W241" i="1"/>
  <c r="W247" i="1"/>
  <c r="W248" i="1"/>
  <c r="W249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233" i="1"/>
  <c r="W234" i="1"/>
  <c r="W235" i="1"/>
  <c r="W236" i="1"/>
  <c r="W237" i="1"/>
  <c r="W217" i="1"/>
  <c r="W221" i="1"/>
  <c r="W222" i="1"/>
  <c r="W223" i="1"/>
  <c r="W224" i="1"/>
  <c r="W225" i="1"/>
  <c r="W226" i="1"/>
  <c r="W227" i="1"/>
  <c r="W228" i="1"/>
  <c r="W229" i="1"/>
  <c r="W230" i="1"/>
  <c r="W189" i="1"/>
  <c r="W190" i="1"/>
  <c r="W191" i="1"/>
  <c r="W192" i="1"/>
  <c r="W193" i="1"/>
  <c r="W194" i="1"/>
  <c r="W195" i="1"/>
  <c r="W196" i="1"/>
  <c r="W197" i="1"/>
  <c r="W198" i="1"/>
  <c r="W209" i="1"/>
  <c r="W210" i="1"/>
  <c r="W211" i="1"/>
  <c r="W212" i="1"/>
  <c r="W213" i="1"/>
  <c r="W214" i="1"/>
  <c r="W215" i="1"/>
  <c r="W216" i="1"/>
  <c r="W188" i="1"/>
  <c r="W171" i="1"/>
  <c r="W172" i="1"/>
  <c r="W180" i="1"/>
  <c r="W182" i="1"/>
  <c r="W184" i="1"/>
  <c r="W74" i="1"/>
  <c r="W75" i="1"/>
  <c r="W126" i="1"/>
  <c r="W127" i="1"/>
  <c r="W128" i="1"/>
  <c r="W129" i="1"/>
  <c r="W130" i="1"/>
  <c r="W131" i="1"/>
  <c r="W132" i="1"/>
  <c r="W133" i="1"/>
  <c r="W134" i="1"/>
  <c r="W151" i="1"/>
  <c r="W153" i="1"/>
  <c r="W154" i="1"/>
  <c r="W155" i="1"/>
  <c r="W157" i="1"/>
  <c r="W158" i="1"/>
  <c r="W159" i="1"/>
  <c r="W20" i="1"/>
  <c r="W21" i="1"/>
  <c r="W22" i="1"/>
  <c r="W23" i="1"/>
  <c r="W24" i="1"/>
  <c r="W25" i="1"/>
  <c r="W307" i="1" s="1"/>
  <c r="W26" i="1"/>
  <c r="W27" i="1"/>
  <c r="W28" i="1"/>
  <c r="W29" i="1"/>
  <c r="W30" i="1"/>
  <c r="W31" i="1"/>
  <c r="W32" i="1"/>
  <c r="W41" i="1"/>
  <c r="W43" i="1"/>
  <c r="W44" i="1"/>
  <c r="W45" i="1"/>
  <c r="W46" i="1"/>
  <c r="W47" i="1"/>
  <c r="W48" i="1"/>
  <c r="W54" i="1"/>
  <c r="W55" i="1"/>
  <c r="W59" i="1"/>
  <c r="W61" i="1"/>
  <c r="W62" i="1"/>
  <c r="W63" i="1"/>
  <c r="W68" i="1"/>
  <c r="W70" i="1"/>
  <c r="W310" i="1" l="1"/>
  <c r="W309" i="1"/>
  <c r="W163" i="1"/>
  <c r="W250" i="1"/>
  <c r="W231" i="1"/>
  <c r="W279" i="1"/>
  <c r="O16" i="1"/>
  <c r="P16" i="1" s="1"/>
  <c r="Q16" i="1" s="1"/>
  <c r="R16" i="1" s="1"/>
  <c r="S16" i="1" s="1"/>
  <c r="T16" i="1" s="1"/>
  <c r="U16" i="1" s="1"/>
  <c r="V16" i="1" s="1"/>
  <c r="W16" i="1" s="1"/>
  <c r="W372" i="1" l="1"/>
  <c r="W373" i="1"/>
  <c r="W374" i="1"/>
  <c r="W375" i="1"/>
  <c r="W376" i="1"/>
  <c r="W377" i="1"/>
  <c r="W378" i="1"/>
  <c r="W379" i="1"/>
  <c r="W381" i="1"/>
  <c r="W382" i="1"/>
  <c r="W384" i="1"/>
  <c r="W385" i="1"/>
  <c r="W386" i="1"/>
  <c r="W387" i="1"/>
  <c r="W388" i="1"/>
  <c r="W389" i="1"/>
  <c r="W390" i="1"/>
  <c r="W391" i="1"/>
  <c r="W392" i="1"/>
  <c r="W393" i="1"/>
  <c r="W394" i="1"/>
  <c r="W397" i="1"/>
  <c r="W398" i="1"/>
  <c r="W399" i="1"/>
  <c r="W400" i="1"/>
  <c r="W401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4" i="1"/>
  <c r="W425" i="1"/>
  <c r="W426" i="1"/>
  <c r="W428" i="1"/>
  <c r="W429" i="1"/>
  <c r="W430" i="1"/>
  <c r="W431" i="1"/>
  <c r="W432" i="1"/>
  <c r="W433" i="1"/>
  <c r="W434" i="1"/>
  <c r="W435" i="1"/>
  <c r="W436" i="1"/>
  <c r="W437" i="1"/>
  <c r="W438" i="1"/>
  <c r="M427" i="1"/>
  <c r="W427" i="1" s="1"/>
  <c r="K19" i="1" l="1"/>
  <c r="K141" i="1" l="1"/>
  <c r="K238" i="1"/>
  <c r="K244" i="1"/>
  <c r="K243" i="1"/>
  <c r="K242" i="1"/>
  <c r="K240" i="1"/>
  <c r="K239" i="1"/>
  <c r="K246" i="1" l="1"/>
  <c r="J279" i="1"/>
  <c r="J250" i="1"/>
  <c r="J244" i="1"/>
  <c r="I244" i="1"/>
  <c r="J207" i="1"/>
  <c r="J240" i="1" s="1"/>
  <c r="I207" i="1"/>
  <c r="I240" i="1" s="1"/>
  <c r="I181" i="1"/>
  <c r="J163" i="1"/>
  <c r="I163" i="1"/>
  <c r="J220" i="1"/>
  <c r="I220" i="1"/>
  <c r="J232" i="1"/>
  <c r="J231" i="1" s="1"/>
  <c r="I232" i="1"/>
  <c r="I231" i="1" s="1"/>
  <c r="O350" i="1"/>
  <c r="Q350" i="1"/>
  <c r="S350" i="1"/>
  <c r="U350" i="1"/>
  <c r="J350" i="1"/>
  <c r="J120" i="1"/>
  <c r="J93" i="1"/>
  <c r="J86" i="1"/>
  <c r="J114" i="1" s="1"/>
  <c r="J144" i="1" s="1"/>
  <c r="J85" i="1"/>
  <c r="J113" i="1" s="1"/>
  <c r="J143" i="1" s="1"/>
  <c r="J348" i="1"/>
  <c r="J343" i="1"/>
  <c r="J344" i="1" s="1"/>
  <c r="J340" i="1"/>
  <c r="J338" i="1"/>
  <c r="J336" i="1" s="1"/>
  <c r="I350" i="1"/>
  <c r="I343" i="1"/>
  <c r="I344" i="1" s="1"/>
  <c r="I340" i="1"/>
  <c r="I338" i="1"/>
  <c r="I339" i="1" s="1"/>
  <c r="I336" i="1" s="1"/>
  <c r="J99" i="1"/>
  <c r="J73" i="1"/>
  <c r="J69" i="1"/>
  <c r="O69" i="1"/>
  <c r="Q69" i="1"/>
  <c r="S69" i="1"/>
  <c r="U69" i="1"/>
  <c r="J52" i="1"/>
  <c r="J51" i="1" s="1"/>
  <c r="M52" i="1"/>
  <c r="M51" i="1" s="1"/>
  <c r="Q52" i="1"/>
  <c r="Q51" i="1" s="1"/>
  <c r="Q49" i="1" s="1"/>
  <c r="S52" i="1"/>
  <c r="S51" i="1" s="1"/>
  <c r="S49" i="1" s="1"/>
  <c r="U52" i="1"/>
  <c r="U51" i="1" s="1"/>
  <c r="U49" i="1" s="1"/>
  <c r="J66" i="1"/>
  <c r="I120" i="1"/>
  <c r="I99" i="1"/>
  <c r="I93" i="1"/>
  <c r="I91" i="1"/>
  <c r="I86" i="1"/>
  <c r="I114" i="1" s="1"/>
  <c r="I144" i="1" s="1"/>
  <c r="I85" i="1"/>
  <c r="I113" i="1" s="1"/>
  <c r="I143" i="1" s="1"/>
  <c r="I83" i="1"/>
  <c r="I111" i="1" s="1"/>
  <c r="I141" i="1" s="1"/>
  <c r="I73" i="1"/>
  <c r="I69" i="1"/>
  <c r="I66" i="1"/>
  <c r="I52" i="1"/>
  <c r="I51" i="1" s="1"/>
  <c r="I49" i="1" s="1"/>
  <c r="J19" i="1"/>
  <c r="I19" i="1"/>
  <c r="I77" i="1" s="1"/>
  <c r="U183" i="1" l="1"/>
  <c r="U181" i="1"/>
  <c r="U238" i="1" s="1"/>
  <c r="U246" i="1" s="1"/>
  <c r="S181" i="1"/>
  <c r="S238" i="1" s="1"/>
  <c r="S183" i="1"/>
  <c r="Q183" i="1"/>
  <c r="Q181" i="1"/>
  <c r="Q238" i="1" s="1"/>
  <c r="O181" i="1"/>
  <c r="O238" i="1" s="1"/>
  <c r="O183" i="1"/>
  <c r="W350" i="1"/>
  <c r="W220" i="1"/>
  <c r="W218" i="1" s="1"/>
  <c r="W242" i="1" s="1"/>
  <c r="J238" i="1"/>
  <c r="I92" i="1"/>
  <c r="I119" i="1"/>
  <c r="I105" i="1" s="1"/>
  <c r="I156" i="1" s="1"/>
  <c r="I161" i="1" s="1"/>
  <c r="I206" i="1"/>
  <c r="I239" i="1" s="1"/>
  <c r="I238" i="1"/>
  <c r="J206" i="1"/>
  <c r="J239" i="1" s="1"/>
  <c r="I243" i="1"/>
  <c r="J92" i="1"/>
  <c r="J243" i="1"/>
  <c r="J49" i="1"/>
  <c r="J34" i="1" s="1"/>
  <c r="J77" i="1" s="1"/>
  <c r="I218" i="1"/>
  <c r="I242" i="1" s="1"/>
  <c r="J218" i="1"/>
  <c r="J242" i="1" s="1"/>
  <c r="I135" i="1"/>
  <c r="J83" i="1" l="1"/>
  <c r="J105" i="1"/>
  <c r="J111" i="1" s="1"/>
  <c r="I246" i="1"/>
  <c r="J246" i="1"/>
  <c r="J156" i="1" l="1"/>
  <c r="J161" i="1" s="1"/>
  <c r="J141" i="1"/>
  <c r="J135" i="1" s="1"/>
  <c r="W423" i="1" l="1"/>
  <c r="S383" i="1"/>
  <c r="S380" i="1" s="1"/>
  <c r="S371" i="1" s="1"/>
  <c r="U383" i="1"/>
  <c r="U380" i="1" s="1"/>
  <c r="U371" i="1" s="1"/>
  <c r="Q383" i="1" l="1"/>
  <c r="Q380" i="1" s="1"/>
  <c r="Q371" i="1" s="1"/>
  <c r="O383" i="1" l="1"/>
  <c r="O380" i="1" s="1"/>
  <c r="O371" i="1" s="1"/>
  <c r="M383" i="1" l="1"/>
  <c r="M396" i="1" l="1"/>
  <c r="M380" i="1"/>
  <c r="W383" i="1"/>
  <c r="M371" i="1" l="1"/>
  <c r="W380" i="1"/>
  <c r="W371" i="1" s="1"/>
  <c r="M395" i="1"/>
  <c r="M370" i="1" l="1"/>
  <c r="M369" i="1" s="1"/>
  <c r="W72" i="1" l="1"/>
  <c r="W67" i="1" l="1"/>
  <c r="M66" i="1"/>
  <c r="W66" i="1" s="1"/>
  <c r="W71" i="1"/>
  <c r="M69" i="1"/>
  <c r="W69" i="1" s="1"/>
  <c r="W56" i="1" l="1"/>
  <c r="K52" i="1" l="1"/>
  <c r="K51" i="1" s="1"/>
  <c r="K49" i="1" s="1"/>
  <c r="K69" i="1"/>
  <c r="K350" i="1" l="1"/>
  <c r="K77" i="1"/>
  <c r="K105" i="1" s="1"/>
  <c r="K156" i="1" s="1"/>
  <c r="K161" i="1" s="1"/>
  <c r="K58" i="1" l="1"/>
  <c r="W53" i="1" l="1"/>
  <c r="O52" i="1"/>
  <c r="O51" i="1" s="1"/>
  <c r="O49" i="1" l="1"/>
  <c r="W51" i="1"/>
  <c r="W52" i="1"/>
  <c r="W33" i="1" l="1"/>
  <c r="W19" i="1" s="1"/>
  <c r="W301" i="1" l="1"/>
  <c r="M57" i="1" l="1"/>
  <c r="M49" i="1" s="1"/>
  <c r="W49" i="1" s="1"/>
  <c r="W57" i="1" l="1"/>
  <c r="K67" i="1" l="1"/>
  <c r="K66" i="1" s="1"/>
  <c r="M65" i="1"/>
  <c r="W65" i="1" s="1"/>
  <c r="K64" i="1" l="1"/>
  <c r="M64" i="1"/>
  <c r="M60" i="1" l="1"/>
  <c r="M58" i="1" s="1"/>
  <c r="W64" i="1"/>
  <c r="M42" i="1"/>
  <c r="M85" i="1" s="1"/>
  <c r="M113" i="1" s="1"/>
  <c r="M143" i="1" s="1"/>
  <c r="M76" i="1"/>
  <c r="M73" i="1" s="1"/>
  <c r="W85" i="1" l="1"/>
  <c r="M40" i="1"/>
  <c r="M83" i="1" s="1"/>
  <c r="M111" i="1" s="1"/>
  <c r="M141" i="1" s="1"/>
  <c r="M135" i="1" s="1"/>
  <c r="M152" i="1" s="1"/>
  <c r="M150" i="1" s="1"/>
  <c r="W42" i="1"/>
  <c r="W60" i="1"/>
  <c r="W58" i="1" s="1"/>
  <c r="W76" i="1"/>
  <c r="W73" i="1" s="1"/>
  <c r="M34" i="1" l="1"/>
  <c r="M77" i="1" s="1"/>
  <c r="M346" i="1"/>
  <c r="W346" i="1" s="1"/>
  <c r="W143" i="1"/>
  <c r="W113" i="1"/>
  <c r="M105" i="1" l="1"/>
  <c r="M156" i="1" s="1"/>
  <c r="M161" i="1" s="1"/>
  <c r="W83" i="1"/>
  <c r="S402" i="1" l="1"/>
  <c r="S396" i="1" s="1"/>
  <c r="S395" i="1" s="1"/>
  <c r="S208" i="1" l="1"/>
  <c r="S207" i="1" s="1"/>
  <c r="S206" i="1" s="1"/>
  <c r="S370" i="1"/>
  <c r="S369" i="1"/>
  <c r="U402" i="1"/>
  <c r="U396" i="1" s="1"/>
  <c r="U395" i="1" s="1"/>
  <c r="S240" i="1" l="1"/>
  <c r="S239" i="1"/>
  <c r="S246" i="1" s="1"/>
  <c r="O402" i="1"/>
  <c r="U370" i="1"/>
  <c r="U369" i="1"/>
  <c r="O396" i="1" l="1"/>
  <c r="O395" i="1" l="1"/>
  <c r="Q402" i="1"/>
  <c r="Q396" i="1" l="1"/>
  <c r="W402" i="1"/>
  <c r="O208" i="1"/>
  <c r="O207" i="1" s="1"/>
  <c r="O370" i="1"/>
  <c r="O206" i="1" l="1"/>
  <c r="O369" i="1"/>
  <c r="Q395" i="1"/>
  <c r="W396" i="1"/>
  <c r="O240" i="1" l="1"/>
  <c r="O239" i="1"/>
  <c r="O246" i="1" s="1"/>
  <c r="Q208" i="1"/>
  <c r="Q207" i="1" s="1"/>
  <c r="Q369" i="1"/>
  <c r="W369" i="1" s="1"/>
  <c r="Q370" i="1"/>
  <c r="W370" i="1" s="1"/>
  <c r="W395" i="1"/>
  <c r="Q206" i="1" l="1"/>
  <c r="W207" i="1"/>
  <c r="W206" i="1" s="1"/>
  <c r="W208" i="1"/>
  <c r="W240" i="1" l="1"/>
  <c r="W239" i="1"/>
  <c r="Q239" i="1"/>
  <c r="Q246" i="1" s="1"/>
  <c r="W246" i="1" s="1"/>
  <c r="Q240" i="1"/>
  <c r="O34" i="1"/>
  <c r="O77" i="1" s="1"/>
  <c r="O105" i="1" s="1"/>
  <c r="O156" i="1" l="1"/>
  <c r="O161" i="1" s="1"/>
  <c r="O111" i="1"/>
  <c r="O141" i="1" l="1"/>
  <c r="S34" i="1"/>
  <c r="S77" i="1" s="1"/>
  <c r="S105" i="1" s="1"/>
  <c r="S156" i="1" l="1"/>
  <c r="S161" i="1" s="1"/>
  <c r="S111" i="1"/>
  <c r="S141" i="1" s="1"/>
  <c r="S135" i="1" s="1"/>
  <c r="S152" i="1" s="1"/>
  <c r="S150" i="1" s="1"/>
  <c r="O135" i="1"/>
  <c r="Q34" i="1"/>
  <c r="Q77" i="1" s="1"/>
  <c r="Q105" i="1" s="1"/>
  <c r="O152" i="1" l="1"/>
  <c r="O150" i="1" s="1"/>
  <c r="Q156" i="1"/>
  <c r="Q161" i="1" s="1"/>
  <c r="Q111" i="1"/>
  <c r="Q141" i="1" l="1"/>
  <c r="W40" i="1"/>
  <c r="W185" i="1" s="1"/>
  <c r="U34" i="1"/>
  <c r="U77" i="1" s="1"/>
  <c r="U105" i="1" s="1"/>
  <c r="W34" i="1" l="1"/>
  <c r="W77" i="1" s="1"/>
  <c r="W105" i="1" s="1"/>
  <c r="W156" i="1" s="1"/>
  <c r="W161" i="1" s="1"/>
  <c r="U156" i="1"/>
  <c r="U161" i="1" s="1"/>
  <c r="U111" i="1"/>
  <c r="Q135" i="1"/>
  <c r="W181" i="1"/>
  <c r="W238" i="1" s="1"/>
  <c r="W183" i="1"/>
  <c r="U141" i="1" l="1"/>
  <c r="W111" i="1"/>
  <c r="Q152" i="1"/>
  <c r="Q150" i="1" s="1"/>
  <c r="U135" i="1" l="1"/>
  <c r="W135" i="1" s="1"/>
  <c r="W141" i="1"/>
  <c r="U152" i="1" l="1"/>
  <c r="U150" i="1" s="1"/>
  <c r="W152" i="1"/>
  <c r="W150" i="1" l="1"/>
</calcChain>
</file>

<file path=xl/sharedStrings.xml><?xml version="1.0" encoding="utf-8"?>
<sst xmlns="http://schemas.openxmlformats.org/spreadsheetml/2006/main" count="1342" uniqueCount="696">
  <si>
    <t>Приложение № 1</t>
  </si>
  <si>
    <t>Ед. изм.</t>
  </si>
  <si>
    <t>Факт</t>
  </si>
  <si>
    <t>Прогноз (Факт)</t>
  </si>
  <si>
    <t>План (Утвержденный план)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</si>
  <si>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</si>
  <si>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</si>
  <si>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</si>
  <si>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</si>
  <si>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</si>
  <si>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</si>
  <si>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</si>
  <si>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</si>
  <si>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</si>
  <si>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</si>
  <si>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</si>
  <si>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</si>
  <si>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</si>
  <si>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</si>
  <si>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</si>
  <si>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</si>
  <si>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</si>
  <si>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</si>
  <si>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</si>
  <si>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</si>
  <si>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</si>
  <si>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</si>
  <si>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</si>
  <si>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</si>
  <si>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</si>
  <si>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</si>
  <si>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</si>
  <si>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</si>
  <si>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</si>
  <si>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</si>
  <si>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</si>
  <si>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</si>
  <si>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</si>
  <si>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</si>
  <si>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</si>
  <si>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</si>
  <si>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</si>
  <si>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</si>
  <si>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</si>
  <si>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</si>
  <si>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</si>
  <si>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</si>
  <si>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</si>
  <si>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</si>
  <si>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</si>
  <si>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</si>
  <si>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</si>
  <si>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</si>
  <si>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</si>
  <si>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</si>
  <si>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</si>
  <si>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</si>
  <si>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</si>
  <si>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</si>
  <si>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</si>
  <si>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</si>
  <si>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</si>
  <si>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</si>
  <si>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</si>
  <si>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</si>
  <si>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</si>
  <si>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</si>
  <si>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</si>
  <si>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</si>
  <si>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</si>
  <si>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</si>
  <si>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</si>
  <si>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</si>
  <si>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</si>
  <si>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</si>
  <si>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</si>
  <si>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</si>
  <si>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</si>
  <si>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</si>
  <si>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</si>
  <si>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</si>
  <si>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</si>
  <si>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</si>
  <si>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</si>
  <si>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</si>
  <si>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</si>
  <si>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</si>
  <si>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</si>
  <si>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</si>
  <si>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</si>
  <si>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</si>
  <si>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</si>
  <si>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</si>
  <si>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</si>
  <si>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</si>
  <si>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</si>
  <si>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</si>
  <si>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</si>
  <si>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</si>
  <si>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</si>
  <si>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</si>
  <si>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</si>
  <si>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</si>
  <si>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</si>
  <si>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</si>
  <si>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</si>
  <si>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</si>
  <si>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</si>
  <si>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</si>
  <si>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</si>
  <si>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</si>
  <si>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</si>
  <si>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</si>
  <si>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</si>
  <si>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</si>
  <si>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</si>
  <si>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</si>
  <si>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</si>
  <si>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</si>
  <si>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</si>
  <si>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</si>
  <si>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</si>
  <si>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</si>
  <si>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</si>
  <si>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</si>
  <si>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</si>
  <si>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</si>
  <si>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</si>
  <si>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</si>
  <si>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</si>
  <si>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</si>
  <si>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</si>
  <si>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</si>
  <si>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</si>
  <si>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</si>
  <si>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</si>
  <si>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</si>
  <si>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</si>
  <si>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</si>
  <si>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</si>
  <si>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</si>
  <si>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</si>
  <si>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</si>
  <si>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</si>
  <si>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</si>
  <si>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</si>
  <si>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</si>
  <si>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</si>
  <si>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</si>
  <si>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</si>
  <si>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</si>
  <si>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</si>
  <si>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</si>
  <si>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</si>
  <si>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</si>
  <si>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</si>
  <si>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</si>
  <si>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</si>
  <si>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</si>
  <si>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</si>
  <si>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</si>
  <si>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</si>
  <si>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</si>
  <si>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</si>
  <si>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</si>
  <si>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</si>
  <si>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</si>
  <si>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</si>
  <si>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</si>
  <si>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</si>
  <si>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</si>
  <si>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</si>
  <si>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</si>
  <si>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</si>
  <si>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</si>
  <si>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</si>
  <si>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</si>
  <si>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</si>
  <si>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</si>
  <si>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</si>
  <si>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</si>
  <si>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</si>
  <si>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</si>
  <si>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</si>
  <si>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</si>
  <si>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</si>
  <si>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</si>
  <si>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</si>
  <si>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</si>
  <si>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</si>
  <si>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</si>
  <si>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</si>
  <si>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</si>
  <si>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</si>
  <si>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</si>
  <si>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</si>
  <si>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</si>
  <si>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</si>
  <si>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</si>
  <si>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</si>
  <si>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</si>
  <si>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</si>
  <si>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</si>
  <si>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</si>
  <si>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</si>
  <si>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</si>
  <si>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</si>
  <si>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</si>
  <si>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</si>
  <si>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</si>
  <si>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</si>
  <si>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</si>
  <si>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</si>
  <si>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</si>
  <si>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</si>
  <si>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</si>
  <si>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</si>
  <si>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</si>
  <si>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</si>
  <si>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</si>
  <si>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</si>
  <si>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</si>
  <si>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</si>
  <si>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</si>
  <si>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</si>
  <si>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</si>
  <si>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</si>
  <si>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</si>
  <si>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</si>
  <si>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</si>
  <si>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</si>
  <si>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</si>
  <si>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</si>
  <si>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</si>
  <si>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</si>
  <si>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</si>
  <si>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</si>
  <si>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</si>
  <si>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</si>
  <si>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</si>
  <si>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</si>
  <si>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</si>
  <si>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</si>
  <si>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</si>
  <si>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</si>
  <si>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</si>
  <si>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</si>
  <si>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</si>
  <si>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</si>
  <si>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</si>
  <si>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</si>
  <si>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</si>
  <si>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</si>
  <si>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</si>
  <si>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</si>
  <si>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</si>
  <si>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</si>
  <si>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</si>
  <si>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</si>
  <si>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</si>
  <si>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</si>
  <si>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</si>
  <si>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</si>
  <si>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</si>
  <si>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</si>
  <si>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</si>
  <si>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</si>
  <si>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</si>
  <si>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</si>
  <si>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</si>
  <si>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</si>
  <si>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</si>
  <si>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</si>
  <si>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</si>
  <si>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</si>
  <si>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</si>
  <si>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</si>
  <si>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</si>
  <si>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</si>
  <si>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</si>
  <si>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</si>
  <si>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</si>
  <si>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</si>
  <si>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</si>
  <si>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</si>
  <si>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</si>
  <si>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</si>
  <si>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</si>
  <si>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</si>
  <si>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</si>
  <si>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</si>
  <si>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</si>
  <si>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</si>
  <si>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</si>
  <si>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</si>
  <si>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</si>
  <si>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</si>
  <si>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</si>
  <si>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</si>
  <si>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</si>
  <si>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</si>
  <si>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</si>
  <si>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</si>
  <si>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</si>
  <si>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</si>
  <si>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</si>
  <si>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</si>
  <si>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</si>
  <si>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</si>
  <si>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</si>
  <si>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</si>
  <si>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</si>
  <si>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</si>
  <si>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</si>
  <si>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</si>
  <si>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</si>
  <si>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</si>
  <si>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</si>
  <si>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</si>
  <si>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</si>
  <si>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</si>
  <si>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</si>
  <si>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</si>
  <si>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</si>
  <si>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</si>
  <si>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</si>
  <si>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</si>
  <si>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</si>
  <si>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</si>
  <si>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</si>
  <si>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</si>
  <si>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</si>
  <si>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</si>
  <si>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</si>
  <si>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</si>
  <si>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</si>
  <si>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</si>
  <si>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</si>
  <si>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</si>
  <si>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</si>
  <si>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</si>
  <si>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</si>
  <si>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</si>
  <si>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</si>
  <si>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</si>
  <si>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</si>
  <si>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</si>
  <si>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</si>
  <si>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</si>
  <si>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</si>
  <si>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</si>
  <si>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</si>
  <si>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</si>
  <si>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</si>
  <si>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</si>
  <si>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</si>
  <si>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</si>
  <si>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</si>
  <si>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</si>
  <si>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</si>
  <si>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</si>
  <si>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</si>
  <si>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</si>
  <si>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</si>
  <si>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</si>
  <si>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</si>
  <si>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</si>
  <si>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</si>
  <si>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</si>
  <si>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</si>
  <si>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</si>
  <si>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</si>
  <si>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</si>
  <si>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</si>
  <si>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</si>
  <si>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</si>
  <si>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</si>
  <si>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</si>
  <si>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</si>
  <si>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</si>
  <si>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</si>
  <si>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</si>
  <si>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</si>
  <si>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</si>
  <si>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</si>
  <si>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</si>
  <si>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</si>
  <si>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</si>
  <si>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</si>
  <si>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</si>
  <si>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</si>
  <si>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</si>
  <si>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</si>
  <si>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</si>
  <si>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</si>
  <si>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</si>
  <si>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</si>
  <si>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</si>
  <si>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</si>
  <si>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</si>
  <si>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</si>
  <si>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</si>
  <si>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</si>
  <si>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</si>
  <si>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</si>
  <si>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</si>
  <si>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</si>
  <si>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</si>
  <si>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</si>
  <si>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</si>
  <si>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</si>
  <si>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</si>
  <si>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</si>
  <si>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</si>
  <si>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</si>
  <si>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</si>
  <si>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</si>
  <si>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</si>
  <si>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</si>
  <si>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</si>
  <si>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</si>
  <si>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</si>
  <si>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</si>
  <si>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</si>
  <si>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</si>
  <si>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</si>
  <si>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</si>
  <si>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</si>
  <si>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</si>
  <si>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</si>
  <si>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</si>
  <si>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</si>
  <si>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</si>
  <si>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</si>
  <si>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</si>
  <si>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</si>
  <si>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</si>
  <si>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</si>
  <si>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</si>
  <si>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</si>
  <si>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</si>
  <si>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</si>
  <si>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</si>
  <si>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</si>
  <si>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</si>
  <si>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</si>
  <si>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</si>
  <si>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</si>
  <si>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</si>
  <si>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</si>
  <si>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</si>
  <si>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</si>
  <si>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</si>
  <si>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</si>
  <si>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</si>
  <si>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</si>
  <si>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</si>
  <si>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</si>
  <si>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</si>
  <si>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</si>
  <si>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</si>
  <si>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</si>
  <si>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</si>
  <si>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</si>
  <si>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</si>
  <si>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</si>
  <si>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</si>
  <si>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</si>
  <si>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</si>
  <si>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</si>
  <si>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</si>
  <si>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</si>
  <si>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</si>
  <si>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</si>
  <si>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</si>
  <si>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</si>
  <si>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</si>
  <si>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</si>
  <si>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</si>
  <si>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</si>
  <si>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</si>
  <si>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</si>
  <si>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</si>
  <si>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</si>
  <si>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</si>
  <si>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</si>
  <si>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</si>
  <si>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</si>
  <si>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</si>
  <si>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</si>
  <si>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</si>
  <si>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</si>
  <si>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</si>
  <si>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</si>
  <si>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</si>
  <si>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</si>
  <si>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</si>
  <si>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</si>
  <si>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</si>
  <si>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</si>
  <si>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</si>
  <si>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</si>
  <si>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</si>
  <si>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</si>
  <si>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</si>
  <si>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</si>
  <si>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</si>
  <si>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</si>
  <si>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</si>
  <si>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</si>
  <si>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</si>
  <si>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</si>
  <si>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</si>
  <si>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</si>
  <si>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</si>
  <si>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</si>
  <si>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</si>
  <si>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</si>
  <si>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</si>
  <si>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</si>
  <si>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</si>
  <si>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</si>
  <si>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</si>
  <si>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</si>
  <si>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</si>
  <si>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</si>
  <si>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</si>
  <si>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</si>
  <si>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</si>
  <si>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</si>
  <si>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</si>
  <si>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</si>
  <si>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</si>
  <si>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</si>
  <si>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</si>
  <si>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</si>
  <si>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</si>
  <si>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</si>
  <si>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</si>
  <si>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</si>
  <si>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</si>
  <si>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</si>
  <si>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</si>
  <si>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</si>
  <si>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</si>
  <si>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</si>
  <si>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</si>
  <si>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</si>
  <si>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</si>
  <si>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</si>
  <si>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</si>
  <si>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</si>
  <si>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</si>
  <si>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</si>
  <si>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</si>
  <si>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</si>
  <si>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</si>
  <si>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</si>
  <si>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</si>
  <si>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</si>
  <si>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</si>
  <si>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</si>
  <si>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</si>
  <si>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</si>
  <si>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</si>
  <si>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</si>
  <si>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</si>
  <si>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</si>
  <si>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</si>
  <si>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</si>
  <si>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</si>
  <si>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</si>
  <si>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</si>
  <si>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</si>
  <si>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</si>
  <si>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</si>
  <si>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</si>
  <si>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</si>
  <si>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</si>
  <si>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</si>
  <si>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</si>
  <si>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</si>
  <si>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</si>
  <si>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</si>
  <si>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</si>
  <si>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</si>
  <si>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</si>
  <si>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</si>
  <si>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</si>
  <si>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</si>
  <si>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</si>
  <si>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</si>
  <si>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</si>
  <si>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</si>
  <si>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</si>
  <si>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</si>
  <si>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</si>
  <si>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</si>
  <si>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</si>
  <si>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</si>
  <si>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</si>
  <si>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</si>
  <si>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</si>
  <si>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</si>
  <si>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</si>
  <si>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</si>
  <si>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</si>
  <si>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</si>
  <si>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</si>
  <si>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</si>
  <si>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</si>
  <si>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</si>
  <si>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</si>
  <si>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</si>
  <si>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</si>
  <si>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</si>
  <si>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</si>
  <si>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</si>
  <si>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</si>
  <si>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</si>
  <si>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</si>
  <si>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</si>
  <si>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</si>
  <si>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</si>
  <si>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</si>
  <si>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</si>
  <si>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</si>
  <si>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</si>
  <si>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</si>
  <si>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</si>
  <si>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</si>
  <si>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</si>
  <si>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</si>
  <si>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</si>
  <si>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</si>
  <si>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</si>
  <si>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</si>
  <si>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</si>
  <si>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</si>
  <si>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</si>
  <si>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</si>
  <si>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</si>
  <si>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</si>
  <si>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</si>
  <si>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</si>
  <si>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</si>
  <si>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</si>
  <si>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</si>
  <si>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</si>
  <si>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</si>
  <si>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</si>
  <si>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</si>
  <si>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</si>
  <si>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</si>
  <si>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</si>
  <si>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</si>
  <si>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</si>
  <si>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</si>
  <si>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</si>
  <si>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</si>
  <si>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</si>
  <si>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</si>
  <si>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</si>
  <si>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</si>
  <si>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</si>
  <si>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</si>
  <si>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</si>
  <si>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</si>
  <si>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</si>
  <si>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</si>
  <si>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</si>
  <si>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</si>
  <si>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</si>
  <si>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</si>
  <si>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</si>
  <si>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</si>
  <si>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</si>
  <si>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</si>
  <si>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</si>
  <si>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</si>
  <si>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АО "Западная энергетическая компания"</t>
  </si>
  <si>
    <t>Субъект Российской Федерации: АО "Западная энергетическая компания"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</si>
  <si>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</si>
  <si>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</si>
  <si>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</si>
  <si>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</si>
  <si>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</si>
  <si>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</si>
  <si>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</si>
  <si>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</si>
  <si>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Форма № 21 Финансовый план субъекта электроэнергетики АО "Западная энергетическая компания"</t>
  </si>
  <si>
    <t>Поступления за счет средств инвесторовЗАЙМЫ</t>
  </si>
  <si>
    <t xml:space="preserve">Факт </t>
  </si>
  <si>
    <t>Необходимая валовая выручка сетевой организации в части содержания (строка 1.3 - строка 2.2.1 - строка 2.2.2 - строка 2.1.2.1.1)</t>
  </si>
  <si>
    <t>Год раскрытия (предоставления) информации: 2021</t>
  </si>
  <si>
    <t xml:space="preserve">Утвержденные плановые значения показателей приведены в соответствии с приказом СГРЦТ Калининградской области №68-01э/20 от 16.09.2020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</si>
</sst>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00"/>
    <numFmt numFmtId="166" formatCode="_-* #,##0.000_-;\-* #,##0.000_-;_-* &quot;-&quot;??_-;_-@_-"/>
    <numFmt numFmtId="167" formatCode="_-* #,##0_-;\-* #,##0_-;_-* &quot;-&quot;??_-;_-@_-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92">
    <xf numFmtId="0" fontId="0" fillId="0" borderId="0" xfId="0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3" fontId="9" fillId="0" borderId="1" xfId="2" applyFont="1" applyFill="1" applyBorder="1" applyAlignment="1">
      <alignment horizontal="center" vertical="center"/>
    </xf>
    <xf numFmtId="43" fontId="9" fillId="0" borderId="10" xfId="2" applyFont="1" applyFill="1" applyBorder="1" applyAlignment="1">
      <alignment horizontal="center" vertical="center"/>
    </xf>
    <xf numFmtId="43" fontId="9" fillId="0" borderId="2" xfId="2" applyFont="1" applyFill="1" applyBorder="1" applyAlignment="1">
      <alignment horizontal="center" vertical="center"/>
    </xf>
    <xf numFmtId="166" fontId="9" fillId="0" borderId="1" xfId="2" applyNumberFormat="1" applyFont="1" applyFill="1" applyBorder="1" applyAlignment="1">
      <alignment horizontal="center" vertical="center"/>
    </xf>
    <xf numFmtId="43" fontId="9" fillId="0" borderId="1" xfId="2" applyNumberFormat="1" applyFont="1" applyFill="1" applyBorder="1" applyAlignment="1">
      <alignment horizontal="center" vertical="center"/>
    </xf>
    <xf numFmtId="43" fontId="9" fillId="0" borderId="5" xfId="2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43" fontId="9" fillId="0" borderId="9" xfId="2" applyFont="1" applyFill="1" applyBorder="1" applyAlignment="1">
      <alignment horizontal="center" vertical="center"/>
    </xf>
    <xf numFmtId="43" fontId="9" fillId="0" borderId="3" xfId="2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66" fontId="9" fillId="0" borderId="5" xfId="2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42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43" fontId="9" fillId="0" borderId="5" xfId="2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43" fontId="9" fillId="0" borderId="44" xfId="2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/>
    </xf>
    <xf numFmtId="167" fontId="9" fillId="0" borderId="5" xfId="2" applyNumberFormat="1" applyFont="1" applyFill="1" applyBorder="1" applyAlignment="1">
      <alignment horizontal="center" vertical="center"/>
    </xf>
    <xf numFmtId="166" fontId="9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15" xfId="0" applyFont="1" applyFill="1" applyBorder="1" applyAlignment="1">
      <alignment horizontal="left" vertical="center" wrapText="1" indent="2"/>
    </xf>
    <xf numFmtId="0" fontId="9" fillId="0" borderId="16" xfId="0" applyFont="1" applyFill="1" applyBorder="1" applyAlignment="1">
      <alignment horizontal="left" vertical="center" wrapText="1" indent="2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5"/>
    </xf>
    <xf numFmtId="0" fontId="9" fillId="0" borderId="15" xfId="0" applyFont="1" applyFill="1" applyBorder="1" applyAlignment="1">
      <alignment horizontal="left" vertical="center" wrapText="1" indent="5"/>
    </xf>
    <xf numFmtId="0" fontId="9" fillId="0" borderId="16" xfId="0" applyFont="1" applyFill="1" applyBorder="1" applyAlignment="1">
      <alignment horizontal="left" vertical="center" wrapText="1" indent="5"/>
    </xf>
    <xf numFmtId="0" fontId="9" fillId="0" borderId="14" xfId="0" applyFont="1" applyFill="1" applyBorder="1" applyAlignment="1">
      <alignment horizontal="left" vertical="center" wrapText="1" indent="3"/>
    </xf>
    <xf numFmtId="0" fontId="9" fillId="0" borderId="15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9" fillId="0" borderId="14" xfId="0" applyFont="1" applyFill="1" applyBorder="1" applyAlignment="1">
      <alignment horizontal="left" vertical="center" wrapText="1" indent="4"/>
    </xf>
    <xf numFmtId="0" fontId="9" fillId="0" borderId="15" xfId="0" applyFont="1" applyFill="1" applyBorder="1" applyAlignment="1">
      <alignment horizontal="left" vertical="center" wrapText="1" indent="4"/>
    </xf>
    <xf numFmtId="0" fontId="9" fillId="0" borderId="16" xfId="0" applyFont="1" applyFill="1" applyBorder="1" applyAlignment="1">
      <alignment horizontal="left" vertical="center" wrapText="1" indent="4"/>
    </xf>
    <xf numFmtId="0" fontId="9" fillId="0" borderId="26" xfId="0" applyFont="1" applyFill="1" applyBorder="1" applyAlignment="1">
      <alignment horizontal="left" vertical="center" wrapText="1" indent="2"/>
    </xf>
    <xf numFmtId="0" fontId="9" fillId="0" borderId="27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9" fillId="0" borderId="26" xfId="0" applyFont="1" applyFill="1" applyBorder="1" applyAlignment="1">
      <alignment horizontal="left" vertical="center" wrapText="1" indent="1"/>
    </xf>
    <xf numFmtId="0" fontId="9" fillId="0" borderId="27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 indent="1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 indent="3"/>
    </xf>
    <xf numFmtId="0" fontId="9" fillId="0" borderId="27" xfId="0" applyFont="1" applyFill="1" applyBorder="1" applyAlignment="1">
      <alignment horizontal="left" vertical="center" wrapText="1" indent="3"/>
    </xf>
    <xf numFmtId="0" fontId="9" fillId="0" borderId="21" xfId="0" applyFont="1" applyFill="1" applyBorder="1" applyAlignment="1">
      <alignment horizontal="left" vertical="center" wrapText="1" indent="3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3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167" fontId="9" fillId="0" borderId="10" xfId="2" applyNumberFormat="1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3" fontId="9" fillId="0" borderId="4" xfId="2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18" xfId="0" applyFont="1" applyFill="1" applyBorder="1" applyAlignment="1">
      <alignment horizontal="left" vertical="center" wrapText="1" indent="1"/>
    </xf>
    <xf numFmtId="43" fontId="3" fillId="0" borderId="1" xfId="2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43" fontId="9" fillId="0" borderId="12" xfId="2" applyFont="1" applyFill="1" applyBorder="1" applyAlignment="1">
      <alignment horizontal="center" vertical="center"/>
    </xf>
    <xf numFmtId="43" fontId="9" fillId="0" borderId="11" xfId="2" applyFont="1" applyFill="1" applyBorder="1" applyAlignment="1">
      <alignment horizontal="center" vertical="center"/>
    </xf>
    <xf numFmtId="43" fontId="11" fillId="0" borderId="1" xfId="2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/>
    </xf>
    <xf numFmtId="9" fontId="3" fillId="0" borderId="1" xfId="3" applyFont="1" applyFill="1" applyBorder="1" applyAlignment="1">
      <alignment horizontal="right" vertical="center"/>
    </xf>
    <xf numFmtId="166" fontId="11" fillId="0" borderId="1" xfId="2" applyNumberFormat="1" applyFont="1" applyFill="1" applyBorder="1" applyAlignment="1">
      <alignment horizontal="center" vertical="center"/>
    </xf>
    <xf numFmtId="166" fontId="11" fillId="0" borderId="5" xfId="2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 xr:uid="{00000000-0005-0000-0000-000001000000}"/>
    <cellStyle name="Процентный 3" xfId="3" xr:uid="{823E4D10-457E-4989-9416-693946F7DD19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7;&#1069;&#1050;\&#1041;&#1055;%20&#1047;&#1069;&#1050;%202020-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F0706_1153926028850_39/F0406_1153926028850_39/&#1092;&#1086;&#1088;&#1084;&#1099;%201-21/F0706_1153926028850_02_0_3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&#1041;&#1055;%202020-2024_12_04_2020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&#1058;&#1072;&#1088;&#1080;&#1092;%20&#1058;&#1057;&#1054;%202022\&#1092;&#1086;&#1088;&#1084;&#1099;%20&#1052;&#1059;\&#1060;&#1086;&#1088;&#1084;&#1099;%20&#1052;&#1059;%20&#1087;&#1086;%20&#1088;&#1072;&#1089;&#1095;&#1077;&#1090;&#1091;%20&#1090;&#1072;&#1088;&#1080;&#1092;_2022_12_04_2021-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&#1058;&#1072;&#1088;&#1080;&#1092;%20&#1069;&#1057;&#1054;%202022\&#1058;&#1072;&#1073;&#1083;&#1080;&#1094;&#1099;%2020-&#1101;%20&#1047;&#1069;&#1050;%20&#1069;&#1057;&#1054;%202022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ova-LG/Desktop/1_&#1057;_12_03_2021/&#1041;&#1055;%20&#1047;&#1069;&#1050;%202020-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69;&#1050;/1_&#1057;_12_03_2021/&#1050;&#1086;&#1087;&#1080;&#1103;%20&#1056;&#1072;&#1089;&#1095;&#1077;&#1090;_2020_%2011_03_20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1_&#1057;_12_03_2021\&#1050;&#1086;&#1087;&#1080;&#1103;%20&#1056;&#1072;&#1089;&#1095;&#1077;&#1090;_2020_%2011_03_20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&#1058;&#1072;&#1088;&#1080;&#1092;%20&#1058;&#1057;&#1054;%202022\&#1056;&#1072;&#1089;&#1082;&#1088;&#1099;&#1090;&#1080;&#1077;%20&#1080;&#1085;&#1092;&#1086;&#1088;&#1084;&#1072;&#1094;&#1080;&#1080;\&#1055;&#1088;&#1080;&#1083;&#1086;&#1078;&#1077;&#1085;&#1080;&#1077;%201%20&#1082;%20&#1089;&#1090;&#1072;&#1085;&#1076;&#1072;&#1088;&#1090;&#1091;%20&#1088;&#1072;&#1089;&#1082;&#1088;&#1099;&#1090;&#1080;&#1103;%20&#1080;&#1085;&#1092;&#1086;&#1088;&#1084;&#1072;&#1094;&#1080;&#1080;%20(4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ineer/Downloads/F0225_1153926028850_02_0_3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ФИНПЛАН"/>
      <sheetName val="расчет амортизации"/>
      <sheetName val="модель"/>
      <sheetName val="Лист1"/>
      <sheetName val="покупка потерь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1">
          <cell r="F11">
            <v>229619.7957166667</v>
          </cell>
        </row>
        <row r="117">
          <cell r="F117">
            <v>125211.40197500002</v>
          </cell>
        </row>
        <row r="123">
          <cell r="F123">
            <v>387796.61964166665</v>
          </cell>
        </row>
        <row r="163">
          <cell r="F163">
            <v>6851.3968916666672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3">
          <cell r="F13">
            <v>7451.9723199999999</v>
          </cell>
        </row>
        <row r="731">
          <cell r="F731">
            <v>291499.20826000004</v>
          </cell>
        </row>
      </sheetData>
      <sheetData sheetId="28" refreshError="1"/>
      <sheetData sheetId="29" refreshError="1"/>
      <sheetData sheetId="30" refreshError="1">
        <row r="10">
          <cell r="H10">
            <v>2757.3799999999997</v>
          </cell>
        </row>
        <row r="295">
          <cell r="H295">
            <v>403.48610000000002</v>
          </cell>
        </row>
        <row r="298">
          <cell r="H298">
            <v>15.385300000000001</v>
          </cell>
        </row>
        <row r="314">
          <cell r="H314">
            <v>56.882899999999999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0">
          <cell r="AI20">
            <v>195.109993296921</v>
          </cell>
          <cell r="BA20">
            <v>116.34041073558025</v>
          </cell>
          <cell r="BK20">
            <v>51.23542454650233</v>
          </cell>
          <cell r="BU20">
            <v>57.534450201331744</v>
          </cell>
          <cell r="CE20">
            <v>74.989072537056956</v>
          </cell>
        </row>
        <row r="22">
          <cell r="AQ22">
            <v>20.635078999999998</v>
          </cell>
          <cell r="AR22">
            <v>2.4954489999999998</v>
          </cell>
        </row>
        <row r="24">
          <cell r="AQ24">
            <v>2.01461983</v>
          </cell>
          <cell r="AR24">
            <v>0.39900000000000002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ФИНПЛАН"/>
      <sheetName val="расчет амортизации"/>
      <sheetName val="модель"/>
      <sheetName val="формы к ПЗ"/>
      <sheetName val="Лист1"/>
      <sheetName val="покупка потерь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219">
          <cell r="R219">
            <v>15525.226480000001</v>
          </cell>
          <cell r="S219">
            <v>15525.226480000001</v>
          </cell>
          <cell r="T219">
            <v>15525.226480000001</v>
          </cell>
        </row>
        <row r="226">
          <cell r="S226">
            <v>224.672</v>
          </cell>
          <cell r="T226">
            <v>224.672</v>
          </cell>
        </row>
        <row r="227">
          <cell r="S227">
            <v>14233</v>
          </cell>
          <cell r="T227">
            <v>15288</v>
          </cell>
        </row>
        <row r="228">
          <cell r="S228">
            <v>22</v>
          </cell>
          <cell r="T228">
            <v>24</v>
          </cell>
        </row>
        <row r="241">
          <cell r="R241">
            <v>218802</v>
          </cell>
          <cell r="S241">
            <v>226353.75311396652</v>
          </cell>
          <cell r="T241">
            <v>243127.78092054155</v>
          </cell>
        </row>
        <row r="258">
          <cell r="R258">
            <v>65471</v>
          </cell>
        </row>
        <row r="260">
          <cell r="R260">
            <v>454722.50709885987</v>
          </cell>
          <cell r="S260">
            <v>377511.65159396653</v>
          </cell>
          <cell r="T260">
            <v>404320.67940054159</v>
          </cell>
        </row>
        <row r="272">
          <cell r="S272">
            <v>42952.36</v>
          </cell>
          <cell r="T272">
            <v>44670.46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3а"/>
      <sheetName val="1.4"/>
      <sheetName val="1.5"/>
      <sheetName val="1.6"/>
      <sheetName val="1_15"/>
      <sheetName val="1_16"/>
      <sheetName val="П_1_17"/>
      <sheetName val="П_1_17_1_2020"/>
      <sheetName val="П_1_17_1_2021"/>
      <sheetName val="П_1_17_1_2022"/>
      <sheetName val="1_18"/>
      <sheetName val="1_21"/>
      <sheetName val="1.24"/>
      <sheetName val="1.25"/>
      <sheetName val="1_27нов продолж"/>
      <sheetName val="1.27.2020_2023"/>
      <sheetName val="1.30"/>
      <sheetName val="П_1_2020"/>
      <sheetName val="П_2_2_2020"/>
      <sheetName val="П_2_1_2021"/>
      <sheetName val="П_2-2_2021"/>
      <sheetName val="П_2_1_2022"/>
      <sheetName val="П_2_2_2022"/>
      <sheetName val="П_2_1_2023"/>
      <sheetName val="П_2_2_2023"/>
      <sheetName val="П_2_1_2024"/>
      <sheetName val="П_2_2_202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4">
          <cell r="E14">
            <v>39711.871836584585</v>
          </cell>
          <cell r="F14">
            <v>41300.35</v>
          </cell>
        </row>
        <row r="20">
          <cell r="E20">
            <v>184968</v>
          </cell>
        </row>
        <row r="29">
          <cell r="E29">
            <v>216.239</v>
          </cell>
          <cell r="F29">
            <v>224.672</v>
          </cell>
        </row>
        <row r="30">
          <cell r="E30">
            <v>13621.655619453939</v>
          </cell>
          <cell r="F30">
            <v>13757.713138859854</v>
          </cell>
        </row>
        <row r="31">
          <cell r="E31">
            <v>21.39</v>
          </cell>
          <cell r="F31">
            <v>21.387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G24">
            <v>17972.62948</v>
          </cell>
        </row>
        <row r="52">
          <cell r="G52">
            <v>657.42285000000004</v>
          </cell>
        </row>
      </sheetData>
      <sheetData sheetId="12">
        <row r="11">
          <cell r="J11">
            <v>0.55585918704061466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Титульный"/>
      <sheetName val="П1.4 "/>
      <sheetName val="П1.5 "/>
      <sheetName val="П1.6 "/>
      <sheetName val="Форма 3."/>
      <sheetName val="Таблица 9.1"/>
      <sheetName val="Таблица 9.1 кварталы"/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Лист10"/>
      <sheetName val="Лист11"/>
      <sheetName val="Лист12"/>
      <sheetName val="П1_15_2022"/>
      <sheetName val="П_1_16_2022"/>
      <sheetName val="П_1_18_2022"/>
      <sheetName val="расчет затра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5">
          <cell r="F15">
            <v>442370.97839023487</v>
          </cell>
          <cell r="G15">
            <v>429863.22989869851</v>
          </cell>
        </row>
        <row r="51">
          <cell r="E51">
            <v>392497</v>
          </cell>
          <cell r="F51">
            <v>448440.18239023484</v>
          </cell>
        </row>
      </sheetData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ФИНПЛАН"/>
      <sheetName val="расчет амортизации"/>
      <sheetName val="модель"/>
      <sheetName val="Лист1"/>
      <sheetName val="покупка потерь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3">
          <cell r="F13">
            <v>7451.9723199999999</v>
          </cell>
        </row>
        <row r="15">
          <cell r="F15">
            <v>378748.03568000003</v>
          </cell>
        </row>
        <row r="16">
          <cell r="F16">
            <v>35098.664680000002</v>
          </cell>
        </row>
        <row r="21">
          <cell r="F21">
            <v>532.07638999999995</v>
          </cell>
        </row>
        <row r="23">
          <cell r="F23">
            <v>976.92696999999998</v>
          </cell>
        </row>
        <row r="24">
          <cell r="F24">
            <v>3405.1638499999999</v>
          </cell>
        </row>
        <row r="42">
          <cell r="F42">
            <v>98615.267779999995</v>
          </cell>
        </row>
        <row r="45">
          <cell r="F45">
            <v>36638.391810000001</v>
          </cell>
        </row>
        <row r="73">
          <cell r="F73">
            <v>10844.835999999999</v>
          </cell>
        </row>
        <row r="84">
          <cell r="F84">
            <v>9264.538169999998</v>
          </cell>
        </row>
        <row r="225">
          <cell r="H225">
            <v>212.32992000000002</v>
          </cell>
        </row>
        <row r="227">
          <cell r="H227">
            <v>388911.24614</v>
          </cell>
        </row>
        <row r="228">
          <cell r="H228">
            <v>33086.680209999999</v>
          </cell>
        </row>
        <row r="233">
          <cell r="H233">
            <v>551.37678000000005</v>
          </cell>
        </row>
        <row r="235">
          <cell r="H235">
            <v>1155.8735099999999</v>
          </cell>
        </row>
        <row r="236">
          <cell r="H236">
            <v>433.26253000000003</v>
          </cell>
        </row>
        <row r="243">
          <cell r="H243">
            <v>61331.399550000009</v>
          </cell>
        </row>
        <row r="254">
          <cell r="H254">
            <v>131417.67397999999</v>
          </cell>
        </row>
        <row r="257">
          <cell r="H257">
            <v>23952.07357</v>
          </cell>
        </row>
        <row r="285">
          <cell r="H285">
            <v>8596.2019999999993</v>
          </cell>
        </row>
        <row r="296">
          <cell r="H296">
            <v>6177.6395500000008</v>
          </cell>
        </row>
        <row r="306">
          <cell r="H306">
            <v>328.86547999999999</v>
          </cell>
        </row>
        <row r="319">
          <cell r="H319">
            <v>3294.1878900000002</v>
          </cell>
        </row>
        <row r="373">
          <cell r="H373">
            <v>598.19416000000012</v>
          </cell>
        </row>
        <row r="397">
          <cell r="H397">
            <v>30907.679160000003</v>
          </cell>
        </row>
        <row r="428">
          <cell r="H428">
            <v>603.79787999999996</v>
          </cell>
        </row>
        <row r="431">
          <cell r="H431">
            <v>17275.215520000002</v>
          </cell>
        </row>
        <row r="731">
          <cell r="H731">
            <v>296798.84098000004</v>
          </cell>
        </row>
        <row r="1419">
          <cell r="F1419">
            <v>1449.1923899999999</v>
          </cell>
          <cell r="H1419">
            <v>1061.5682199999999</v>
          </cell>
        </row>
        <row r="2099">
          <cell r="F2099">
            <v>383503.92832000001</v>
          </cell>
          <cell r="H2099">
            <v>392497.00451</v>
          </cell>
        </row>
        <row r="2787">
          <cell r="F2787">
            <v>691.84559999999999</v>
          </cell>
          <cell r="H2787">
            <v>597.27071999999998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С_50_2019"/>
      <sheetName val="1_С_51_2020"/>
      <sheetName val="51_2020"/>
      <sheetName val="Лист2"/>
      <sheetName val="Лист3"/>
      <sheetName val="БДДС"/>
      <sheetName val="Лист5"/>
      <sheetName val="ДЗ"/>
      <sheetName val="51_2020_Д"/>
      <sheetName val="51_2020_К"/>
      <sheetName val="перечень дог кредита_займа"/>
      <sheetName val="ДЗ_К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H6">
            <v>69.803926290000007</v>
          </cell>
        </row>
        <row r="7">
          <cell r="H7">
            <v>498.96740490000002</v>
          </cell>
        </row>
        <row r="10">
          <cell r="H10">
            <v>4.2122448000000006</v>
          </cell>
        </row>
        <row r="17">
          <cell r="J17">
            <v>209.72054811000001</v>
          </cell>
        </row>
        <row r="19">
          <cell r="J19">
            <v>40.227403009999996</v>
          </cell>
        </row>
        <row r="21">
          <cell r="J21">
            <v>11.935064219999997</v>
          </cell>
        </row>
        <row r="67">
          <cell r="J67">
            <v>29.490792899999999</v>
          </cell>
        </row>
        <row r="68">
          <cell r="J68">
            <v>11.795963449999999</v>
          </cell>
        </row>
        <row r="71">
          <cell r="J71">
            <v>6.9343675400000002</v>
          </cell>
        </row>
        <row r="72">
          <cell r="J72">
            <v>0.14888112000000001</v>
          </cell>
        </row>
        <row r="73">
          <cell r="J73">
            <v>5.0775213499999996</v>
          </cell>
        </row>
        <row r="135">
          <cell r="J135">
            <v>42.466472109999998</v>
          </cell>
        </row>
        <row r="136">
          <cell r="J136">
            <v>32.39892691</v>
          </cell>
        </row>
        <row r="154">
          <cell r="J154">
            <v>15.436101230000002</v>
          </cell>
        </row>
        <row r="169">
          <cell r="J169">
            <v>330.34616395999996</v>
          </cell>
        </row>
        <row r="170">
          <cell r="J170">
            <v>1.532209E-2</v>
          </cell>
        </row>
        <row r="173">
          <cell r="J173">
            <v>68.00691359999999</v>
          </cell>
        </row>
        <row r="184">
          <cell r="H184">
            <v>32.264091610000001</v>
          </cell>
        </row>
        <row r="187">
          <cell r="H187">
            <v>652.22500000000002</v>
          </cell>
        </row>
        <row r="210">
          <cell r="H210">
            <v>116.8</v>
          </cell>
        </row>
        <row r="212">
          <cell r="H212">
            <v>27.817152700000001</v>
          </cell>
        </row>
        <row r="220">
          <cell r="J220">
            <v>337.32529250000005</v>
          </cell>
        </row>
        <row r="244">
          <cell r="J244">
            <v>241.02999999999997</v>
          </cell>
        </row>
        <row r="248">
          <cell r="J248">
            <v>0.67042663999999996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0">
          <cell r="H10">
            <v>1.64900392</v>
          </cell>
        </row>
        <row r="11">
          <cell r="H11">
            <v>0.46500570000000002</v>
          </cell>
        </row>
        <row r="14">
          <cell r="H14">
            <v>92.691355560000005</v>
          </cell>
        </row>
        <row r="17">
          <cell r="H17">
            <v>0.70449108999999999</v>
          </cell>
        </row>
        <row r="18">
          <cell r="H18">
            <v>37.307282409999999</v>
          </cell>
        </row>
        <row r="21">
          <cell r="H21">
            <v>31.101403949999998</v>
          </cell>
        </row>
        <row r="22">
          <cell r="H22">
            <v>10.7504723</v>
          </cell>
        </row>
        <row r="23">
          <cell r="H23">
            <v>1.2539119999999999</v>
          </cell>
        </row>
        <row r="27">
          <cell r="H27">
            <v>140.6233273</v>
          </cell>
        </row>
        <row r="28">
          <cell r="H28">
            <v>11.666967619999999</v>
          </cell>
        </row>
        <row r="31">
          <cell r="H31">
            <v>0.75</v>
          </cell>
        </row>
        <row r="32">
          <cell r="H32">
            <v>3.8155100000000002</v>
          </cell>
        </row>
        <row r="34">
          <cell r="H34">
            <v>12.62512738</v>
          </cell>
        </row>
        <row r="38">
          <cell r="H38">
            <v>20.624006640000001</v>
          </cell>
        </row>
        <row r="41">
          <cell r="H41">
            <v>171.04695651</v>
          </cell>
        </row>
        <row r="42">
          <cell r="H42">
            <v>43.544758080000001</v>
          </cell>
        </row>
        <row r="43">
          <cell r="H43">
            <v>1.2730854199999999</v>
          </cell>
        </row>
        <row r="46">
          <cell r="H46">
            <v>45.698950790000019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С_50_2019"/>
      <sheetName val="1_С_51_2020"/>
      <sheetName val="51_2020_Д"/>
      <sheetName val="Лист2"/>
      <sheetName val="51_2020_К"/>
      <sheetName val="БДДС"/>
      <sheetName val="перечень дог кредита_займа"/>
      <sheetName val="ДЗ_К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H10">
            <v>1.64900392</v>
          </cell>
        </row>
        <row r="27">
          <cell r="H27">
            <v>140.6233273</v>
          </cell>
        </row>
        <row r="28">
          <cell r="H28">
            <v>11.666967619999999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9"/>
      <sheetName val="стр.10_12"/>
      <sheetName val="EBITDA"/>
    </sheetNames>
    <sheetDataSet>
      <sheetData sheetId="0">
        <row r="61">
          <cell r="BT61">
            <v>3786.5587999999998</v>
          </cell>
          <cell r="CK61">
            <v>3875.6489999999999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0">
          <cell r="AQ20">
            <v>22.649698829999998</v>
          </cell>
          <cell r="BB20">
            <v>198.03839099999996</v>
          </cell>
          <cell r="BL20">
            <v>108.97796</v>
          </cell>
          <cell r="BV20">
            <v>96.805458884757812</v>
          </cell>
        </row>
        <row r="21">
          <cell r="AR21">
            <v>216.88656800000001</v>
          </cell>
          <cell r="CF21">
            <v>128.37246056918656</v>
          </cell>
        </row>
        <row r="97">
          <cell r="AR97">
            <v>170.64252412600001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7"/>
  <sheetViews>
    <sheetView tabSelected="1" view="pageBreakPreview" zoomScale="120" zoomScaleNormal="120" zoomScaleSheetLayoutView="120" workbookViewId="0">
      <selection activeCell="R14" sqref="R14:S14"/>
    </sheetView>
  </sheetViews>
  <sheetFormatPr defaultColWidth="9.140625" defaultRowHeight="8.25" x14ac:dyDescent="0.15"/>
  <cols>
    <col min="1" max="1" width="5.140625" style="7" customWidth="1"/>
    <col min="2" max="2" width="2" style="7" customWidth="1"/>
    <col min="3" max="3" width="11.42578125" style="7" customWidth="1"/>
    <col min="4" max="4" width="7.28515625" style="7" customWidth="1"/>
    <col min="5" max="5" width="14" style="7" customWidth="1"/>
    <col min="6" max="6" width="6.42578125" style="7" customWidth="1"/>
    <col min="7" max="7" width="2.5703125" style="7" customWidth="1"/>
    <col min="8" max="8" width="8.42578125" style="8" customWidth="1"/>
    <col min="9" max="11" width="8.42578125" style="8" hidden="1" customWidth="1"/>
    <col min="12" max="12" width="9.7109375" style="8" customWidth="1"/>
    <col min="13" max="13" width="8.140625" style="8" customWidth="1"/>
    <col min="14" max="17" width="9.5703125" style="8" customWidth="1"/>
    <col min="18" max="18" width="8.7109375" style="8" customWidth="1"/>
    <col min="19" max="19" width="9.28515625" style="8" customWidth="1"/>
    <col min="20" max="20" width="9.5703125" style="8" customWidth="1"/>
    <col min="21" max="21" width="9.28515625" style="8" customWidth="1"/>
    <col min="22" max="22" width="8.42578125" style="8" customWidth="1"/>
    <col min="23" max="23" width="9.28515625" style="8" customWidth="1"/>
    <col min="24" max="16384" width="9.140625" style="7"/>
  </cols>
  <sheetData>
    <row r="1" spans="1:23" s="5" customFormat="1" ht="11.25" customHeight="1" x14ac:dyDescent="0.2"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6" t="s">
        <v>0</v>
      </c>
    </row>
    <row r="2" spans="1:23" s="5" customFormat="1" ht="9.75" customHeight="1" x14ac:dyDescent="0.2"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6"/>
      <c r="W2" s="6" t="s">
        <v>49</v>
      </c>
    </row>
    <row r="3" spans="1:23" s="5" customFormat="1" ht="9.75" customHeight="1" x14ac:dyDescent="0.2"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6"/>
      <c r="W3" s="6" t="s">
        <v>50</v>
      </c>
    </row>
    <row r="4" spans="1:23" ht="6.75" customHeight="1" x14ac:dyDescent="0.15"/>
    <row r="5" spans="1:23" s="10" customFormat="1" ht="30" customHeight="1" x14ac:dyDescent="0.2">
      <c r="A5" s="168" t="s">
        <v>690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9"/>
      <c r="P5" s="9"/>
      <c r="Q5" s="9"/>
      <c r="R5" s="9"/>
      <c r="S5" s="9"/>
      <c r="T5" s="9"/>
      <c r="U5" s="9"/>
      <c r="V5" s="9"/>
      <c r="W5" s="42"/>
    </row>
    <row r="6" spans="1:23" s="5" customFormat="1" ht="10.5" customHeight="1" x14ac:dyDescent="0.2"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</row>
    <row r="7" spans="1:23" s="5" customFormat="1" ht="10.5" x14ac:dyDescent="0.2">
      <c r="A7" s="73" t="s">
        <v>680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11"/>
      <c r="P7" s="11"/>
      <c r="Q7" s="11"/>
      <c r="R7" s="11"/>
      <c r="S7" s="11"/>
      <c r="T7" s="11"/>
      <c r="U7" s="11"/>
      <c r="V7" s="11"/>
      <c r="W7" s="11"/>
    </row>
    <row r="8" spans="1:23" s="5" customFormat="1" ht="9" customHeight="1" x14ac:dyDescent="0.2">
      <c r="A8" s="74" t="s">
        <v>675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11"/>
      <c r="P8" s="11"/>
      <c r="Q8" s="11"/>
      <c r="R8" s="11"/>
      <c r="S8" s="11"/>
      <c r="T8" s="11"/>
      <c r="U8" s="11"/>
      <c r="V8" s="11"/>
      <c r="W8" s="11"/>
    </row>
    <row r="9" spans="1:23" s="5" customFormat="1" ht="14.25" customHeight="1" x14ac:dyDescent="0.2">
      <c r="A9" s="75" t="s">
        <v>681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1"/>
      <c r="P9" s="11"/>
      <c r="Q9" s="11"/>
      <c r="R9" s="11"/>
      <c r="S9" s="11"/>
      <c r="T9" s="11"/>
      <c r="U9" s="11"/>
      <c r="V9" s="11"/>
      <c r="W9" s="11"/>
    </row>
    <row r="10" spans="1:23" s="5" customFormat="1" ht="12.75" customHeight="1" x14ac:dyDescent="0.2">
      <c r="A10" s="76" t="s">
        <v>694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11"/>
      <c r="P10" s="11"/>
      <c r="Q10" s="11"/>
      <c r="R10" s="11"/>
      <c r="S10" s="11"/>
      <c r="T10" s="11"/>
      <c r="U10" s="11"/>
      <c r="V10" s="11"/>
      <c r="W10" s="11"/>
    </row>
    <row r="11" spans="1:23" s="5" customFormat="1" ht="31.5" customHeight="1" x14ac:dyDescent="0.2">
      <c r="A11" s="72" t="s">
        <v>695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</row>
    <row r="12" spans="1:23" s="5" customFormat="1" ht="16.5" customHeight="1" x14ac:dyDescent="0.2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35"/>
      <c r="P12" s="35"/>
      <c r="Q12" s="11"/>
      <c r="R12" s="11"/>
      <c r="S12" s="11"/>
      <c r="T12" s="11"/>
      <c r="U12" s="11"/>
      <c r="V12" s="11"/>
      <c r="W12" s="11"/>
    </row>
    <row r="13" spans="1:23" s="12" customFormat="1" ht="14.25" customHeight="1" thickBot="1" x14ac:dyDescent="0.25">
      <c r="A13" s="84" t="s">
        <v>348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</row>
    <row r="14" spans="1:23" s="14" customFormat="1" ht="18" customHeight="1" x14ac:dyDescent="0.2">
      <c r="A14" s="154" t="s">
        <v>7</v>
      </c>
      <c r="B14" s="155"/>
      <c r="C14" s="148" t="s">
        <v>8</v>
      </c>
      <c r="D14" s="149"/>
      <c r="E14" s="149"/>
      <c r="F14" s="149"/>
      <c r="G14" s="150"/>
      <c r="H14" s="146" t="s">
        <v>1</v>
      </c>
      <c r="I14" s="13">
        <v>2018</v>
      </c>
      <c r="J14" s="88">
        <v>2019</v>
      </c>
      <c r="K14" s="90"/>
      <c r="L14" s="88">
        <v>2020</v>
      </c>
      <c r="M14" s="90"/>
      <c r="N14" s="88">
        <v>2021</v>
      </c>
      <c r="O14" s="89"/>
      <c r="P14" s="89">
        <v>2022</v>
      </c>
      <c r="Q14" s="90"/>
      <c r="R14" s="88">
        <v>2023</v>
      </c>
      <c r="S14" s="90"/>
      <c r="T14" s="88">
        <v>2024</v>
      </c>
      <c r="U14" s="90"/>
      <c r="V14" s="88" t="s">
        <v>9</v>
      </c>
      <c r="W14" s="158"/>
    </row>
    <row r="15" spans="1:23" s="14" customFormat="1" ht="55.5" customHeight="1" x14ac:dyDescent="0.2">
      <c r="A15" s="156"/>
      <c r="B15" s="157"/>
      <c r="C15" s="151"/>
      <c r="D15" s="152"/>
      <c r="E15" s="152"/>
      <c r="F15" s="152"/>
      <c r="G15" s="153"/>
      <c r="H15" s="147"/>
      <c r="I15" s="15" t="s">
        <v>2</v>
      </c>
      <c r="J15" s="15" t="s">
        <v>3</v>
      </c>
      <c r="K15" s="41" t="s">
        <v>692</v>
      </c>
      <c r="L15" s="15" t="s">
        <v>4</v>
      </c>
      <c r="M15" s="41" t="s">
        <v>692</v>
      </c>
      <c r="N15" s="15" t="s">
        <v>4</v>
      </c>
      <c r="O15" s="15" t="s">
        <v>10</v>
      </c>
      <c r="P15" s="15" t="s">
        <v>4</v>
      </c>
      <c r="Q15" s="15" t="s">
        <v>10</v>
      </c>
      <c r="R15" s="15" t="s">
        <v>4</v>
      </c>
      <c r="S15" s="15" t="s">
        <v>10</v>
      </c>
      <c r="T15" s="15" t="s">
        <v>4</v>
      </c>
      <c r="U15" s="15" t="s">
        <v>10</v>
      </c>
      <c r="V15" s="15" t="s">
        <v>4</v>
      </c>
      <c r="W15" s="16" t="s">
        <v>10</v>
      </c>
    </row>
    <row r="16" spans="1:23" s="19" customFormat="1" ht="9" thickBot="1" x14ac:dyDescent="0.25">
      <c r="A16" s="82">
        <v>1</v>
      </c>
      <c r="B16" s="83"/>
      <c r="C16" s="159">
        <v>2</v>
      </c>
      <c r="D16" s="160"/>
      <c r="E16" s="160"/>
      <c r="F16" s="160"/>
      <c r="G16" s="83"/>
      <c r="H16" s="17">
        <v>3</v>
      </c>
      <c r="I16" s="18">
        <v>5</v>
      </c>
      <c r="J16" s="18">
        <v>6</v>
      </c>
      <c r="K16" s="18">
        <v>7</v>
      </c>
      <c r="L16" s="18">
        <v>8</v>
      </c>
      <c r="M16" s="18">
        <v>9</v>
      </c>
      <c r="N16" s="18">
        <v>10</v>
      </c>
      <c r="O16" s="18">
        <f>N16+1</f>
        <v>11</v>
      </c>
      <c r="P16" s="18">
        <f t="shared" ref="P16:W16" si="0">O16+1</f>
        <v>12</v>
      </c>
      <c r="Q16" s="18">
        <f t="shared" si="0"/>
        <v>13</v>
      </c>
      <c r="R16" s="18">
        <f t="shared" si="0"/>
        <v>14</v>
      </c>
      <c r="S16" s="18">
        <f t="shared" si="0"/>
        <v>15</v>
      </c>
      <c r="T16" s="18">
        <f t="shared" si="0"/>
        <v>16</v>
      </c>
      <c r="U16" s="18">
        <f t="shared" si="0"/>
        <v>17</v>
      </c>
      <c r="V16" s="18">
        <f t="shared" si="0"/>
        <v>18</v>
      </c>
      <c r="W16" s="17">
        <f t="shared" si="0"/>
        <v>19</v>
      </c>
    </row>
    <row r="17" spans="1:23" s="20" customFormat="1" ht="10.5" customHeight="1" thickBot="1" x14ac:dyDescent="0.25">
      <c r="A17" s="108" t="s">
        <v>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10"/>
    </row>
    <row r="18" spans="1:23" s="20" customFormat="1" ht="10.5" customHeight="1" thickBot="1" x14ac:dyDescent="0.25">
      <c r="A18" s="64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6"/>
    </row>
    <row r="19" spans="1:23" s="3" customFormat="1" ht="9.75" customHeight="1" x14ac:dyDescent="0.2">
      <c r="A19" s="169" t="s">
        <v>25</v>
      </c>
      <c r="B19" s="170"/>
      <c r="C19" s="171" t="s">
        <v>45</v>
      </c>
      <c r="D19" s="172"/>
      <c r="E19" s="172"/>
      <c r="F19" s="172"/>
      <c r="G19" s="173"/>
      <c r="H19" s="174" t="s">
        <v>5</v>
      </c>
      <c r="I19" s="37">
        <f>I25+I27+I28+I33</f>
        <v>642.63</v>
      </c>
      <c r="J19" s="37">
        <f>J25+J27+J28+J33</f>
        <v>726.81999999999994</v>
      </c>
      <c r="K19" s="175">
        <f>K25+K27+K28+K33</f>
        <v>749.47921422500008</v>
      </c>
      <c r="L19" s="176">
        <f t="shared" ref="L19:W19" si="1">L20+L24+L25+L26+L27+L28+L29+L30+L33</f>
        <v>688.3</v>
      </c>
      <c r="M19" s="176">
        <f t="shared" si="1"/>
        <v>767.38504869999997</v>
      </c>
      <c r="N19" s="176">
        <f t="shared" si="1"/>
        <v>945.02</v>
      </c>
      <c r="O19" s="176">
        <f t="shared" si="1"/>
        <v>938.61699999999996</v>
      </c>
      <c r="P19" s="176">
        <f t="shared" si="1"/>
        <v>803.58999999999992</v>
      </c>
      <c r="Q19" s="176">
        <f t="shared" si="1"/>
        <v>915.66431896909467</v>
      </c>
      <c r="R19" s="176">
        <f t="shared" si="1"/>
        <v>828.89</v>
      </c>
      <c r="S19" s="176">
        <f t="shared" si="1"/>
        <v>878.30907444396644</v>
      </c>
      <c r="T19" s="176">
        <f t="shared" si="1"/>
        <v>1042.3899999999999</v>
      </c>
      <c r="U19" s="176">
        <f t="shared" si="1"/>
        <v>1112.3906794005416</v>
      </c>
      <c r="V19" s="176">
        <f t="shared" si="1"/>
        <v>4308.1899999999996</v>
      </c>
      <c r="W19" s="176">
        <f t="shared" si="1"/>
        <v>4612.3661215136026</v>
      </c>
    </row>
    <row r="20" spans="1:23" s="3" customFormat="1" ht="8.25" customHeight="1" x14ac:dyDescent="0.2">
      <c r="A20" s="80" t="s">
        <v>11</v>
      </c>
      <c r="B20" s="81"/>
      <c r="C20" s="85" t="s">
        <v>46</v>
      </c>
      <c r="D20" s="86"/>
      <c r="E20" s="86"/>
      <c r="F20" s="86"/>
      <c r="G20" s="87"/>
      <c r="H20" s="1" t="s">
        <v>5</v>
      </c>
      <c r="I20" s="36"/>
      <c r="J20" s="36"/>
      <c r="K20" s="4"/>
      <c r="L20" s="43">
        <f>SUM(L21:L23)</f>
        <v>0</v>
      </c>
      <c r="M20" s="43">
        <f t="shared" ref="M20:U20" si="2">SUM(M21:M23)</f>
        <v>0</v>
      </c>
      <c r="N20" s="43">
        <f t="shared" si="2"/>
        <v>0</v>
      </c>
      <c r="O20" s="43">
        <f t="shared" si="2"/>
        <v>0</v>
      </c>
      <c r="P20" s="43">
        <f t="shared" si="2"/>
        <v>0</v>
      </c>
      <c r="Q20" s="43">
        <f t="shared" si="2"/>
        <v>0</v>
      </c>
      <c r="R20" s="43">
        <f t="shared" si="2"/>
        <v>0</v>
      </c>
      <c r="S20" s="43">
        <f t="shared" si="2"/>
        <v>0</v>
      </c>
      <c r="T20" s="43">
        <f t="shared" si="2"/>
        <v>0</v>
      </c>
      <c r="U20" s="43">
        <f t="shared" si="2"/>
        <v>0</v>
      </c>
      <c r="V20" s="43">
        <v>0</v>
      </c>
      <c r="W20" s="48">
        <f t="shared" ref="W20:W71" si="3">M20+O20+Q20+S20+U20</f>
        <v>0</v>
      </c>
    </row>
    <row r="21" spans="1:23" s="3" customFormat="1" ht="16.5" customHeight="1" x14ac:dyDescent="0.2">
      <c r="A21" s="80" t="s">
        <v>12</v>
      </c>
      <c r="B21" s="81"/>
      <c r="C21" s="85" t="s">
        <v>47</v>
      </c>
      <c r="D21" s="86"/>
      <c r="E21" s="86"/>
      <c r="F21" s="86"/>
      <c r="G21" s="87"/>
      <c r="H21" s="1" t="s">
        <v>5</v>
      </c>
      <c r="I21" s="36"/>
      <c r="J21" s="36"/>
      <c r="K21" s="4"/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8">
        <f t="shared" si="3"/>
        <v>0</v>
      </c>
    </row>
    <row r="22" spans="1:23" s="3" customFormat="1" ht="16.5" customHeight="1" x14ac:dyDescent="0.2">
      <c r="A22" s="80" t="s">
        <v>13</v>
      </c>
      <c r="B22" s="81"/>
      <c r="C22" s="85" t="s">
        <v>52</v>
      </c>
      <c r="D22" s="86"/>
      <c r="E22" s="86"/>
      <c r="F22" s="86"/>
      <c r="G22" s="87"/>
      <c r="H22" s="1" t="s">
        <v>5</v>
      </c>
      <c r="I22" s="36"/>
      <c r="J22" s="36"/>
      <c r="K22" s="4"/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8">
        <f t="shared" si="3"/>
        <v>0</v>
      </c>
    </row>
    <row r="23" spans="1:23" s="3" customFormat="1" ht="16.5" customHeight="1" x14ac:dyDescent="0.2">
      <c r="A23" s="80" t="s">
        <v>14</v>
      </c>
      <c r="B23" s="81"/>
      <c r="C23" s="85" t="s">
        <v>53</v>
      </c>
      <c r="D23" s="86"/>
      <c r="E23" s="86"/>
      <c r="F23" s="86"/>
      <c r="G23" s="87"/>
      <c r="H23" s="1" t="s">
        <v>5</v>
      </c>
      <c r="I23" s="36"/>
      <c r="J23" s="36"/>
      <c r="K23" s="4"/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8">
        <f t="shared" si="3"/>
        <v>0</v>
      </c>
    </row>
    <row r="24" spans="1:23" s="3" customFormat="1" ht="8.1" customHeight="1" x14ac:dyDescent="0.2">
      <c r="A24" s="80" t="s">
        <v>15</v>
      </c>
      <c r="B24" s="81"/>
      <c r="C24" s="85" t="s">
        <v>54</v>
      </c>
      <c r="D24" s="86"/>
      <c r="E24" s="86"/>
      <c r="F24" s="86"/>
      <c r="G24" s="87"/>
      <c r="H24" s="1" t="s">
        <v>5</v>
      </c>
      <c r="I24" s="36"/>
      <c r="J24" s="36"/>
      <c r="K24" s="4"/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8">
        <f t="shared" si="3"/>
        <v>0</v>
      </c>
    </row>
    <row r="25" spans="1:23" s="3" customFormat="1" ht="8.1" customHeight="1" x14ac:dyDescent="0.2">
      <c r="A25" s="80" t="s">
        <v>16</v>
      </c>
      <c r="B25" s="81"/>
      <c r="C25" s="85" t="s">
        <v>76</v>
      </c>
      <c r="D25" s="86"/>
      <c r="E25" s="86"/>
      <c r="F25" s="86"/>
      <c r="G25" s="87"/>
      <c r="H25" s="1" t="s">
        <v>5</v>
      </c>
      <c r="I25" s="36">
        <v>211.46</v>
      </c>
      <c r="J25" s="36">
        <v>260.3</v>
      </c>
      <c r="K25" s="4">
        <f>'[1]3.Программа реализации'!$F$11/1000</f>
        <v>229.61979571666672</v>
      </c>
      <c r="L25" s="43">
        <v>254.27</v>
      </c>
      <c r="M25" s="43">
        <v>252.96993630833333</v>
      </c>
      <c r="N25" s="43">
        <v>318.12</v>
      </c>
      <c r="O25" s="43">
        <v>318.12</v>
      </c>
      <c r="P25" s="43">
        <v>323.33999999999997</v>
      </c>
      <c r="Q25" s="43">
        <f>([2]модель!$R$260-[2]модель!$R$258+'[3]1_21'!$G$24)/1000</f>
        <v>407.22413657885988</v>
      </c>
      <c r="R25" s="43">
        <v>328.75</v>
      </c>
      <c r="S25" s="43">
        <f>([2]модель!$S$260+'[3]1_21'!$G$52)/1000</f>
        <v>378.16907444396651</v>
      </c>
      <c r="T25" s="43">
        <v>334.32</v>
      </c>
      <c r="U25" s="43">
        <f>[2]модель!$T$260/1000</f>
        <v>404.32067940054156</v>
      </c>
      <c r="V25" s="43">
        <f>L25+N25+P25+R25+T25</f>
        <v>1558.8</v>
      </c>
      <c r="W25" s="48">
        <f t="shared" si="3"/>
        <v>1760.8038267317013</v>
      </c>
    </row>
    <row r="26" spans="1:23" s="3" customFormat="1" ht="8.1" customHeight="1" x14ac:dyDescent="0.2">
      <c r="A26" s="80" t="s">
        <v>17</v>
      </c>
      <c r="B26" s="81"/>
      <c r="C26" s="85" t="s">
        <v>77</v>
      </c>
      <c r="D26" s="86"/>
      <c r="E26" s="86"/>
      <c r="F26" s="86"/>
      <c r="G26" s="87"/>
      <c r="H26" s="1" t="s">
        <v>5</v>
      </c>
      <c r="I26" s="36"/>
      <c r="J26" s="36"/>
      <c r="K26" s="4"/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f t="shared" ref="V26:V76" si="4">L26+N26+P26+R26+T26</f>
        <v>0</v>
      </c>
      <c r="W26" s="48">
        <f t="shared" si="3"/>
        <v>0</v>
      </c>
    </row>
    <row r="27" spans="1:23" s="3" customFormat="1" ht="8.1" customHeight="1" x14ac:dyDescent="0.2">
      <c r="A27" s="80" t="s">
        <v>18</v>
      </c>
      <c r="B27" s="81"/>
      <c r="C27" s="85" t="s">
        <v>78</v>
      </c>
      <c r="D27" s="86"/>
      <c r="E27" s="86"/>
      <c r="F27" s="86"/>
      <c r="G27" s="87"/>
      <c r="H27" s="1" t="s">
        <v>5</v>
      </c>
      <c r="I27" s="36">
        <v>85.26</v>
      </c>
      <c r="J27" s="36">
        <v>107</v>
      </c>
      <c r="K27" s="4">
        <f>'[1]3.Программа реализации'!$F$117/1000</f>
        <v>125.21140197500002</v>
      </c>
      <c r="L27" s="43">
        <v>55</v>
      </c>
      <c r="M27" s="43">
        <v>112.15395182499999</v>
      </c>
      <c r="N27" s="43">
        <v>228</v>
      </c>
      <c r="O27" s="43">
        <v>228</v>
      </c>
      <c r="P27" s="43">
        <v>60</v>
      </c>
      <c r="Q27" s="43">
        <v>60</v>
      </c>
      <c r="R27" s="43">
        <v>57</v>
      </c>
      <c r="S27" s="43">
        <v>57</v>
      </c>
      <c r="T27" s="43">
        <v>240.81</v>
      </c>
      <c r="U27" s="43">
        <v>240.81</v>
      </c>
      <c r="V27" s="43">
        <f t="shared" si="4"/>
        <v>640.80999999999995</v>
      </c>
      <c r="W27" s="48">
        <f t="shared" si="3"/>
        <v>697.96395182499998</v>
      </c>
    </row>
    <row r="28" spans="1:23" s="3" customFormat="1" ht="8.1" customHeight="1" x14ac:dyDescent="0.2">
      <c r="A28" s="80" t="s">
        <v>19</v>
      </c>
      <c r="B28" s="81"/>
      <c r="C28" s="85" t="s">
        <v>79</v>
      </c>
      <c r="D28" s="86"/>
      <c r="E28" s="86"/>
      <c r="F28" s="86"/>
      <c r="G28" s="87"/>
      <c r="H28" s="1" t="s">
        <v>5</v>
      </c>
      <c r="I28" s="36">
        <v>339.05</v>
      </c>
      <c r="J28" s="36">
        <v>359.52</v>
      </c>
      <c r="K28" s="4">
        <f>'[1]3.Программа реализации'!$F$123/1000</f>
        <v>387.79661964166667</v>
      </c>
      <c r="L28" s="43">
        <v>379.03</v>
      </c>
      <c r="M28" s="43">
        <v>397.73342698333335</v>
      </c>
      <c r="N28" s="43">
        <v>398.9</v>
      </c>
      <c r="O28" s="43">
        <f>[4]П1_15_2022!$E$51/1000</f>
        <v>392.49700000000001</v>
      </c>
      <c r="P28" s="43">
        <v>420.25</v>
      </c>
      <c r="Q28" s="43">
        <f>[4]П1_15_2022!$F$51/1000</f>
        <v>448.44018239023484</v>
      </c>
      <c r="R28" s="43">
        <v>443.14</v>
      </c>
      <c r="S28" s="43">
        <v>443.14</v>
      </c>
      <c r="T28" s="43">
        <v>467.26</v>
      </c>
      <c r="U28" s="43">
        <v>467.26</v>
      </c>
      <c r="V28" s="43">
        <f t="shared" si="4"/>
        <v>2108.58</v>
      </c>
      <c r="W28" s="48">
        <f t="shared" si="3"/>
        <v>2149.070609373568</v>
      </c>
    </row>
    <row r="29" spans="1:23" s="3" customFormat="1" ht="8.1" customHeight="1" x14ac:dyDescent="0.2">
      <c r="A29" s="80" t="s">
        <v>20</v>
      </c>
      <c r="B29" s="81"/>
      <c r="C29" s="85" t="s">
        <v>80</v>
      </c>
      <c r="D29" s="86"/>
      <c r="E29" s="86"/>
      <c r="F29" s="86"/>
      <c r="G29" s="87"/>
      <c r="H29" s="1" t="s">
        <v>5</v>
      </c>
      <c r="I29" s="36"/>
      <c r="J29" s="36"/>
      <c r="K29" s="4"/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f t="shared" si="4"/>
        <v>0</v>
      </c>
      <c r="W29" s="48">
        <f t="shared" si="3"/>
        <v>0</v>
      </c>
    </row>
    <row r="30" spans="1:23" s="3" customFormat="1" ht="16.5" customHeight="1" x14ac:dyDescent="0.2">
      <c r="A30" s="80" t="s">
        <v>21</v>
      </c>
      <c r="B30" s="81"/>
      <c r="C30" s="85" t="s">
        <v>81</v>
      </c>
      <c r="D30" s="86"/>
      <c r="E30" s="86"/>
      <c r="F30" s="86"/>
      <c r="G30" s="87"/>
      <c r="H30" s="1" t="s">
        <v>5</v>
      </c>
      <c r="I30" s="36"/>
      <c r="J30" s="36"/>
      <c r="K30" s="4"/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f t="shared" si="4"/>
        <v>0</v>
      </c>
      <c r="W30" s="48">
        <f t="shared" si="3"/>
        <v>0</v>
      </c>
    </row>
    <row r="31" spans="1:23" s="3" customFormat="1" ht="8.1" customHeight="1" x14ac:dyDescent="0.2">
      <c r="A31" s="80" t="s">
        <v>22</v>
      </c>
      <c r="B31" s="81"/>
      <c r="C31" s="77" t="s">
        <v>82</v>
      </c>
      <c r="D31" s="78"/>
      <c r="E31" s="78"/>
      <c r="F31" s="78"/>
      <c r="G31" s="79"/>
      <c r="H31" s="1" t="s">
        <v>5</v>
      </c>
      <c r="I31" s="36"/>
      <c r="J31" s="36"/>
      <c r="K31" s="4"/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f t="shared" si="4"/>
        <v>0</v>
      </c>
      <c r="W31" s="48">
        <f t="shared" si="3"/>
        <v>0</v>
      </c>
    </row>
    <row r="32" spans="1:23" s="3" customFormat="1" ht="8.1" customHeight="1" x14ac:dyDescent="0.2">
      <c r="A32" s="80" t="s">
        <v>23</v>
      </c>
      <c r="B32" s="81"/>
      <c r="C32" s="77" t="s">
        <v>83</v>
      </c>
      <c r="D32" s="78"/>
      <c r="E32" s="78"/>
      <c r="F32" s="78"/>
      <c r="G32" s="79"/>
      <c r="H32" s="1" t="s">
        <v>5</v>
      </c>
      <c r="I32" s="36"/>
      <c r="J32" s="36"/>
      <c r="K32" s="4"/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f t="shared" si="4"/>
        <v>0</v>
      </c>
      <c r="W32" s="48">
        <f t="shared" si="3"/>
        <v>0</v>
      </c>
    </row>
    <row r="33" spans="1:23" s="3" customFormat="1" ht="8.1" customHeight="1" x14ac:dyDescent="0.2">
      <c r="A33" s="80" t="s">
        <v>24</v>
      </c>
      <c r="B33" s="81"/>
      <c r="C33" s="85" t="s">
        <v>84</v>
      </c>
      <c r="D33" s="86"/>
      <c r="E33" s="86"/>
      <c r="F33" s="86"/>
      <c r="G33" s="87"/>
      <c r="H33" s="1" t="s">
        <v>5</v>
      </c>
      <c r="I33" s="36">
        <v>6.86</v>
      </c>
      <c r="J33" s="36"/>
      <c r="K33" s="4">
        <f>'[1]3.Программа реализации'!$F$163/1000</f>
        <v>6.851396891666667</v>
      </c>
      <c r="L33" s="43">
        <v>0</v>
      </c>
      <c r="M33" s="43">
        <v>4.5277335833333332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f t="shared" si="4"/>
        <v>0</v>
      </c>
      <c r="W33" s="48">
        <f t="shared" si="3"/>
        <v>4.5277335833333332</v>
      </c>
    </row>
    <row r="34" spans="1:23" s="3" customFormat="1" ht="16.5" customHeight="1" x14ac:dyDescent="0.2">
      <c r="A34" s="80" t="s">
        <v>26</v>
      </c>
      <c r="B34" s="81"/>
      <c r="C34" s="111" t="s">
        <v>85</v>
      </c>
      <c r="D34" s="112"/>
      <c r="E34" s="112"/>
      <c r="F34" s="112"/>
      <c r="G34" s="113"/>
      <c r="H34" s="1" t="s">
        <v>5</v>
      </c>
      <c r="I34" s="36">
        <v>572.33000000000004</v>
      </c>
      <c r="J34" s="36">
        <f t="shared" ref="J34" si="5">J49+J58+J64+J65+J66+J69+J73</f>
        <v>618.27</v>
      </c>
      <c r="K34" s="40">
        <f>(K35+K40+K41+K42+K43+K44+K45+K48)*0+677.06</f>
        <v>677.06</v>
      </c>
      <c r="L34" s="43">
        <f>L35+L39+L40+L41+L42+L43+L44+L45+L48</f>
        <v>685.09</v>
      </c>
      <c r="M34" s="43">
        <f t="shared" ref="M34:W34" si="6">M35+M39+M40+M41+M42+M43+M44+M45+M48</f>
        <v>690.95468443000004</v>
      </c>
      <c r="N34" s="43">
        <f t="shared" si="6"/>
        <v>727.37999999999988</v>
      </c>
      <c r="O34" s="43">
        <f t="shared" si="6"/>
        <v>831.18536132627332</v>
      </c>
      <c r="P34" s="43">
        <f t="shared" si="6"/>
        <v>779.97</v>
      </c>
      <c r="Q34" s="43">
        <f t="shared" si="6"/>
        <v>860.70457851755828</v>
      </c>
      <c r="R34" s="43">
        <f t="shared" si="6"/>
        <v>810.8900000000001</v>
      </c>
      <c r="S34" s="43">
        <f t="shared" si="6"/>
        <v>880.22101159396652</v>
      </c>
      <c r="T34" s="43">
        <f t="shared" si="6"/>
        <v>854.09999999999991</v>
      </c>
      <c r="U34" s="43">
        <f t="shared" si="6"/>
        <v>929.12013940054135</v>
      </c>
      <c r="V34" s="43">
        <f t="shared" si="6"/>
        <v>3857.4300000000003</v>
      </c>
      <c r="W34" s="43">
        <f t="shared" si="6"/>
        <v>4192.1857752683391</v>
      </c>
    </row>
    <row r="35" spans="1:23" s="3" customFormat="1" ht="8.1" customHeight="1" x14ac:dyDescent="0.2">
      <c r="A35" s="80" t="s">
        <v>28</v>
      </c>
      <c r="B35" s="81"/>
      <c r="C35" s="85" t="s">
        <v>46</v>
      </c>
      <c r="D35" s="86"/>
      <c r="E35" s="86"/>
      <c r="F35" s="86"/>
      <c r="G35" s="87"/>
      <c r="H35" s="1" t="s">
        <v>5</v>
      </c>
      <c r="I35" s="36"/>
      <c r="J35" s="36"/>
      <c r="K35" s="40"/>
      <c r="L35" s="43">
        <f>SUM(L36:L38)</f>
        <v>0</v>
      </c>
      <c r="M35" s="43">
        <f t="shared" ref="M35:W35" si="7">SUM(M36:M38)</f>
        <v>0</v>
      </c>
      <c r="N35" s="43">
        <f t="shared" si="7"/>
        <v>0</v>
      </c>
      <c r="O35" s="43">
        <f t="shared" si="7"/>
        <v>0</v>
      </c>
      <c r="P35" s="43">
        <f t="shared" si="7"/>
        <v>0</v>
      </c>
      <c r="Q35" s="43">
        <f t="shared" si="7"/>
        <v>0</v>
      </c>
      <c r="R35" s="43">
        <f t="shared" si="7"/>
        <v>0</v>
      </c>
      <c r="S35" s="43">
        <f t="shared" si="7"/>
        <v>0</v>
      </c>
      <c r="T35" s="43">
        <f t="shared" si="7"/>
        <v>0</v>
      </c>
      <c r="U35" s="43">
        <f t="shared" si="7"/>
        <v>0</v>
      </c>
      <c r="V35" s="43">
        <f t="shared" si="7"/>
        <v>0</v>
      </c>
      <c r="W35" s="43">
        <f t="shared" si="7"/>
        <v>0</v>
      </c>
    </row>
    <row r="36" spans="1:23" s="3" customFormat="1" ht="16.5" customHeight="1" x14ac:dyDescent="0.2">
      <c r="A36" s="80" t="s">
        <v>27</v>
      </c>
      <c r="B36" s="81"/>
      <c r="C36" s="77" t="s">
        <v>47</v>
      </c>
      <c r="D36" s="78"/>
      <c r="E36" s="78"/>
      <c r="F36" s="78"/>
      <c r="G36" s="79"/>
      <c r="H36" s="1" t="s">
        <v>5</v>
      </c>
      <c r="I36" s="36"/>
      <c r="J36" s="36"/>
      <c r="K36" s="40"/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f t="shared" ref="V36:W39" si="8">L36+N36+P36+R36+T36</f>
        <v>0</v>
      </c>
      <c r="W36" s="67">
        <f t="shared" si="8"/>
        <v>0</v>
      </c>
    </row>
    <row r="37" spans="1:23" s="3" customFormat="1" ht="16.5" customHeight="1" x14ac:dyDescent="0.2">
      <c r="A37" s="80" t="s">
        <v>29</v>
      </c>
      <c r="B37" s="81"/>
      <c r="C37" s="77" t="s">
        <v>52</v>
      </c>
      <c r="D37" s="78"/>
      <c r="E37" s="78"/>
      <c r="F37" s="78"/>
      <c r="G37" s="79"/>
      <c r="H37" s="1" t="s">
        <v>5</v>
      </c>
      <c r="I37" s="36"/>
      <c r="J37" s="36"/>
      <c r="K37" s="40"/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f t="shared" si="8"/>
        <v>0</v>
      </c>
      <c r="W37" s="67">
        <f t="shared" si="8"/>
        <v>0</v>
      </c>
    </row>
    <row r="38" spans="1:23" s="3" customFormat="1" ht="16.5" customHeight="1" x14ac:dyDescent="0.2">
      <c r="A38" s="80" t="s">
        <v>30</v>
      </c>
      <c r="B38" s="81"/>
      <c r="C38" s="77" t="s">
        <v>53</v>
      </c>
      <c r="D38" s="78"/>
      <c r="E38" s="78"/>
      <c r="F38" s="78"/>
      <c r="G38" s="79"/>
      <c r="H38" s="1" t="s">
        <v>5</v>
      </c>
      <c r="I38" s="36"/>
      <c r="J38" s="36"/>
      <c r="K38" s="40"/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f t="shared" si="8"/>
        <v>0</v>
      </c>
      <c r="W38" s="67">
        <f t="shared" si="8"/>
        <v>0</v>
      </c>
    </row>
    <row r="39" spans="1:23" s="3" customFormat="1" ht="8.1" customHeight="1" x14ac:dyDescent="0.2">
      <c r="A39" s="80" t="s">
        <v>31</v>
      </c>
      <c r="B39" s="81"/>
      <c r="C39" s="85" t="s">
        <v>54</v>
      </c>
      <c r="D39" s="86"/>
      <c r="E39" s="86"/>
      <c r="F39" s="86"/>
      <c r="G39" s="87"/>
      <c r="H39" s="1" t="s">
        <v>5</v>
      </c>
      <c r="I39" s="36"/>
      <c r="J39" s="36"/>
      <c r="K39" s="40"/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f t="shared" si="8"/>
        <v>0</v>
      </c>
      <c r="W39" s="67">
        <f t="shared" si="8"/>
        <v>0</v>
      </c>
    </row>
    <row r="40" spans="1:23" s="3" customFormat="1" ht="8.1" customHeight="1" x14ac:dyDescent="0.2">
      <c r="A40" s="80" t="s">
        <v>32</v>
      </c>
      <c r="B40" s="81"/>
      <c r="C40" s="85" t="s">
        <v>76</v>
      </c>
      <c r="D40" s="86"/>
      <c r="E40" s="86"/>
      <c r="F40" s="86"/>
      <c r="G40" s="87"/>
      <c r="H40" s="1" t="s">
        <v>5</v>
      </c>
      <c r="I40" s="36">
        <v>236.88</v>
      </c>
      <c r="J40" s="36">
        <v>261.91000000000003</v>
      </c>
      <c r="K40" s="40">
        <f>'[1]9.1. Смета затрат'!$F$731/1000*0+285.19</f>
        <v>285.19</v>
      </c>
      <c r="L40" s="43">
        <v>309.26000000000005</v>
      </c>
      <c r="M40" s="43">
        <f>'[5]9.1. Смета затрат'!$H$731/1000</f>
        <v>296.79884098000002</v>
      </c>
      <c r="N40" s="43">
        <v>331.90999999999997</v>
      </c>
      <c r="O40" s="43">
        <v>383.13438293603849</v>
      </c>
      <c r="P40" s="43">
        <v>363.5</v>
      </c>
      <c r="Q40" s="43">
        <v>424.95134861885981</v>
      </c>
      <c r="R40" s="43">
        <v>371.86000000000013</v>
      </c>
      <c r="S40" s="43">
        <v>441.19101159396655</v>
      </c>
      <c r="T40" s="43">
        <v>391.28</v>
      </c>
      <c r="U40" s="43">
        <v>466.30013940054141</v>
      </c>
      <c r="V40" s="43">
        <f t="shared" si="4"/>
        <v>1767.8100000000002</v>
      </c>
      <c r="W40" s="48">
        <f t="shared" si="3"/>
        <v>2012.3757235294063</v>
      </c>
    </row>
    <row r="41" spans="1:23" s="3" customFormat="1" ht="8.1" customHeight="1" x14ac:dyDescent="0.2">
      <c r="A41" s="80" t="s">
        <v>33</v>
      </c>
      <c r="B41" s="81"/>
      <c r="C41" s="85" t="s">
        <v>77</v>
      </c>
      <c r="D41" s="86"/>
      <c r="E41" s="86"/>
      <c r="F41" s="86"/>
      <c r="G41" s="87"/>
      <c r="H41" s="1" t="s">
        <v>5</v>
      </c>
      <c r="I41" s="36"/>
      <c r="J41" s="36"/>
      <c r="K41" s="40"/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f t="shared" si="4"/>
        <v>0</v>
      </c>
      <c r="W41" s="48">
        <f t="shared" si="3"/>
        <v>0</v>
      </c>
    </row>
    <row r="42" spans="1:23" s="3" customFormat="1" ht="8.1" customHeight="1" x14ac:dyDescent="0.2">
      <c r="A42" s="80" t="s">
        <v>34</v>
      </c>
      <c r="B42" s="81"/>
      <c r="C42" s="85" t="s">
        <v>78</v>
      </c>
      <c r="D42" s="86"/>
      <c r="E42" s="86"/>
      <c r="F42" s="86"/>
      <c r="G42" s="87"/>
      <c r="H42" s="1" t="s">
        <v>5</v>
      </c>
      <c r="I42" s="36">
        <v>0.67</v>
      </c>
      <c r="J42" s="36">
        <v>1.26</v>
      </c>
      <c r="K42" s="40">
        <f>'[5]9.1. Смета затрат'!$F$1419/1000</f>
        <v>1.4491923899999999</v>
      </c>
      <c r="L42" s="43">
        <v>1.5</v>
      </c>
      <c r="M42" s="43">
        <f>'[5]9.1. Смета затрат'!$H$1419/1000</f>
        <v>1.0615682199999998</v>
      </c>
      <c r="N42" s="43">
        <v>1.57</v>
      </c>
      <c r="O42" s="43">
        <v>1.57</v>
      </c>
      <c r="P42" s="43">
        <v>1.6</v>
      </c>
      <c r="Q42" s="43">
        <v>1.6</v>
      </c>
      <c r="R42" s="43">
        <v>1.65</v>
      </c>
      <c r="S42" s="43">
        <v>1.65</v>
      </c>
      <c r="T42" s="43">
        <v>1.7</v>
      </c>
      <c r="U42" s="43">
        <v>1.7</v>
      </c>
      <c r="V42" s="43">
        <f t="shared" si="4"/>
        <v>8.02</v>
      </c>
      <c r="W42" s="48">
        <f t="shared" si="3"/>
        <v>7.5815682200000003</v>
      </c>
    </row>
    <row r="43" spans="1:23" s="3" customFormat="1" ht="8.1" customHeight="1" x14ac:dyDescent="0.2">
      <c r="A43" s="80" t="s">
        <v>35</v>
      </c>
      <c r="B43" s="81"/>
      <c r="C43" s="85" t="s">
        <v>79</v>
      </c>
      <c r="D43" s="86"/>
      <c r="E43" s="86"/>
      <c r="F43" s="86"/>
      <c r="G43" s="87"/>
      <c r="H43" s="1" t="s">
        <v>5</v>
      </c>
      <c r="I43" s="36">
        <v>334.46</v>
      </c>
      <c r="J43" s="36">
        <v>354.63</v>
      </c>
      <c r="K43" s="40">
        <f>'[5]9.1. Смета затрат'!$F$2099/1000</f>
        <v>383.50392832</v>
      </c>
      <c r="L43" s="43">
        <v>374.33</v>
      </c>
      <c r="M43" s="43">
        <f>'[5]9.1. Смета затрат'!$H$2099/1000</f>
        <v>392.49700451000001</v>
      </c>
      <c r="N43" s="43">
        <v>393.9</v>
      </c>
      <c r="O43" s="43">
        <v>446.48097839023484</v>
      </c>
      <c r="P43" s="43">
        <v>414.87</v>
      </c>
      <c r="Q43" s="43">
        <v>434.1532298986985</v>
      </c>
      <c r="R43" s="43">
        <v>437.38</v>
      </c>
      <c r="S43" s="43">
        <v>437.38</v>
      </c>
      <c r="T43" s="43">
        <v>461.12</v>
      </c>
      <c r="U43" s="43">
        <v>461.12</v>
      </c>
      <c r="V43" s="43">
        <f t="shared" si="4"/>
        <v>2081.6</v>
      </c>
      <c r="W43" s="48">
        <f t="shared" si="3"/>
        <v>2171.6312127989331</v>
      </c>
    </row>
    <row r="44" spans="1:23" s="3" customFormat="1" ht="8.1" customHeight="1" x14ac:dyDescent="0.2">
      <c r="A44" s="80" t="s">
        <v>36</v>
      </c>
      <c r="B44" s="81"/>
      <c r="C44" s="85" t="s">
        <v>80</v>
      </c>
      <c r="D44" s="86"/>
      <c r="E44" s="86"/>
      <c r="F44" s="86"/>
      <c r="G44" s="87"/>
      <c r="H44" s="1" t="s">
        <v>5</v>
      </c>
      <c r="I44" s="36"/>
      <c r="J44" s="36"/>
      <c r="K44" s="40"/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f t="shared" si="4"/>
        <v>0</v>
      </c>
      <c r="W44" s="48">
        <f t="shared" si="3"/>
        <v>0</v>
      </c>
    </row>
    <row r="45" spans="1:23" s="3" customFormat="1" ht="16.5" customHeight="1" x14ac:dyDescent="0.2">
      <c r="A45" s="80" t="s">
        <v>37</v>
      </c>
      <c r="B45" s="81"/>
      <c r="C45" s="85" t="s">
        <v>81</v>
      </c>
      <c r="D45" s="86"/>
      <c r="E45" s="86"/>
      <c r="F45" s="86"/>
      <c r="G45" s="87"/>
      <c r="H45" s="1" t="s">
        <v>5</v>
      </c>
      <c r="I45" s="36"/>
      <c r="J45" s="36"/>
      <c r="K45" s="40"/>
      <c r="L45" s="43">
        <f>SUM(L46:L47)</f>
        <v>0</v>
      </c>
      <c r="M45" s="43">
        <f t="shared" ref="M45:U45" si="9">SUM(M46:M47)</f>
        <v>0</v>
      </c>
      <c r="N45" s="43">
        <f t="shared" si="9"/>
        <v>0</v>
      </c>
      <c r="O45" s="43">
        <f t="shared" si="9"/>
        <v>0</v>
      </c>
      <c r="P45" s="43">
        <f t="shared" si="9"/>
        <v>0</v>
      </c>
      <c r="Q45" s="43">
        <f t="shared" si="9"/>
        <v>0</v>
      </c>
      <c r="R45" s="43">
        <f t="shared" si="9"/>
        <v>0</v>
      </c>
      <c r="S45" s="43">
        <f t="shared" si="9"/>
        <v>0</v>
      </c>
      <c r="T45" s="43">
        <f t="shared" si="9"/>
        <v>0</v>
      </c>
      <c r="U45" s="43">
        <f t="shared" si="9"/>
        <v>0</v>
      </c>
      <c r="V45" s="43">
        <f t="shared" si="4"/>
        <v>0</v>
      </c>
      <c r="W45" s="48">
        <f t="shared" si="3"/>
        <v>0</v>
      </c>
    </row>
    <row r="46" spans="1:23" s="3" customFormat="1" ht="8.1" customHeight="1" x14ac:dyDescent="0.2">
      <c r="A46" s="80" t="s">
        <v>38</v>
      </c>
      <c r="B46" s="81"/>
      <c r="C46" s="77" t="s">
        <v>82</v>
      </c>
      <c r="D46" s="78"/>
      <c r="E46" s="78"/>
      <c r="F46" s="78"/>
      <c r="G46" s="79"/>
      <c r="H46" s="1" t="s">
        <v>5</v>
      </c>
      <c r="I46" s="36"/>
      <c r="J46" s="36"/>
      <c r="K46" s="40"/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f t="shared" si="4"/>
        <v>0</v>
      </c>
      <c r="W46" s="48">
        <f t="shared" si="3"/>
        <v>0</v>
      </c>
    </row>
    <row r="47" spans="1:23" s="3" customFormat="1" ht="8.1" customHeight="1" x14ac:dyDescent="0.2">
      <c r="A47" s="80" t="s">
        <v>39</v>
      </c>
      <c r="B47" s="81"/>
      <c r="C47" s="77" t="s">
        <v>83</v>
      </c>
      <c r="D47" s="78"/>
      <c r="E47" s="78"/>
      <c r="F47" s="78"/>
      <c r="G47" s="79"/>
      <c r="H47" s="1" t="s">
        <v>5</v>
      </c>
      <c r="I47" s="36"/>
      <c r="J47" s="36"/>
      <c r="K47" s="40"/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f t="shared" si="4"/>
        <v>0</v>
      </c>
      <c r="W47" s="48">
        <f t="shared" si="3"/>
        <v>0</v>
      </c>
    </row>
    <row r="48" spans="1:23" s="3" customFormat="1" ht="8.1" customHeight="1" x14ac:dyDescent="0.2">
      <c r="A48" s="80" t="s">
        <v>40</v>
      </c>
      <c r="B48" s="81"/>
      <c r="C48" s="85" t="s">
        <v>84</v>
      </c>
      <c r="D48" s="86"/>
      <c r="E48" s="86"/>
      <c r="F48" s="86"/>
      <c r="G48" s="87"/>
      <c r="H48" s="1" t="s">
        <v>5</v>
      </c>
      <c r="I48" s="36">
        <v>0.32</v>
      </c>
      <c r="J48" s="36"/>
      <c r="K48" s="40">
        <f>'[5]9.1. Смета затрат'!$F$2787/1000</f>
        <v>0.69184559999999995</v>
      </c>
      <c r="L48" s="43">
        <v>0</v>
      </c>
      <c r="M48" s="43">
        <f>'[5]9.1. Смета затрат'!$H$2787/1000</f>
        <v>0.59727072000000003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f t="shared" si="4"/>
        <v>0</v>
      </c>
      <c r="W48" s="48">
        <f t="shared" si="3"/>
        <v>0.59727072000000003</v>
      </c>
    </row>
    <row r="49" spans="1:23" s="3" customFormat="1" ht="8.1" customHeight="1" x14ac:dyDescent="0.2">
      <c r="A49" s="80" t="s">
        <v>41</v>
      </c>
      <c r="B49" s="81"/>
      <c r="C49" s="85" t="s">
        <v>86</v>
      </c>
      <c r="D49" s="86"/>
      <c r="E49" s="86"/>
      <c r="F49" s="86"/>
      <c r="G49" s="87"/>
      <c r="H49" s="1" t="s">
        <v>5</v>
      </c>
      <c r="I49" s="36">
        <f>I51+I56</f>
        <v>348.84</v>
      </c>
      <c r="J49" s="36">
        <f t="shared" ref="J49" si="10">J51+J56</f>
        <v>373.21</v>
      </c>
      <c r="K49" s="40">
        <f>K51+K57+K56</f>
        <v>424.39670036000007</v>
      </c>
      <c r="L49" s="43">
        <f>L50+L51+L56+L57</f>
        <v>414.58</v>
      </c>
      <c r="M49" s="43">
        <f t="shared" ref="M49:U49" si="11">M50+M51+M56+M57</f>
        <v>424.35076909000003</v>
      </c>
      <c r="N49" s="43">
        <f t="shared" si="11"/>
        <v>439.68</v>
      </c>
      <c r="O49" s="43">
        <f t="shared" si="11"/>
        <v>488.73285022681944</v>
      </c>
      <c r="P49" s="43">
        <f t="shared" si="11"/>
        <v>462.39</v>
      </c>
      <c r="Q49" s="43">
        <f t="shared" si="11"/>
        <v>478.01357989869854</v>
      </c>
      <c r="R49" s="43">
        <f t="shared" si="11"/>
        <v>486.71</v>
      </c>
      <c r="S49" s="43">
        <f t="shared" si="11"/>
        <v>482.90235999999999</v>
      </c>
      <c r="T49" s="43">
        <f t="shared" si="11"/>
        <v>512.32000000000005</v>
      </c>
      <c r="U49" s="43">
        <f t="shared" si="11"/>
        <v>508.37045999999998</v>
      </c>
      <c r="V49" s="43">
        <f t="shared" si="4"/>
        <v>2315.6800000000003</v>
      </c>
      <c r="W49" s="67">
        <f t="shared" si="3"/>
        <v>2382.3700192155179</v>
      </c>
    </row>
    <row r="50" spans="1:23" s="3" customFormat="1" ht="8.1" customHeight="1" x14ac:dyDescent="0.2">
      <c r="A50" s="80" t="s">
        <v>27</v>
      </c>
      <c r="B50" s="81"/>
      <c r="C50" s="77" t="s">
        <v>87</v>
      </c>
      <c r="D50" s="78"/>
      <c r="E50" s="78"/>
      <c r="F50" s="78"/>
      <c r="G50" s="79"/>
      <c r="H50" s="1" t="s">
        <v>5</v>
      </c>
      <c r="I50" s="36"/>
      <c r="J50" s="36"/>
      <c r="K50" s="40"/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f t="shared" si="4"/>
        <v>0</v>
      </c>
      <c r="W50" s="67">
        <f t="shared" si="3"/>
        <v>0</v>
      </c>
    </row>
    <row r="51" spans="1:23" s="3" customFormat="1" ht="8.1" customHeight="1" x14ac:dyDescent="0.2">
      <c r="A51" s="80" t="s">
        <v>29</v>
      </c>
      <c r="B51" s="81"/>
      <c r="C51" s="77" t="s">
        <v>88</v>
      </c>
      <c r="D51" s="78"/>
      <c r="E51" s="78"/>
      <c r="F51" s="78"/>
      <c r="G51" s="79"/>
      <c r="H51" s="1" t="s">
        <v>5</v>
      </c>
      <c r="I51" s="36">
        <f>I52</f>
        <v>348.33</v>
      </c>
      <c r="J51" s="36">
        <f t="shared" ref="J51" si="12">J52</f>
        <v>368.18</v>
      </c>
      <c r="K51" s="40">
        <f>K52+K55</f>
        <v>413.84670036000006</v>
      </c>
      <c r="L51" s="43">
        <f t="shared" ref="L51:U51" si="13">L52</f>
        <v>408.78999999999996</v>
      </c>
      <c r="M51" s="43">
        <f t="shared" si="13"/>
        <v>421.99792635</v>
      </c>
      <c r="N51" s="43">
        <f t="shared" si="13"/>
        <v>433.03000000000003</v>
      </c>
      <c r="O51" s="43">
        <f t="shared" si="13"/>
        <v>482.08285022681946</v>
      </c>
      <c r="P51" s="43">
        <f t="shared" si="13"/>
        <v>455.53999999999996</v>
      </c>
      <c r="Q51" s="43">
        <f t="shared" si="13"/>
        <v>471.16357989869852</v>
      </c>
      <c r="R51" s="43">
        <f t="shared" si="13"/>
        <v>479.65999999999997</v>
      </c>
      <c r="S51" s="43">
        <f t="shared" si="13"/>
        <v>475.85235999999998</v>
      </c>
      <c r="T51" s="43">
        <f t="shared" si="13"/>
        <v>505.06</v>
      </c>
      <c r="U51" s="43">
        <f t="shared" si="13"/>
        <v>501.11045999999999</v>
      </c>
      <c r="V51" s="43">
        <f t="shared" si="4"/>
        <v>2282.08</v>
      </c>
      <c r="W51" s="67">
        <f t="shared" si="3"/>
        <v>2352.2071764755178</v>
      </c>
    </row>
    <row r="52" spans="1:23" s="3" customFormat="1" ht="8.1" customHeight="1" x14ac:dyDescent="0.2">
      <c r="A52" s="80" t="s">
        <v>42</v>
      </c>
      <c r="B52" s="81"/>
      <c r="C52" s="96" t="s">
        <v>89</v>
      </c>
      <c r="D52" s="97"/>
      <c r="E52" s="97"/>
      <c r="F52" s="97"/>
      <c r="G52" s="98"/>
      <c r="H52" s="1" t="s">
        <v>5</v>
      </c>
      <c r="I52" s="36">
        <f>I54+I53</f>
        <v>348.33</v>
      </c>
      <c r="J52" s="36">
        <f t="shared" ref="J52:U52" si="14">J54+J53</f>
        <v>368.18</v>
      </c>
      <c r="K52" s="40">
        <f>K53+K54</f>
        <v>413.84670036000006</v>
      </c>
      <c r="L52" s="43">
        <v>408.78999999999996</v>
      </c>
      <c r="M52" s="43">
        <f t="shared" si="14"/>
        <v>421.99792635</v>
      </c>
      <c r="N52" s="43">
        <v>433.03000000000003</v>
      </c>
      <c r="O52" s="43">
        <f t="shared" si="14"/>
        <v>482.08285022681946</v>
      </c>
      <c r="P52" s="43">
        <v>455.53999999999996</v>
      </c>
      <c r="Q52" s="43">
        <f t="shared" si="14"/>
        <v>471.16357989869852</v>
      </c>
      <c r="R52" s="43">
        <v>479.65999999999997</v>
      </c>
      <c r="S52" s="43">
        <f t="shared" si="14"/>
        <v>475.85235999999998</v>
      </c>
      <c r="T52" s="43">
        <v>505.06</v>
      </c>
      <c r="U52" s="43">
        <f t="shared" si="14"/>
        <v>501.11045999999999</v>
      </c>
      <c r="V52" s="43">
        <f t="shared" si="4"/>
        <v>2282.08</v>
      </c>
      <c r="W52" s="48">
        <f t="shared" si="3"/>
        <v>2352.2071764755178</v>
      </c>
    </row>
    <row r="53" spans="1:23" s="3" customFormat="1" ht="16.5" customHeight="1" x14ac:dyDescent="0.2">
      <c r="A53" s="80" t="s">
        <v>44</v>
      </c>
      <c r="B53" s="81"/>
      <c r="C53" s="99" t="s">
        <v>90</v>
      </c>
      <c r="D53" s="100"/>
      <c r="E53" s="100"/>
      <c r="F53" s="100"/>
      <c r="G53" s="101"/>
      <c r="H53" s="1" t="s">
        <v>5</v>
      </c>
      <c r="I53" s="36">
        <v>17.12</v>
      </c>
      <c r="J53" s="36">
        <v>16.86</v>
      </c>
      <c r="K53" s="40">
        <f>'[5]9.1. Смета затрат'!$F$16/1000</f>
        <v>35.098664679999999</v>
      </c>
      <c r="L53" s="43">
        <v>38.409999999999997</v>
      </c>
      <c r="M53" s="43">
        <f>'[5]9.1. Смета затрат'!$H$228/1000</f>
        <v>33.086680209999997</v>
      </c>
      <c r="N53" s="43">
        <v>43.24</v>
      </c>
      <c r="O53" s="43">
        <f>'[3]1_15'!$E$14/1000</f>
        <v>39.711871836584585</v>
      </c>
      <c r="P53" s="43">
        <v>44.96</v>
      </c>
      <c r="Q53" s="43">
        <f>'[3]1_15'!$F$14/1000</f>
        <v>41.300350000000002</v>
      </c>
      <c r="R53" s="43">
        <v>46.76</v>
      </c>
      <c r="S53" s="43">
        <f>[2]модель!$S$272/1000</f>
        <v>42.952359999999999</v>
      </c>
      <c r="T53" s="43">
        <v>48.62</v>
      </c>
      <c r="U53" s="43">
        <f>[2]модель!$T$272/1000</f>
        <v>44.670459999999999</v>
      </c>
      <c r="V53" s="43">
        <f t="shared" si="4"/>
        <v>221.99</v>
      </c>
      <c r="W53" s="48">
        <f t="shared" si="3"/>
        <v>201.72172204658457</v>
      </c>
    </row>
    <row r="54" spans="1:23" s="3" customFormat="1" ht="8.1" customHeight="1" x14ac:dyDescent="0.2">
      <c r="A54" s="80" t="s">
        <v>55</v>
      </c>
      <c r="B54" s="81"/>
      <c r="C54" s="99" t="s">
        <v>91</v>
      </c>
      <c r="D54" s="100"/>
      <c r="E54" s="100"/>
      <c r="F54" s="100"/>
      <c r="G54" s="101"/>
      <c r="H54" s="1" t="s">
        <v>5</v>
      </c>
      <c r="I54" s="36">
        <v>331.21</v>
      </c>
      <c r="J54" s="36">
        <v>351.32</v>
      </c>
      <c r="K54" s="40">
        <f>'[5]9.1. Смета затрат'!$F$15/1000</f>
        <v>378.74803568000004</v>
      </c>
      <c r="L54" s="43">
        <v>370.38</v>
      </c>
      <c r="M54" s="43">
        <f>'[5]9.1. Смета затрат'!$H$227/1000</f>
        <v>388.91124614</v>
      </c>
      <c r="N54" s="43">
        <v>389.79</v>
      </c>
      <c r="O54" s="43">
        <f>[4]П1_15_2022!$F$15/1000</f>
        <v>442.37097839023488</v>
      </c>
      <c r="P54" s="43">
        <v>410.58</v>
      </c>
      <c r="Q54" s="43">
        <f>[4]П1_15_2022!$G$15/1000</f>
        <v>429.86322989869853</v>
      </c>
      <c r="R54" s="43">
        <v>432.9</v>
      </c>
      <c r="S54" s="43">
        <v>432.9</v>
      </c>
      <c r="T54" s="43">
        <v>456.44</v>
      </c>
      <c r="U54" s="43">
        <v>456.44</v>
      </c>
      <c r="V54" s="43">
        <f t="shared" si="4"/>
        <v>2060.09</v>
      </c>
      <c r="W54" s="48">
        <f t="shared" si="3"/>
        <v>2150.4854544289333</v>
      </c>
    </row>
    <row r="55" spans="1:23" s="3" customFormat="1" ht="8.1" customHeight="1" x14ac:dyDescent="0.2">
      <c r="A55" s="80" t="s">
        <v>43</v>
      </c>
      <c r="B55" s="81"/>
      <c r="C55" s="96" t="s">
        <v>92</v>
      </c>
      <c r="D55" s="97"/>
      <c r="E55" s="97"/>
      <c r="F55" s="97"/>
      <c r="G55" s="98"/>
      <c r="H55" s="1" t="s">
        <v>5</v>
      </c>
      <c r="I55" s="36"/>
      <c r="J55" s="36"/>
      <c r="K55" s="40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f t="shared" si="4"/>
        <v>0</v>
      </c>
      <c r="W55" s="48">
        <f t="shared" si="3"/>
        <v>0</v>
      </c>
    </row>
    <row r="56" spans="1:23" s="3" customFormat="1" ht="8.1" customHeight="1" x14ac:dyDescent="0.2">
      <c r="A56" s="80"/>
      <c r="B56" s="81"/>
      <c r="C56" s="77" t="s">
        <v>93</v>
      </c>
      <c r="D56" s="78"/>
      <c r="E56" s="78"/>
      <c r="F56" s="78"/>
      <c r="G56" s="79"/>
      <c r="H56" s="1" t="s">
        <v>5</v>
      </c>
      <c r="I56" s="36">
        <v>0.51</v>
      </c>
      <c r="J56" s="36">
        <v>5.03</v>
      </c>
      <c r="K56" s="40">
        <f>('[5]9.1. Смета затрат'!$F$13+'[5]9.1. Смета затрат'!$F$21+'[5]9.1. Смета затрат'!$F$23+'[5]9.1. Смета затрат'!$F$24)/1000*0+10.55</f>
        <v>10.55</v>
      </c>
      <c r="L56" s="43">
        <v>5.79</v>
      </c>
      <c r="M56" s="43">
        <f>'[5]9.1. Смета затрат'!$H$225/1000</f>
        <v>0.21232992000000001</v>
      </c>
      <c r="N56" s="43">
        <v>6.65</v>
      </c>
      <c r="O56" s="43">
        <v>6.65</v>
      </c>
      <c r="P56" s="43">
        <v>6.85</v>
      </c>
      <c r="Q56" s="43">
        <v>6.85</v>
      </c>
      <c r="R56" s="43">
        <v>7.05</v>
      </c>
      <c r="S56" s="43">
        <v>7.05</v>
      </c>
      <c r="T56" s="43">
        <v>7.26</v>
      </c>
      <c r="U56" s="43">
        <v>7.26</v>
      </c>
      <c r="V56" s="43">
        <f t="shared" si="4"/>
        <v>33.6</v>
      </c>
      <c r="W56" s="48">
        <f t="shared" si="3"/>
        <v>28.022329919999997</v>
      </c>
    </row>
    <row r="57" spans="1:23" s="3" customFormat="1" ht="8.1" customHeight="1" x14ac:dyDescent="0.2">
      <c r="A57" s="80" t="s">
        <v>56</v>
      </c>
      <c r="B57" s="81"/>
      <c r="C57" s="77" t="s">
        <v>94</v>
      </c>
      <c r="D57" s="78"/>
      <c r="E57" s="78"/>
      <c r="F57" s="78"/>
      <c r="G57" s="79"/>
      <c r="H57" s="1" t="s">
        <v>5</v>
      </c>
      <c r="I57" s="36"/>
      <c r="J57" s="36"/>
      <c r="K57" s="40">
        <v>0</v>
      </c>
      <c r="L57" s="43">
        <v>0</v>
      </c>
      <c r="M57" s="43">
        <f>('[5]9.1. Смета затрат'!$H$233+'[5]9.1. Смета затрат'!$H$235+'[5]9.1. Смета затрат'!$H$236)/1000</f>
        <v>2.1405128200000001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f t="shared" si="4"/>
        <v>0</v>
      </c>
      <c r="W57" s="48">
        <f t="shared" si="3"/>
        <v>2.1405128200000001</v>
      </c>
    </row>
    <row r="58" spans="1:23" s="3" customFormat="1" ht="8.1" customHeight="1" x14ac:dyDescent="0.2">
      <c r="A58" s="80" t="s">
        <v>57</v>
      </c>
      <c r="B58" s="81"/>
      <c r="C58" s="85" t="s">
        <v>95</v>
      </c>
      <c r="D58" s="86"/>
      <c r="E58" s="86"/>
      <c r="F58" s="86"/>
      <c r="G58" s="87"/>
      <c r="H58" s="1" t="s">
        <v>5</v>
      </c>
      <c r="I58" s="36">
        <v>55.76</v>
      </c>
      <c r="J58" s="36">
        <v>50</v>
      </c>
      <c r="K58" s="40">
        <f>SUM(K59:K63)</f>
        <v>62.18</v>
      </c>
      <c r="L58" s="43">
        <f>L59+L60+L61+L62+L63</f>
        <v>35.61</v>
      </c>
      <c r="M58" s="43">
        <f t="shared" ref="M58:W58" si="15">M59+M60+M61+M62+M63</f>
        <v>28.27393398000001</v>
      </c>
      <c r="N58" s="43">
        <f t="shared" si="15"/>
        <v>43.92</v>
      </c>
      <c r="O58" s="43">
        <f t="shared" si="15"/>
        <v>43.92</v>
      </c>
      <c r="P58" s="43">
        <f t="shared" si="15"/>
        <v>45.81</v>
      </c>
      <c r="Q58" s="43">
        <f t="shared" si="15"/>
        <v>45.81</v>
      </c>
      <c r="R58" s="43">
        <f t="shared" si="15"/>
        <v>47.76</v>
      </c>
      <c r="S58" s="43">
        <f t="shared" si="15"/>
        <v>47.76</v>
      </c>
      <c r="T58" s="43">
        <f t="shared" si="15"/>
        <v>49.76</v>
      </c>
      <c r="U58" s="43">
        <f t="shared" si="15"/>
        <v>49.76</v>
      </c>
      <c r="V58" s="43">
        <f t="shared" si="15"/>
        <v>222.85999999999999</v>
      </c>
      <c r="W58" s="43">
        <f t="shared" si="15"/>
        <v>215.52393398000001</v>
      </c>
    </row>
    <row r="59" spans="1:23" s="3" customFormat="1" ht="16.5" customHeight="1" x14ac:dyDescent="0.2">
      <c r="A59" s="80" t="s">
        <v>58</v>
      </c>
      <c r="B59" s="81"/>
      <c r="C59" s="77" t="s">
        <v>96</v>
      </c>
      <c r="D59" s="78"/>
      <c r="E59" s="78"/>
      <c r="F59" s="78"/>
      <c r="G59" s="79"/>
      <c r="H59" s="1" t="s">
        <v>5</v>
      </c>
      <c r="I59" s="36"/>
      <c r="J59" s="36"/>
      <c r="K59" s="40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f t="shared" si="4"/>
        <v>0</v>
      </c>
      <c r="W59" s="48">
        <f t="shared" si="3"/>
        <v>0</v>
      </c>
    </row>
    <row r="60" spans="1:23" s="3" customFormat="1" ht="16.5" customHeight="1" x14ac:dyDescent="0.2">
      <c r="A60" s="80" t="s">
        <v>59</v>
      </c>
      <c r="B60" s="81"/>
      <c r="C60" s="77" t="s">
        <v>97</v>
      </c>
      <c r="D60" s="78"/>
      <c r="E60" s="78"/>
      <c r="F60" s="78"/>
      <c r="G60" s="79"/>
      <c r="H60" s="1" t="s">
        <v>5</v>
      </c>
      <c r="I60" s="36">
        <v>55.76</v>
      </c>
      <c r="J60" s="36">
        <v>50</v>
      </c>
      <c r="K60" s="40">
        <v>62.18</v>
      </c>
      <c r="L60" s="43">
        <v>35.61</v>
      </c>
      <c r="M60" s="43">
        <f>('[5]9.1. Смета затрат'!$H$243+'[5]9.1. Смета затрат'!$H$306+'[5]9.1. Смета затрат'!$H$319)/1000-M74</f>
        <v>28.27393398000001</v>
      </c>
      <c r="N60" s="43">
        <v>43.92</v>
      </c>
      <c r="O60" s="43">
        <v>43.92</v>
      </c>
      <c r="P60" s="43">
        <v>45.81</v>
      </c>
      <c r="Q60" s="43">
        <v>45.81</v>
      </c>
      <c r="R60" s="43">
        <v>47.76</v>
      </c>
      <c r="S60" s="43">
        <v>47.76</v>
      </c>
      <c r="T60" s="43">
        <v>49.76</v>
      </c>
      <c r="U60" s="43">
        <v>49.76</v>
      </c>
      <c r="V60" s="43">
        <f t="shared" si="4"/>
        <v>222.85999999999999</v>
      </c>
      <c r="W60" s="48">
        <f t="shared" si="3"/>
        <v>215.52393398000001</v>
      </c>
    </row>
    <row r="61" spans="1:23" s="3" customFormat="1" ht="8.1" customHeight="1" x14ac:dyDescent="0.2">
      <c r="A61" s="80" t="s">
        <v>60</v>
      </c>
      <c r="B61" s="81"/>
      <c r="C61" s="77" t="s">
        <v>98</v>
      </c>
      <c r="D61" s="78"/>
      <c r="E61" s="78"/>
      <c r="F61" s="78"/>
      <c r="G61" s="79"/>
      <c r="H61" s="1" t="s">
        <v>5</v>
      </c>
      <c r="I61" s="36"/>
      <c r="J61" s="36"/>
      <c r="K61" s="40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f t="shared" si="4"/>
        <v>0</v>
      </c>
      <c r="W61" s="48">
        <f t="shared" si="3"/>
        <v>0</v>
      </c>
    </row>
    <row r="62" spans="1:23" s="3" customFormat="1" ht="8.1" customHeight="1" x14ac:dyDescent="0.2">
      <c r="A62" s="80" t="s">
        <v>61</v>
      </c>
      <c r="B62" s="81"/>
      <c r="C62" s="77" t="s">
        <v>99</v>
      </c>
      <c r="D62" s="78"/>
      <c r="E62" s="78"/>
      <c r="F62" s="78"/>
      <c r="G62" s="79"/>
      <c r="H62" s="1" t="s">
        <v>5</v>
      </c>
      <c r="I62" s="36"/>
      <c r="J62" s="36"/>
      <c r="K62" s="40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f t="shared" si="4"/>
        <v>0</v>
      </c>
      <c r="W62" s="48">
        <f t="shared" si="3"/>
        <v>0</v>
      </c>
    </row>
    <row r="63" spans="1:23" s="3" customFormat="1" ht="8.1" customHeight="1" x14ac:dyDescent="0.2">
      <c r="A63" s="80" t="s">
        <v>62</v>
      </c>
      <c r="B63" s="81"/>
      <c r="C63" s="77" t="s">
        <v>100</v>
      </c>
      <c r="D63" s="78"/>
      <c r="E63" s="78"/>
      <c r="F63" s="78"/>
      <c r="G63" s="79"/>
      <c r="H63" s="1" t="s">
        <v>5</v>
      </c>
      <c r="I63" s="36"/>
      <c r="J63" s="36"/>
      <c r="K63" s="40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f t="shared" si="4"/>
        <v>0</v>
      </c>
      <c r="W63" s="48">
        <f t="shared" si="3"/>
        <v>0</v>
      </c>
    </row>
    <row r="64" spans="1:23" s="3" customFormat="1" ht="8.1" customHeight="1" x14ac:dyDescent="0.2">
      <c r="A64" s="80" t="s">
        <v>63</v>
      </c>
      <c r="B64" s="81"/>
      <c r="C64" s="85" t="s">
        <v>101</v>
      </c>
      <c r="D64" s="86"/>
      <c r="E64" s="86"/>
      <c r="F64" s="86"/>
      <c r="G64" s="87"/>
      <c r="H64" s="1" t="s">
        <v>5</v>
      </c>
      <c r="I64" s="36">
        <v>25.11</v>
      </c>
      <c r="J64" s="36">
        <v>35.869999999999997</v>
      </c>
      <c r="K64" s="40">
        <f>'[5]9.1. Смета затрат'!$F$45/1000</f>
        <v>36.638391810000002</v>
      </c>
      <c r="L64" s="43">
        <v>42.19</v>
      </c>
      <c r="M64" s="43">
        <f>('[5]9.1. Смета затрат'!$H$257+'[5]9.1. Смета затрат'!$H$431)/1000</f>
        <v>41.227289090000006</v>
      </c>
      <c r="N64" s="43">
        <v>48.77</v>
      </c>
      <c r="O64" s="43">
        <v>48.77</v>
      </c>
      <c r="P64" s="43">
        <v>52.8</v>
      </c>
      <c r="Q64" s="43">
        <v>52.8</v>
      </c>
      <c r="R64" s="43">
        <v>56.61</v>
      </c>
      <c r="S64" s="43">
        <v>56.61</v>
      </c>
      <c r="T64" s="43">
        <v>59.89</v>
      </c>
      <c r="U64" s="43">
        <v>59.89</v>
      </c>
      <c r="V64" s="43">
        <f t="shared" si="4"/>
        <v>260.26</v>
      </c>
      <c r="W64" s="48">
        <f t="shared" si="3"/>
        <v>259.29728908999999</v>
      </c>
    </row>
    <row r="65" spans="1:23" s="3" customFormat="1" ht="8.1" customHeight="1" x14ac:dyDescent="0.2">
      <c r="A65" s="80" t="s">
        <v>64</v>
      </c>
      <c r="B65" s="81"/>
      <c r="C65" s="85" t="s">
        <v>102</v>
      </c>
      <c r="D65" s="86"/>
      <c r="E65" s="86"/>
      <c r="F65" s="86"/>
      <c r="G65" s="87"/>
      <c r="H65" s="1" t="s">
        <v>5</v>
      </c>
      <c r="I65" s="36">
        <v>94.27</v>
      </c>
      <c r="J65" s="36">
        <v>114.76</v>
      </c>
      <c r="K65" s="40">
        <f>'[5]9.1. Смета затрат'!$F$42/1000</f>
        <v>98.615267779999996</v>
      </c>
      <c r="L65" s="43">
        <v>132.07</v>
      </c>
      <c r="M65" s="43">
        <f>('[5]9.1. Смета затрат'!$H$254+'[5]9.1. Смета затрат'!$H$428)/1000</f>
        <v>132.02147185999999</v>
      </c>
      <c r="N65" s="43">
        <v>133.38</v>
      </c>
      <c r="O65" s="43">
        <f>'[3]1_15'!$E$20/1000</f>
        <v>184.96799999999999</v>
      </c>
      <c r="P65" s="43">
        <v>154</v>
      </c>
      <c r="Q65" s="43">
        <f>[2]модель!$R$241/1000</f>
        <v>218.80199999999999</v>
      </c>
      <c r="R65" s="43">
        <v>154</v>
      </c>
      <c r="S65" s="43">
        <f>[2]модель!$S$241/1000</f>
        <v>226.35375311396652</v>
      </c>
      <c r="T65" s="43">
        <v>167</v>
      </c>
      <c r="U65" s="43">
        <f>[2]модель!$T$241/1000</f>
        <v>243.12778092054157</v>
      </c>
      <c r="V65" s="43">
        <f t="shared" si="4"/>
        <v>740.45</v>
      </c>
      <c r="W65" s="48">
        <f t="shared" si="3"/>
        <v>1005.2730058945081</v>
      </c>
    </row>
    <row r="66" spans="1:23" s="3" customFormat="1" ht="8.1" customHeight="1" x14ac:dyDescent="0.2">
      <c r="A66" s="80" t="s">
        <v>65</v>
      </c>
      <c r="B66" s="81"/>
      <c r="C66" s="85" t="s">
        <v>103</v>
      </c>
      <c r="D66" s="86"/>
      <c r="E66" s="86"/>
      <c r="F66" s="86"/>
      <c r="G66" s="87"/>
      <c r="H66" s="1" t="s">
        <v>5</v>
      </c>
      <c r="I66" s="36">
        <f>I68+I67</f>
        <v>13.03</v>
      </c>
      <c r="J66" s="36">
        <f t="shared" ref="J66:U66" si="16">J68+J67</f>
        <v>11.85</v>
      </c>
      <c r="K66" s="40">
        <f>K67+K68</f>
        <v>10.84</v>
      </c>
      <c r="L66" s="43">
        <f t="shared" si="16"/>
        <v>16.36</v>
      </c>
      <c r="M66" s="43">
        <f t="shared" si="16"/>
        <v>8.5962019999999999</v>
      </c>
      <c r="N66" s="43">
        <f t="shared" si="16"/>
        <v>16.22</v>
      </c>
      <c r="O66" s="43">
        <f t="shared" si="16"/>
        <v>13.859284619453939</v>
      </c>
      <c r="P66" s="43">
        <f t="shared" si="16"/>
        <v>19.22</v>
      </c>
      <c r="Q66" s="43">
        <f t="shared" si="16"/>
        <v>14.003772138859855</v>
      </c>
      <c r="R66" s="43">
        <f t="shared" si="16"/>
        <v>19.22</v>
      </c>
      <c r="S66" s="43">
        <f t="shared" si="16"/>
        <v>14.479672000000001</v>
      </c>
      <c r="T66" s="43">
        <f t="shared" si="16"/>
        <v>18.22</v>
      </c>
      <c r="U66" s="43">
        <f t="shared" si="16"/>
        <v>15.536671999999999</v>
      </c>
      <c r="V66" s="43">
        <f t="shared" si="4"/>
        <v>89.24</v>
      </c>
      <c r="W66" s="48">
        <f t="shared" si="3"/>
        <v>66.475602758313798</v>
      </c>
    </row>
    <row r="67" spans="1:23" s="3" customFormat="1" ht="8.1" customHeight="1" x14ac:dyDescent="0.2">
      <c r="A67" s="80" t="s">
        <v>66</v>
      </c>
      <c r="B67" s="81"/>
      <c r="C67" s="77" t="s">
        <v>104</v>
      </c>
      <c r="D67" s="78"/>
      <c r="E67" s="78"/>
      <c r="F67" s="78"/>
      <c r="G67" s="79"/>
      <c r="H67" s="1" t="s">
        <v>5</v>
      </c>
      <c r="I67" s="36">
        <v>12.87</v>
      </c>
      <c r="J67" s="36">
        <v>11.69</v>
      </c>
      <c r="K67" s="40">
        <f>'[5]9.1. Смета затрат'!$F$73/1000*0+10.68</f>
        <v>10.68</v>
      </c>
      <c r="L67" s="43">
        <v>16.14</v>
      </c>
      <c r="M67" s="43">
        <f>'[5]9.1. Смета затрат'!$H$285/1000</f>
        <v>8.5962019999999999</v>
      </c>
      <c r="N67" s="43">
        <v>16</v>
      </c>
      <c r="O67" s="43">
        <f>'[3]1_15'!$E$30/1000</f>
        <v>13.621655619453939</v>
      </c>
      <c r="P67" s="43">
        <v>19</v>
      </c>
      <c r="Q67" s="43">
        <f>'[3]1_15'!$F$30/1000</f>
        <v>13.757713138859854</v>
      </c>
      <c r="R67" s="43">
        <v>19</v>
      </c>
      <c r="S67" s="43">
        <f>[2]модель!$S$227/1000</f>
        <v>14.233000000000001</v>
      </c>
      <c r="T67" s="43">
        <v>18</v>
      </c>
      <c r="U67" s="43">
        <f>[2]модель!$T$227/1000</f>
        <v>15.288</v>
      </c>
      <c r="V67" s="43">
        <f t="shared" si="4"/>
        <v>88.14</v>
      </c>
      <c r="W67" s="48">
        <f t="shared" si="3"/>
        <v>65.496570758313794</v>
      </c>
    </row>
    <row r="68" spans="1:23" s="3" customFormat="1" ht="8.1" customHeight="1" x14ac:dyDescent="0.2">
      <c r="A68" s="80" t="s">
        <v>67</v>
      </c>
      <c r="B68" s="81"/>
      <c r="C68" s="77" t="s">
        <v>105</v>
      </c>
      <c r="D68" s="78"/>
      <c r="E68" s="78"/>
      <c r="F68" s="78"/>
      <c r="G68" s="79"/>
      <c r="H68" s="1" t="s">
        <v>5</v>
      </c>
      <c r="I68" s="36">
        <v>0.16</v>
      </c>
      <c r="J68" s="36">
        <v>0.16</v>
      </c>
      <c r="K68" s="40">
        <v>0.16</v>
      </c>
      <c r="L68" s="43">
        <v>0.22</v>
      </c>
      <c r="M68" s="43">
        <v>0</v>
      </c>
      <c r="N68" s="43">
        <v>0.22</v>
      </c>
      <c r="O68" s="43">
        <f>('[3]1_15'!$E$29+'[3]1_15'!$E$31)/1000</f>
        <v>0.23762900000000001</v>
      </c>
      <c r="P68" s="43">
        <v>0.22</v>
      </c>
      <c r="Q68" s="43">
        <f>('[3]1_15'!$F$29+'[3]1_15'!$F$31)/1000</f>
        <v>0.246059</v>
      </c>
      <c r="R68" s="43">
        <v>0.22</v>
      </c>
      <c r="S68" s="43">
        <f>([2]модель!$S$226+[2]модель!$S$228)/1000</f>
        <v>0.246672</v>
      </c>
      <c r="T68" s="43">
        <v>0.22</v>
      </c>
      <c r="U68" s="43">
        <f>([2]модель!$T$226+[2]модель!$T$228)/1000</f>
        <v>0.248672</v>
      </c>
      <c r="V68" s="43">
        <f t="shared" si="4"/>
        <v>1.1000000000000001</v>
      </c>
      <c r="W68" s="48">
        <f t="shared" si="3"/>
        <v>0.97903200000000001</v>
      </c>
    </row>
    <row r="69" spans="1:23" s="3" customFormat="1" ht="8.1" customHeight="1" x14ac:dyDescent="0.2">
      <c r="A69" s="80" t="s">
        <v>68</v>
      </c>
      <c r="B69" s="81"/>
      <c r="C69" s="85" t="s">
        <v>106</v>
      </c>
      <c r="D69" s="86"/>
      <c r="E69" s="86"/>
      <c r="F69" s="86"/>
      <c r="G69" s="87"/>
      <c r="H69" s="1" t="s">
        <v>5</v>
      </c>
      <c r="I69" s="36">
        <f>I71+I72</f>
        <v>0</v>
      </c>
      <c r="J69" s="36">
        <f t="shared" ref="J69:U69" si="17">J71+J72</f>
        <v>3.64</v>
      </c>
      <c r="K69" s="40">
        <f>SUM(K70:K72)</f>
        <v>13.169538169999999</v>
      </c>
      <c r="L69" s="43">
        <v>14.6</v>
      </c>
      <c r="M69" s="43">
        <f t="shared" si="17"/>
        <v>6.7758337100000015</v>
      </c>
      <c r="N69" s="43">
        <v>14.9</v>
      </c>
      <c r="O69" s="43">
        <f t="shared" si="17"/>
        <v>20.425226479999999</v>
      </c>
      <c r="P69" s="43">
        <v>15</v>
      </c>
      <c r="Q69" s="43">
        <f t="shared" si="17"/>
        <v>20.525226480000001</v>
      </c>
      <c r="R69" s="43">
        <v>15.2</v>
      </c>
      <c r="S69" s="43">
        <f t="shared" si="17"/>
        <v>20.72522648</v>
      </c>
      <c r="T69" s="43">
        <v>15.3</v>
      </c>
      <c r="U69" s="43">
        <f t="shared" si="17"/>
        <v>20.825226480000001</v>
      </c>
      <c r="V69" s="43">
        <f t="shared" si="4"/>
        <v>75</v>
      </c>
      <c r="W69" s="48">
        <f t="shared" si="3"/>
        <v>89.276739629999994</v>
      </c>
    </row>
    <row r="70" spans="1:23" s="3" customFormat="1" ht="8.1" customHeight="1" x14ac:dyDescent="0.2">
      <c r="A70" s="80" t="s">
        <v>69</v>
      </c>
      <c r="B70" s="81"/>
      <c r="C70" s="77" t="s">
        <v>107</v>
      </c>
      <c r="D70" s="78"/>
      <c r="E70" s="78"/>
      <c r="F70" s="78"/>
      <c r="G70" s="79"/>
      <c r="H70" s="1" t="s">
        <v>5</v>
      </c>
      <c r="I70" s="36"/>
      <c r="J70" s="36"/>
      <c r="K70" s="40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f t="shared" si="4"/>
        <v>0</v>
      </c>
      <c r="W70" s="48">
        <f t="shared" si="3"/>
        <v>0</v>
      </c>
    </row>
    <row r="71" spans="1:23" s="3" customFormat="1" ht="8.1" customHeight="1" x14ac:dyDescent="0.2">
      <c r="A71" s="80" t="s">
        <v>70</v>
      </c>
      <c r="B71" s="81"/>
      <c r="C71" s="77" t="s">
        <v>108</v>
      </c>
      <c r="D71" s="78"/>
      <c r="E71" s="78"/>
      <c r="F71" s="78"/>
      <c r="G71" s="79"/>
      <c r="H71" s="1" t="s">
        <v>5</v>
      </c>
      <c r="I71" s="36"/>
      <c r="J71" s="36"/>
      <c r="K71" s="40">
        <f>'[5]9.1. Смета затрат'!$F$84/1000-0.01</f>
        <v>9.2545381699999982</v>
      </c>
      <c r="L71" s="43">
        <v>10</v>
      </c>
      <c r="M71" s="43">
        <f>'[5]9.1. Смета затрат'!$H$296/1000</f>
        <v>6.1776395500000012</v>
      </c>
      <c r="N71" s="43">
        <v>10</v>
      </c>
      <c r="O71" s="43">
        <f>[2]модель!$R$219/1000</f>
        <v>15.525226480000001</v>
      </c>
      <c r="P71" s="43">
        <v>10</v>
      </c>
      <c r="Q71" s="43">
        <f>[2]модель!$R$219/1000</f>
        <v>15.525226480000001</v>
      </c>
      <c r="R71" s="43">
        <v>10</v>
      </c>
      <c r="S71" s="43">
        <f>[2]модель!$S$219/1000</f>
        <v>15.525226480000001</v>
      </c>
      <c r="T71" s="43">
        <v>10</v>
      </c>
      <c r="U71" s="43">
        <f>[2]модель!$T$219/1000</f>
        <v>15.525226480000001</v>
      </c>
      <c r="V71" s="43">
        <f t="shared" si="4"/>
        <v>50</v>
      </c>
      <c r="W71" s="48">
        <f t="shared" si="3"/>
        <v>68.278545470000012</v>
      </c>
    </row>
    <row r="72" spans="1:23" s="3" customFormat="1" ht="9" thickBot="1" x14ac:dyDescent="0.25">
      <c r="A72" s="91" t="s">
        <v>71</v>
      </c>
      <c r="B72" s="92"/>
      <c r="C72" s="102" t="s">
        <v>109</v>
      </c>
      <c r="D72" s="103"/>
      <c r="E72" s="103"/>
      <c r="F72" s="103"/>
      <c r="G72" s="104"/>
      <c r="H72" s="21" t="s">
        <v>5</v>
      </c>
      <c r="I72" s="38"/>
      <c r="J72" s="38">
        <v>3.64</v>
      </c>
      <c r="K72" s="55">
        <f>3.92-0.005</f>
        <v>3.915</v>
      </c>
      <c r="L72" s="44">
        <v>4.5999999999999996</v>
      </c>
      <c r="M72" s="44">
        <f>'[5]9.1. Смета затрат'!$H$373/1000</f>
        <v>0.59819416000000014</v>
      </c>
      <c r="N72" s="44">
        <v>4.9000000000000004</v>
      </c>
      <c r="O72" s="44">
        <f>4.9</f>
        <v>4.9000000000000004</v>
      </c>
      <c r="P72" s="44">
        <v>5</v>
      </c>
      <c r="Q72" s="44">
        <v>5</v>
      </c>
      <c r="R72" s="44">
        <v>5.2</v>
      </c>
      <c r="S72" s="44">
        <v>5.2</v>
      </c>
      <c r="T72" s="44">
        <v>5.3</v>
      </c>
      <c r="U72" s="44">
        <v>5.3</v>
      </c>
      <c r="V72" s="44">
        <f t="shared" si="4"/>
        <v>25</v>
      </c>
      <c r="W72" s="50">
        <f>M72+O72+Q72+S72+U72</f>
        <v>20.998194160000001</v>
      </c>
    </row>
    <row r="73" spans="1:23" s="3" customFormat="1" ht="9.75" customHeight="1" x14ac:dyDescent="0.2">
      <c r="A73" s="169" t="s">
        <v>72</v>
      </c>
      <c r="B73" s="170"/>
      <c r="C73" s="177" t="s">
        <v>110</v>
      </c>
      <c r="D73" s="178"/>
      <c r="E73" s="178"/>
      <c r="F73" s="178"/>
      <c r="G73" s="179"/>
      <c r="H73" s="174" t="s">
        <v>5</v>
      </c>
      <c r="I73" s="37">
        <f>I74+I75+I76</f>
        <v>35.32</v>
      </c>
      <c r="J73" s="37">
        <f t="shared" ref="J73" si="18">J74+J75+J76</f>
        <v>28.939999999999998</v>
      </c>
      <c r="K73" s="56">
        <f>SUM(K74:K76)</f>
        <v>31.22</v>
      </c>
      <c r="L73" s="176">
        <f t="shared" ref="L73:W73" si="19">L74+L75+L76</f>
        <v>29.68</v>
      </c>
      <c r="M73" s="176">
        <f t="shared" si="19"/>
        <v>49.709184700000002</v>
      </c>
      <c r="N73" s="176">
        <f t="shared" si="19"/>
        <v>30.509999999999998</v>
      </c>
      <c r="O73" s="176">
        <f t="shared" si="19"/>
        <v>30.509999999999998</v>
      </c>
      <c r="P73" s="176">
        <f t="shared" si="19"/>
        <v>30.75</v>
      </c>
      <c r="Q73" s="176">
        <f t="shared" si="19"/>
        <v>30.75</v>
      </c>
      <c r="R73" s="176">
        <f t="shared" si="19"/>
        <v>31.39</v>
      </c>
      <c r="S73" s="176">
        <f t="shared" si="19"/>
        <v>31.39</v>
      </c>
      <c r="T73" s="176">
        <f t="shared" si="19"/>
        <v>31.61</v>
      </c>
      <c r="U73" s="176">
        <f t="shared" si="19"/>
        <v>31.61</v>
      </c>
      <c r="V73" s="176">
        <f t="shared" si="19"/>
        <v>153.94</v>
      </c>
      <c r="W73" s="176">
        <f t="shared" si="19"/>
        <v>173.9691847</v>
      </c>
    </row>
    <row r="74" spans="1:23" s="3" customFormat="1" ht="8.1" customHeight="1" x14ac:dyDescent="0.2">
      <c r="A74" s="80" t="s">
        <v>73</v>
      </c>
      <c r="B74" s="81"/>
      <c r="C74" s="77" t="s">
        <v>111</v>
      </c>
      <c r="D74" s="78"/>
      <c r="E74" s="78"/>
      <c r="F74" s="78"/>
      <c r="G74" s="79"/>
      <c r="H74" s="1" t="s">
        <v>5</v>
      </c>
      <c r="I74" s="36">
        <v>27.99</v>
      </c>
      <c r="J74" s="36">
        <v>20</v>
      </c>
      <c r="K74" s="40">
        <v>26.2</v>
      </c>
      <c r="L74" s="43">
        <v>20</v>
      </c>
      <c r="M74" s="43">
        <f>(36671682.94+8836)/1000000</f>
        <v>36.680518939999999</v>
      </c>
      <c r="N74" s="43">
        <v>20</v>
      </c>
      <c r="O74" s="43">
        <v>20</v>
      </c>
      <c r="P74" s="43">
        <v>20</v>
      </c>
      <c r="Q74" s="43">
        <v>20</v>
      </c>
      <c r="R74" s="43">
        <v>20</v>
      </c>
      <c r="S74" s="43">
        <v>20</v>
      </c>
      <c r="T74" s="43">
        <v>20</v>
      </c>
      <c r="U74" s="43">
        <v>20</v>
      </c>
      <c r="V74" s="43">
        <f t="shared" si="4"/>
        <v>100</v>
      </c>
      <c r="W74" s="48">
        <f t="shared" ref="W74:W136" si="20">M74+O74+Q74+S74+U74</f>
        <v>116.68051894</v>
      </c>
    </row>
    <row r="75" spans="1:23" s="3" customFormat="1" ht="8.1" customHeight="1" x14ac:dyDescent="0.2">
      <c r="A75" s="80" t="s">
        <v>74</v>
      </c>
      <c r="B75" s="81"/>
      <c r="C75" s="77" t="s">
        <v>112</v>
      </c>
      <c r="D75" s="78"/>
      <c r="E75" s="78"/>
      <c r="F75" s="78"/>
      <c r="G75" s="79"/>
      <c r="H75" s="1" t="s">
        <v>5</v>
      </c>
      <c r="I75" s="36">
        <v>0.42</v>
      </c>
      <c r="J75" s="36"/>
      <c r="K75" s="40"/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f t="shared" si="4"/>
        <v>0</v>
      </c>
      <c r="W75" s="48">
        <f t="shared" si="20"/>
        <v>0</v>
      </c>
    </row>
    <row r="76" spans="1:23" s="3" customFormat="1" ht="9" thickBot="1" x14ac:dyDescent="0.25">
      <c r="A76" s="91" t="s">
        <v>75</v>
      </c>
      <c r="B76" s="92"/>
      <c r="C76" s="102" t="s">
        <v>113</v>
      </c>
      <c r="D76" s="103"/>
      <c r="E76" s="103"/>
      <c r="F76" s="103"/>
      <c r="G76" s="104"/>
      <c r="H76" s="23" t="s">
        <v>5</v>
      </c>
      <c r="I76" s="39">
        <v>6.91</v>
      </c>
      <c r="J76" s="39">
        <v>8.94</v>
      </c>
      <c r="K76" s="57">
        <v>5.0199999999999996</v>
      </c>
      <c r="L76" s="45">
        <v>9.68</v>
      </c>
      <c r="M76" s="45">
        <f>('[5]9.1. Смета затрат'!$H$397-'[5]9.1. Смета затрат'!$H$431-'[5]9.1. Смета затрат'!$H$428)/1000</f>
        <v>13.028665760000001</v>
      </c>
      <c r="N76" s="45">
        <v>10.51</v>
      </c>
      <c r="O76" s="45">
        <v>10.51</v>
      </c>
      <c r="P76" s="45">
        <v>10.75</v>
      </c>
      <c r="Q76" s="45">
        <v>10.75</v>
      </c>
      <c r="R76" s="45">
        <v>11.39</v>
      </c>
      <c r="S76" s="45">
        <v>11.39</v>
      </c>
      <c r="T76" s="45">
        <v>11.61</v>
      </c>
      <c r="U76" s="45">
        <v>11.61</v>
      </c>
      <c r="V76" s="45">
        <f t="shared" si="4"/>
        <v>53.94</v>
      </c>
      <c r="W76" s="51">
        <f t="shared" si="20"/>
        <v>57.288665760000001</v>
      </c>
    </row>
    <row r="77" spans="1:23" s="3" customFormat="1" ht="9" customHeight="1" x14ac:dyDescent="0.2">
      <c r="A77" s="169" t="s">
        <v>114</v>
      </c>
      <c r="B77" s="170"/>
      <c r="C77" s="171" t="s">
        <v>115</v>
      </c>
      <c r="D77" s="172"/>
      <c r="E77" s="172"/>
      <c r="F77" s="172"/>
      <c r="G77" s="173"/>
      <c r="H77" s="174" t="s">
        <v>5</v>
      </c>
      <c r="I77" s="37">
        <f t="shared" ref="I77:W77" si="21">I19-I34</f>
        <v>70.299999999999955</v>
      </c>
      <c r="J77" s="37">
        <f t="shared" si="21"/>
        <v>108.54999999999995</v>
      </c>
      <c r="K77" s="56">
        <f t="shared" si="21"/>
        <v>72.419214225000133</v>
      </c>
      <c r="L77" s="176">
        <f t="shared" si="21"/>
        <v>3.2099999999999227</v>
      </c>
      <c r="M77" s="176">
        <f t="shared" si="21"/>
        <v>76.430364269999927</v>
      </c>
      <c r="N77" s="176">
        <f t="shared" si="21"/>
        <v>217.6400000000001</v>
      </c>
      <c r="O77" s="176">
        <f t="shared" si="21"/>
        <v>107.43163867372664</v>
      </c>
      <c r="P77" s="176">
        <f t="shared" si="21"/>
        <v>23.619999999999891</v>
      </c>
      <c r="Q77" s="176">
        <f t="shared" si="21"/>
        <v>54.959740451536391</v>
      </c>
      <c r="R77" s="176">
        <f t="shared" si="21"/>
        <v>17.999999999999886</v>
      </c>
      <c r="S77" s="176">
        <f t="shared" si="21"/>
        <v>-1.9119371500000852</v>
      </c>
      <c r="T77" s="176">
        <f t="shared" si="21"/>
        <v>188.28999999999996</v>
      </c>
      <c r="U77" s="176">
        <f t="shared" si="21"/>
        <v>183.27054000000021</v>
      </c>
      <c r="V77" s="176">
        <f t="shared" si="21"/>
        <v>450.75999999999931</v>
      </c>
      <c r="W77" s="176">
        <f t="shared" si="21"/>
        <v>420.18034624526354</v>
      </c>
    </row>
    <row r="78" spans="1:23" s="3" customFormat="1" ht="8.1" customHeight="1" x14ac:dyDescent="0.2">
      <c r="A78" s="80" t="s">
        <v>116</v>
      </c>
      <c r="B78" s="81"/>
      <c r="C78" s="85" t="s">
        <v>46</v>
      </c>
      <c r="D78" s="86"/>
      <c r="E78" s="86"/>
      <c r="F78" s="86"/>
      <c r="G78" s="87"/>
      <c r="H78" s="1" t="s">
        <v>5</v>
      </c>
      <c r="I78" s="36"/>
      <c r="J78" s="36"/>
      <c r="K78" s="40"/>
      <c r="L78" s="43">
        <f>SUM(L79:L81)</f>
        <v>0</v>
      </c>
      <c r="M78" s="43">
        <f t="shared" ref="M78:U78" si="22">SUM(M79:M81)</f>
        <v>0</v>
      </c>
      <c r="N78" s="43">
        <f t="shared" si="22"/>
        <v>0</v>
      </c>
      <c r="O78" s="43">
        <f t="shared" si="22"/>
        <v>0</v>
      </c>
      <c r="P78" s="43">
        <f t="shared" si="22"/>
        <v>0</v>
      </c>
      <c r="Q78" s="43">
        <f t="shared" si="22"/>
        <v>0</v>
      </c>
      <c r="R78" s="43">
        <f t="shared" si="22"/>
        <v>0</v>
      </c>
      <c r="S78" s="43">
        <f t="shared" si="22"/>
        <v>0</v>
      </c>
      <c r="T78" s="43">
        <f t="shared" si="22"/>
        <v>0</v>
      </c>
      <c r="U78" s="43">
        <f t="shared" si="22"/>
        <v>0</v>
      </c>
      <c r="V78" s="43">
        <f t="shared" ref="V78:W93" si="23">L78+N78+P78+R78+T78</f>
        <v>0</v>
      </c>
      <c r="W78" s="48">
        <f t="shared" si="23"/>
        <v>0</v>
      </c>
    </row>
    <row r="79" spans="1:23" s="3" customFormat="1" ht="16.5" customHeight="1" x14ac:dyDescent="0.2">
      <c r="A79" s="80" t="s">
        <v>117</v>
      </c>
      <c r="B79" s="81"/>
      <c r="C79" s="77" t="s">
        <v>47</v>
      </c>
      <c r="D79" s="78"/>
      <c r="E79" s="78"/>
      <c r="F79" s="78"/>
      <c r="G79" s="79"/>
      <c r="H79" s="1" t="s">
        <v>5</v>
      </c>
      <c r="I79" s="36"/>
      <c r="J79" s="36"/>
      <c r="K79" s="40"/>
      <c r="L79" s="43">
        <f t="shared" ref="L79:U79" si="24">L21-L36</f>
        <v>0</v>
      </c>
      <c r="M79" s="43">
        <f t="shared" si="24"/>
        <v>0</v>
      </c>
      <c r="N79" s="43">
        <f t="shared" si="24"/>
        <v>0</v>
      </c>
      <c r="O79" s="43">
        <f t="shared" si="24"/>
        <v>0</v>
      </c>
      <c r="P79" s="43">
        <f t="shared" si="24"/>
        <v>0</v>
      </c>
      <c r="Q79" s="43">
        <f t="shared" si="24"/>
        <v>0</v>
      </c>
      <c r="R79" s="43">
        <f t="shared" si="24"/>
        <v>0</v>
      </c>
      <c r="S79" s="43">
        <f t="shared" si="24"/>
        <v>0</v>
      </c>
      <c r="T79" s="43">
        <f t="shared" si="24"/>
        <v>0</v>
      </c>
      <c r="U79" s="43">
        <f t="shared" si="24"/>
        <v>0</v>
      </c>
      <c r="V79" s="43">
        <f t="shared" si="23"/>
        <v>0</v>
      </c>
      <c r="W79" s="48">
        <f t="shared" si="23"/>
        <v>0</v>
      </c>
    </row>
    <row r="80" spans="1:23" s="3" customFormat="1" ht="16.5" customHeight="1" x14ac:dyDescent="0.2">
      <c r="A80" s="80" t="s">
        <v>118</v>
      </c>
      <c r="B80" s="81"/>
      <c r="C80" s="77" t="s">
        <v>52</v>
      </c>
      <c r="D80" s="78"/>
      <c r="E80" s="78"/>
      <c r="F80" s="78"/>
      <c r="G80" s="79"/>
      <c r="H80" s="1" t="s">
        <v>5</v>
      </c>
      <c r="I80" s="36"/>
      <c r="J80" s="36"/>
      <c r="K80" s="40"/>
      <c r="L80" s="43">
        <f t="shared" ref="L80:U80" si="25">L22-L37</f>
        <v>0</v>
      </c>
      <c r="M80" s="43">
        <f t="shared" si="25"/>
        <v>0</v>
      </c>
      <c r="N80" s="43">
        <f t="shared" si="25"/>
        <v>0</v>
      </c>
      <c r="O80" s="43">
        <f t="shared" si="25"/>
        <v>0</v>
      </c>
      <c r="P80" s="43">
        <f t="shared" si="25"/>
        <v>0</v>
      </c>
      <c r="Q80" s="43">
        <f t="shared" si="25"/>
        <v>0</v>
      </c>
      <c r="R80" s="43">
        <f t="shared" si="25"/>
        <v>0</v>
      </c>
      <c r="S80" s="43">
        <f t="shared" si="25"/>
        <v>0</v>
      </c>
      <c r="T80" s="43">
        <f t="shared" si="25"/>
        <v>0</v>
      </c>
      <c r="U80" s="43">
        <f t="shared" si="25"/>
        <v>0</v>
      </c>
      <c r="V80" s="43">
        <f t="shared" si="23"/>
        <v>0</v>
      </c>
      <c r="W80" s="48">
        <f t="shared" si="23"/>
        <v>0</v>
      </c>
    </row>
    <row r="81" spans="1:23" s="3" customFormat="1" ht="16.5" customHeight="1" x14ac:dyDescent="0.2">
      <c r="A81" s="80" t="s">
        <v>119</v>
      </c>
      <c r="B81" s="81"/>
      <c r="C81" s="77" t="s">
        <v>53</v>
      </c>
      <c r="D81" s="78"/>
      <c r="E81" s="78"/>
      <c r="F81" s="78"/>
      <c r="G81" s="79"/>
      <c r="H81" s="1" t="s">
        <v>5</v>
      </c>
      <c r="I81" s="36"/>
      <c r="J81" s="36"/>
      <c r="K81" s="40"/>
      <c r="L81" s="43">
        <f t="shared" ref="L81:U81" si="26">L23-L38</f>
        <v>0</v>
      </c>
      <c r="M81" s="43">
        <f t="shared" si="26"/>
        <v>0</v>
      </c>
      <c r="N81" s="43">
        <f t="shared" si="26"/>
        <v>0</v>
      </c>
      <c r="O81" s="43">
        <f t="shared" si="26"/>
        <v>0</v>
      </c>
      <c r="P81" s="43">
        <f t="shared" si="26"/>
        <v>0</v>
      </c>
      <c r="Q81" s="43">
        <f t="shared" si="26"/>
        <v>0</v>
      </c>
      <c r="R81" s="43">
        <f t="shared" si="26"/>
        <v>0</v>
      </c>
      <c r="S81" s="43">
        <f t="shared" si="26"/>
        <v>0</v>
      </c>
      <c r="T81" s="43">
        <f t="shared" si="26"/>
        <v>0</v>
      </c>
      <c r="U81" s="43">
        <f t="shared" si="26"/>
        <v>0</v>
      </c>
      <c r="V81" s="43">
        <f t="shared" si="23"/>
        <v>0</v>
      </c>
      <c r="W81" s="48">
        <f t="shared" si="23"/>
        <v>0</v>
      </c>
    </row>
    <row r="82" spans="1:23" s="3" customFormat="1" ht="8.1" customHeight="1" x14ac:dyDescent="0.2">
      <c r="A82" s="80" t="s">
        <v>120</v>
      </c>
      <c r="B82" s="81"/>
      <c r="C82" s="85" t="s">
        <v>54</v>
      </c>
      <c r="D82" s="86"/>
      <c r="E82" s="86"/>
      <c r="F82" s="86"/>
      <c r="G82" s="87"/>
      <c r="H82" s="1" t="s">
        <v>5</v>
      </c>
      <c r="I82" s="36"/>
      <c r="J82" s="36"/>
      <c r="K82" s="40"/>
      <c r="L82" s="43">
        <f t="shared" ref="L82:U82" si="27">L24-L39</f>
        <v>0</v>
      </c>
      <c r="M82" s="43">
        <f t="shared" si="27"/>
        <v>0</v>
      </c>
      <c r="N82" s="43">
        <f t="shared" si="27"/>
        <v>0</v>
      </c>
      <c r="O82" s="43">
        <f t="shared" si="27"/>
        <v>0</v>
      </c>
      <c r="P82" s="43">
        <f t="shared" si="27"/>
        <v>0</v>
      </c>
      <c r="Q82" s="43">
        <f t="shared" si="27"/>
        <v>0</v>
      </c>
      <c r="R82" s="43">
        <f t="shared" si="27"/>
        <v>0</v>
      </c>
      <c r="S82" s="43">
        <f t="shared" si="27"/>
        <v>0</v>
      </c>
      <c r="T82" s="43">
        <f t="shared" si="27"/>
        <v>0</v>
      </c>
      <c r="U82" s="43">
        <f t="shared" si="27"/>
        <v>0</v>
      </c>
      <c r="V82" s="43">
        <f t="shared" si="23"/>
        <v>0</v>
      </c>
      <c r="W82" s="48">
        <f t="shared" si="23"/>
        <v>0</v>
      </c>
    </row>
    <row r="83" spans="1:23" s="3" customFormat="1" ht="8.1" customHeight="1" x14ac:dyDescent="0.2">
      <c r="A83" s="80" t="s">
        <v>121</v>
      </c>
      <c r="B83" s="81"/>
      <c r="C83" s="85" t="s">
        <v>76</v>
      </c>
      <c r="D83" s="86"/>
      <c r="E83" s="86"/>
      <c r="F83" s="86"/>
      <c r="G83" s="87"/>
      <c r="H83" s="1" t="s">
        <v>5</v>
      </c>
      <c r="I83" s="36">
        <f>I25-I40</f>
        <v>-25.419999999999987</v>
      </c>
      <c r="J83" s="36">
        <f>J77-J85-J86</f>
        <v>-2.0800000000000267</v>
      </c>
      <c r="K83" s="40">
        <v>-55.57</v>
      </c>
      <c r="L83" s="43">
        <f t="shared" ref="L83:U83" si="28">L25-L40</f>
        <v>-54.990000000000038</v>
      </c>
      <c r="M83" s="43">
        <f t="shared" si="28"/>
        <v>-43.828904671666692</v>
      </c>
      <c r="N83" s="43">
        <f t="shared" si="28"/>
        <v>-13.789999999999964</v>
      </c>
      <c r="O83" s="43">
        <f t="shared" si="28"/>
        <v>-65.014382936038487</v>
      </c>
      <c r="P83" s="43">
        <f t="shared" si="28"/>
        <v>-40.160000000000025</v>
      </c>
      <c r="Q83" s="43">
        <f t="shared" si="28"/>
        <v>-17.727212039999927</v>
      </c>
      <c r="R83" s="43">
        <f t="shared" si="28"/>
        <v>-43.110000000000127</v>
      </c>
      <c r="S83" s="43">
        <f t="shared" si="28"/>
        <v>-63.021937150000042</v>
      </c>
      <c r="T83" s="43">
        <f t="shared" si="28"/>
        <v>-56.95999999999998</v>
      </c>
      <c r="U83" s="43">
        <f t="shared" si="28"/>
        <v>-61.979459999999847</v>
      </c>
      <c r="V83" s="43">
        <f t="shared" ref="V83" si="29">V77-V85-V86</f>
        <v>-209.01000000000067</v>
      </c>
      <c r="W83" s="48">
        <f t="shared" si="23"/>
        <v>-251.57189679770499</v>
      </c>
    </row>
    <row r="84" spans="1:23" s="3" customFormat="1" ht="8.1" customHeight="1" x14ac:dyDescent="0.2">
      <c r="A84" s="80" t="s">
        <v>122</v>
      </c>
      <c r="B84" s="81"/>
      <c r="C84" s="85" t="s">
        <v>77</v>
      </c>
      <c r="D84" s="86"/>
      <c r="E84" s="86"/>
      <c r="F84" s="86"/>
      <c r="G84" s="87"/>
      <c r="H84" s="1" t="s">
        <v>5</v>
      </c>
      <c r="I84" s="36"/>
      <c r="J84" s="36"/>
      <c r="K84" s="40"/>
      <c r="L84" s="43">
        <f t="shared" ref="L84:U84" si="30">L26-L41</f>
        <v>0</v>
      </c>
      <c r="M84" s="43">
        <f t="shared" si="30"/>
        <v>0</v>
      </c>
      <c r="N84" s="43">
        <f t="shared" si="30"/>
        <v>0</v>
      </c>
      <c r="O84" s="43">
        <f t="shared" si="30"/>
        <v>0</v>
      </c>
      <c r="P84" s="43">
        <f t="shared" si="30"/>
        <v>0</v>
      </c>
      <c r="Q84" s="43">
        <f t="shared" si="30"/>
        <v>0</v>
      </c>
      <c r="R84" s="43">
        <f t="shared" si="30"/>
        <v>0</v>
      </c>
      <c r="S84" s="43">
        <f t="shared" si="30"/>
        <v>0</v>
      </c>
      <c r="T84" s="43">
        <f t="shared" si="30"/>
        <v>0</v>
      </c>
      <c r="U84" s="43">
        <f t="shared" si="30"/>
        <v>0</v>
      </c>
      <c r="V84" s="43">
        <f t="shared" ref="V84:V91" si="31">L84+N84+P84+R84+T84</f>
        <v>0</v>
      </c>
      <c r="W84" s="48">
        <f t="shared" si="23"/>
        <v>0</v>
      </c>
    </row>
    <row r="85" spans="1:23" s="3" customFormat="1" ht="8.1" customHeight="1" x14ac:dyDescent="0.2">
      <c r="A85" s="80" t="s">
        <v>123</v>
      </c>
      <c r="B85" s="81"/>
      <c r="C85" s="85" t="s">
        <v>78</v>
      </c>
      <c r="D85" s="86"/>
      <c r="E85" s="86"/>
      <c r="F85" s="86"/>
      <c r="G85" s="87"/>
      <c r="H85" s="1" t="s">
        <v>5</v>
      </c>
      <c r="I85" s="36">
        <f>I27-I42</f>
        <v>84.59</v>
      </c>
      <c r="J85" s="36">
        <f>J27-J42</f>
        <v>105.74</v>
      </c>
      <c r="K85" s="40">
        <v>123.76</v>
      </c>
      <c r="L85" s="43">
        <f t="shared" ref="L85:U85" si="32">L27-L42</f>
        <v>53.5</v>
      </c>
      <c r="M85" s="43">
        <f t="shared" si="32"/>
        <v>111.09238360499999</v>
      </c>
      <c r="N85" s="43">
        <f t="shared" si="32"/>
        <v>226.43</v>
      </c>
      <c r="O85" s="43">
        <f t="shared" si="32"/>
        <v>226.43</v>
      </c>
      <c r="P85" s="43">
        <f t="shared" si="32"/>
        <v>58.4</v>
      </c>
      <c r="Q85" s="43">
        <f t="shared" si="32"/>
        <v>58.4</v>
      </c>
      <c r="R85" s="43">
        <f t="shared" si="32"/>
        <v>55.35</v>
      </c>
      <c r="S85" s="43">
        <f t="shared" si="32"/>
        <v>55.35</v>
      </c>
      <c r="T85" s="43">
        <f t="shared" si="32"/>
        <v>239.11</v>
      </c>
      <c r="U85" s="43">
        <f t="shared" si="32"/>
        <v>239.11</v>
      </c>
      <c r="V85" s="43">
        <f>V27-V42</f>
        <v>632.79</v>
      </c>
      <c r="W85" s="48">
        <f t="shared" si="23"/>
        <v>690.38238360500009</v>
      </c>
    </row>
    <row r="86" spans="1:23" s="3" customFormat="1" ht="8.1" customHeight="1" x14ac:dyDescent="0.2">
      <c r="A86" s="80" t="s">
        <v>124</v>
      </c>
      <c r="B86" s="81"/>
      <c r="C86" s="85" t="s">
        <v>79</v>
      </c>
      <c r="D86" s="86"/>
      <c r="E86" s="86"/>
      <c r="F86" s="86"/>
      <c r="G86" s="87"/>
      <c r="H86" s="1" t="s">
        <v>5</v>
      </c>
      <c r="I86" s="36">
        <f>I28-I43</f>
        <v>4.5900000000000318</v>
      </c>
      <c r="J86" s="36">
        <f>J28-J43</f>
        <v>4.8899999999999864</v>
      </c>
      <c r="K86" s="40">
        <v>4.3</v>
      </c>
      <c r="L86" s="43">
        <f t="shared" ref="L86:U86" si="33">L28-L43</f>
        <v>4.6999999999999886</v>
      </c>
      <c r="M86" s="43">
        <f t="shared" si="33"/>
        <v>5.2364224733333344</v>
      </c>
      <c r="N86" s="43">
        <f t="shared" si="33"/>
        <v>5</v>
      </c>
      <c r="O86" s="43">
        <f t="shared" si="33"/>
        <v>-53.983978390234824</v>
      </c>
      <c r="P86" s="43">
        <f t="shared" si="33"/>
        <v>5.3799999999999955</v>
      </c>
      <c r="Q86" s="43">
        <f t="shared" si="33"/>
        <v>14.28695249153634</v>
      </c>
      <c r="R86" s="43">
        <f t="shared" si="33"/>
        <v>5.7599999999999909</v>
      </c>
      <c r="S86" s="43">
        <f t="shared" si="33"/>
        <v>5.7599999999999909</v>
      </c>
      <c r="T86" s="43">
        <f t="shared" si="33"/>
        <v>6.1399999999999864</v>
      </c>
      <c r="U86" s="43">
        <f t="shared" si="33"/>
        <v>6.1399999999999864</v>
      </c>
      <c r="V86" s="43">
        <f>V28-V43</f>
        <v>26.980000000000018</v>
      </c>
      <c r="W86" s="48">
        <f t="shared" si="23"/>
        <v>-22.560603425365173</v>
      </c>
    </row>
    <row r="87" spans="1:23" s="3" customFormat="1" ht="8.1" customHeight="1" x14ac:dyDescent="0.2">
      <c r="A87" s="80" t="s">
        <v>125</v>
      </c>
      <c r="B87" s="81"/>
      <c r="C87" s="85" t="s">
        <v>80</v>
      </c>
      <c r="D87" s="86"/>
      <c r="E87" s="86"/>
      <c r="F87" s="86"/>
      <c r="G87" s="87"/>
      <c r="H87" s="1" t="s">
        <v>5</v>
      </c>
      <c r="I87" s="36"/>
      <c r="J87" s="36"/>
      <c r="K87" s="40"/>
      <c r="L87" s="43">
        <f t="shared" ref="L87:U87" si="34">L29-L44</f>
        <v>0</v>
      </c>
      <c r="M87" s="43">
        <f t="shared" si="34"/>
        <v>0</v>
      </c>
      <c r="N87" s="43">
        <f t="shared" si="34"/>
        <v>0</v>
      </c>
      <c r="O87" s="43">
        <f t="shared" si="34"/>
        <v>0</v>
      </c>
      <c r="P87" s="43">
        <f t="shared" si="34"/>
        <v>0</v>
      </c>
      <c r="Q87" s="43">
        <f t="shared" si="34"/>
        <v>0</v>
      </c>
      <c r="R87" s="43">
        <f t="shared" si="34"/>
        <v>0</v>
      </c>
      <c r="S87" s="43">
        <f t="shared" si="34"/>
        <v>0</v>
      </c>
      <c r="T87" s="43">
        <f t="shared" si="34"/>
        <v>0</v>
      </c>
      <c r="U87" s="43">
        <f t="shared" si="34"/>
        <v>0</v>
      </c>
      <c r="V87" s="43">
        <f t="shared" si="31"/>
        <v>0</v>
      </c>
      <c r="W87" s="48">
        <f t="shared" si="23"/>
        <v>0</v>
      </c>
    </row>
    <row r="88" spans="1:23" s="3" customFormat="1" ht="16.5" customHeight="1" x14ac:dyDescent="0.2">
      <c r="A88" s="80" t="s">
        <v>126</v>
      </c>
      <c r="B88" s="81"/>
      <c r="C88" s="85" t="s">
        <v>81</v>
      </c>
      <c r="D88" s="86"/>
      <c r="E88" s="86"/>
      <c r="F88" s="86"/>
      <c r="G88" s="87"/>
      <c r="H88" s="1" t="s">
        <v>5</v>
      </c>
      <c r="I88" s="36"/>
      <c r="J88" s="36"/>
      <c r="K88" s="40"/>
      <c r="L88" s="43">
        <f>SUM(L89:L90)</f>
        <v>0</v>
      </c>
      <c r="M88" s="43">
        <f t="shared" ref="M88:U88" si="35">SUM(M89:M90)</f>
        <v>0</v>
      </c>
      <c r="N88" s="43">
        <f t="shared" si="35"/>
        <v>0</v>
      </c>
      <c r="O88" s="43">
        <f t="shared" si="35"/>
        <v>0</v>
      </c>
      <c r="P88" s="43">
        <f t="shared" si="35"/>
        <v>0</v>
      </c>
      <c r="Q88" s="43">
        <f t="shared" si="35"/>
        <v>0</v>
      </c>
      <c r="R88" s="43">
        <f t="shared" si="35"/>
        <v>0</v>
      </c>
      <c r="S88" s="43">
        <f t="shared" si="35"/>
        <v>0</v>
      </c>
      <c r="T88" s="43">
        <f t="shared" si="35"/>
        <v>0</v>
      </c>
      <c r="U88" s="43">
        <f t="shared" si="35"/>
        <v>0</v>
      </c>
      <c r="V88" s="43">
        <f t="shared" si="31"/>
        <v>0</v>
      </c>
      <c r="W88" s="48">
        <f t="shared" si="23"/>
        <v>0</v>
      </c>
    </row>
    <row r="89" spans="1:23" s="3" customFormat="1" ht="8.1" customHeight="1" x14ac:dyDescent="0.2">
      <c r="A89" s="80" t="s">
        <v>127</v>
      </c>
      <c r="B89" s="81"/>
      <c r="C89" s="77" t="s">
        <v>82</v>
      </c>
      <c r="D89" s="78"/>
      <c r="E89" s="78"/>
      <c r="F89" s="78"/>
      <c r="G89" s="79"/>
      <c r="H89" s="1" t="s">
        <v>5</v>
      </c>
      <c r="I89" s="36"/>
      <c r="J89" s="36"/>
      <c r="K89" s="40"/>
      <c r="L89" s="43">
        <f t="shared" ref="L89:U89" si="36">L31-L46</f>
        <v>0</v>
      </c>
      <c r="M89" s="43">
        <f t="shared" si="36"/>
        <v>0</v>
      </c>
      <c r="N89" s="43">
        <f t="shared" si="36"/>
        <v>0</v>
      </c>
      <c r="O89" s="43">
        <f t="shared" si="36"/>
        <v>0</v>
      </c>
      <c r="P89" s="43">
        <f t="shared" si="36"/>
        <v>0</v>
      </c>
      <c r="Q89" s="43">
        <f t="shared" si="36"/>
        <v>0</v>
      </c>
      <c r="R89" s="43">
        <f t="shared" si="36"/>
        <v>0</v>
      </c>
      <c r="S89" s="43">
        <f t="shared" si="36"/>
        <v>0</v>
      </c>
      <c r="T89" s="43">
        <f t="shared" si="36"/>
        <v>0</v>
      </c>
      <c r="U89" s="43">
        <f t="shared" si="36"/>
        <v>0</v>
      </c>
      <c r="V89" s="43">
        <f t="shared" si="31"/>
        <v>0</v>
      </c>
      <c r="W89" s="48">
        <f t="shared" si="23"/>
        <v>0</v>
      </c>
    </row>
    <row r="90" spans="1:23" s="3" customFormat="1" ht="8.1" customHeight="1" x14ac:dyDescent="0.2">
      <c r="A90" s="80" t="s">
        <v>128</v>
      </c>
      <c r="B90" s="81"/>
      <c r="C90" s="77" t="s">
        <v>83</v>
      </c>
      <c r="D90" s="78"/>
      <c r="E90" s="78"/>
      <c r="F90" s="78"/>
      <c r="G90" s="79"/>
      <c r="H90" s="1" t="s">
        <v>5</v>
      </c>
      <c r="I90" s="36"/>
      <c r="J90" s="36"/>
      <c r="K90" s="40"/>
      <c r="L90" s="43">
        <f t="shared" ref="L90:U90" si="37">L32-L47</f>
        <v>0</v>
      </c>
      <c r="M90" s="43">
        <f t="shared" si="37"/>
        <v>0</v>
      </c>
      <c r="N90" s="43">
        <f t="shared" si="37"/>
        <v>0</v>
      </c>
      <c r="O90" s="43">
        <f t="shared" si="37"/>
        <v>0</v>
      </c>
      <c r="P90" s="43">
        <f t="shared" si="37"/>
        <v>0</v>
      </c>
      <c r="Q90" s="43">
        <f t="shared" si="37"/>
        <v>0</v>
      </c>
      <c r="R90" s="43">
        <f t="shared" si="37"/>
        <v>0</v>
      </c>
      <c r="S90" s="43">
        <f t="shared" si="37"/>
        <v>0</v>
      </c>
      <c r="T90" s="43">
        <f t="shared" si="37"/>
        <v>0</v>
      </c>
      <c r="U90" s="43">
        <f t="shared" si="37"/>
        <v>0</v>
      </c>
      <c r="V90" s="43">
        <f t="shared" si="31"/>
        <v>0</v>
      </c>
      <c r="W90" s="48">
        <f t="shared" si="23"/>
        <v>0</v>
      </c>
    </row>
    <row r="91" spans="1:23" s="3" customFormat="1" ht="8.1" customHeight="1" x14ac:dyDescent="0.2">
      <c r="A91" s="80" t="s">
        <v>129</v>
      </c>
      <c r="B91" s="81"/>
      <c r="C91" s="85" t="s">
        <v>84</v>
      </c>
      <c r="D91" s="86"/>
      <c r="E91" s="86"/>
      <c r="F91" s="86"/>
      <c r="G91" s="87"/>
      <c r="H91" s="1" t="s">
        <v>5</v>
      </c>
      <c r="I91" s="36">
        <f>I33-I48</f>
        <v>6.54</v>
      </c>
      <c r="J91" s="36"/>
      <c r="K91" s="40"/>
      <c r="L91" s="43">
        <f t="shared" ref="L91:U91" si="38">L33-L48</f>
        <v>0</v>
      </c>
      <c r="M91" s="43">
        <f t="shared" si="38"/>
        <v>3.9304628633333332</v>
      </c>
      <c r="N91" s="43">
        <f t="shared" si="38"/>
        <v>0</v>
      </c>
      <c r="O91" s="43">
        <f t="shared" si="38"/>
        <v>0</v>
      </c>
      <c r="P91" s="43">
        <f t="shared" si="38"/>
        <v>0</v>
      </c>
      <c r="Q91" s="43">
        <f t="shared" si="38"/>
        <v>0</v>
      </c>
      <c r="R91" s="43">
        <f t="shared" si="38"/>
        <v>0</v>
      </c>
      <c r="S91" s="43">
        <f t="shared" si="38"/>
        <v>0</v>
      </c>
      <c r="T91" s="43">
        <f t="shared" si="38"/>
        <v>0</v>
      </c>
      <c r="U91" s="43">
        <f t="shared" si="38"/>
        <v>0</v>
      </c>
      <c r="V91" s="43">
        <f t="shared" si="31"/>
        <v>0</v>
      </c>
      <c r="W91" s="48">
        <f t="shared" si="23"/>
        <v>3.9304628633333332</v>
      </c>
    </row>
    <row r="92" spans="1:23" s="3" customFormat="1" x14ac:dyDescent="0.2">
      <c r="A92" s="80" t="s">
        <v>130</v>
      </c>
      <c r="B92" s="81"/>
      <c r="C92" s="111" t="s">
        <v>144</v>
      </c>
      <c r="D92" s="112"/>
      <c r="E92" s="112"/>
      <c r="F92" s="112"/>
      <c r="G92" s="113"/>
      <c r="H92" s="1" t="s">
        <v>5</v>
      </c>
      <c r="I92" s="36">
        <f>I93-I99</f>
        <v>-28.64</v>
      </c>
      <c r="J92" s="36">
        <f t="shared" ref="J92" si="39">J93-J99</f>
        <v>-30.02</v>
      </c>
      <c r="K92" s="40">
        <v>-36.35</v>
      </c>
      <c r="L92" s="43">
        <f t="shared" ref="L92:V92" si="40">L93-L99</f>
        <v>-32.910000000000004</v>
      </c>
      <c r="M92" s="43">
        <f t="shared" si="40"/>
        <v>-60.710999999999999</v>
      </c>
      <c r="N92" s="43">
        <f t="shared" si="40"/>
        <v>-21.349999999999998</v>
      </c>
      <c r="O92" s="43">
        <f t="shared" si="40"/>
        <v>-21.349999999999998</v>
      </c>
      <c r="P92" s="43">
        <f t="shared" si="40"/>
        <v>-11.16</v>
      </c>
      <c r="Q92" s="43">
        <f t="shared" si="40"/>
        <v>-11.16</v>
      </c>
      <c r="R92" s="43">
        <f t="shared" si="40"/>
        <v>-5.49</v>
      </c>
      <c r="S92" s="43">
        <f t="shared" si="40"/>
        <v>-5.49</v>
      </c>
      <c r="T92" s="43">
        <f t="shared" si="40"/>
        <v>-3.13</v>
      </c>
      <c r="U92" s="43">
        <f t="shared" si="40"/>
        <v>-3.13</v>
      </c>
      <c r="V92" s="43">
        <f t="shared" si="40"/>
        <v>-74.039999999999992</v>
      </c>
      <c r="W92" s="48">
        <f t="shared" si="23"/>
        <v>-101.84099999999998</v>
      </c>
    </row>
    <row r="93" spans="1:23" s="3" customFormat="1" ht="8.1" customHeight="1" x14ac:dyDescent="0.2">
      <c r="A93" s="80" t="s">
        <v>131</v>
      </c>
      <c r="B93" s="81"/>
      <c r="C93" s="85" t="s">
        <v>145</v>
      </c>
      <c r="D93" s="86"/>
      <c r="E93" s="86"/>
      <c r="F93" s="86"/>
      <c r="G93" s="87"/>
      <c r="H93" s="1" t="s">
        <v>5</v>
      </c>
      <c r="I93" s="36">
        <f>I95+I98</f>
        <v>7.2899999999999991</v>
      </c>
      <c r="J93" s="36">
        <f t="shared" ref="J93" si="41">J95+J98</f>
        <v>0</v>
      </c>
      <c r="K93" s="40">
        <v>9.16</v>
      </c>
      <c r="L93" s="43">
        <v>0</v>
      </c>
      <c r="M93" s="43">
        <f t="shared" ref="M93:U93" si="42">SUM(M94:M96)+M98</f>
        <v>0.33700000000000002</v>
      </c>
      <c r="N93" s="43">
        <f t="shared" si="42"/>
        <v>0</v>
      </c>
      <c r="O93" s="43">
        <f t="shared" si="42"/>
        <v>0</v>
      </c>
      <c r="P93" s="43">
        <f t="shared" si="42"/>
        <v>0</v>
      </c>
      <c r="Q93" s="43">
        <f t="shared" si="42"/>
        <v>0</v>
      </c>
      <c r="R93" s="43">
        <f t="shared" si="42"/>
        <v>0</v>
      </c>
      <c r="S93" s="43">
        <f t="shared" si="42"/>
        <v>0</v>
      </c>
      <c r="T93" s="43">
        <f t="shared" si="42"/>
        <v>0</v>
      </c>
      <c r="U93" s="43">
        <f t="shared" si="42"/>
        <v>0</v>
      </c>
      <c r="V93" s="43">
        <f t="shared" ref="V93" si="43">V95+V98</f>
        <v>0</v>
      </c>
      <c r="W93" s="48">
        <f t="shared" si="23"/>
        <v>0.33700000000000002</v>
      </c>
    </row>
    <row r="94" spans="1:23" s="3" customFormat="1" ht="8.1" customHeight="1" x14ac:dyDescent="0.2">
      <c r="A94" s="80" t="s">
        <v>132</v>
      </c>
      <c r="B94" s="81"/>
      <c r="C94" s="77" t="s">
        <v>146</v>
      </c>
      <c r="D94" s="78"/>
      <c r="E94" s="78"/>
      <c r="F94" s="78"/>
      <c r="G94" s="79"/>
      <c r="H94" s="1" t="s">
        <v>5</v>
      </c>
      <c r="I94" s="36"/>
      <c r="J94" s="36"/>
      <c r="K94" s="40"/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f t="shared" ref="V94:W104" si="44">L94+N94+P94+R94+T94</f>
        <v>0</v>
      </c>
      <c r="W94" s="48">
        <f t="shared" si="44"/>
        <v>0</v>
      </c>
    </row>
    <row r="95" spans="1:23" s="3" customFormat="1" ht="8.1" customHeight="1" x14ac:dyDescent="0.2">
      <c r="A95" s="80" t="s">
        <v>133</v>
      </c>
      <c r="B95" s="81"/>
      <c r="C95" s="77" t="s">
        <v>147</v>
      </c>
      <c r="D95" s="78"/>
      <c r="E95" s="78"/>
      <c r="F95" s="78"/>
      <c r="G95" s="79"/>
      <c r="H95" s="1" t="s">
        <v>5</v>
      </c>
      <c r="I95" s="36">
        <v>2.5299999999999998</v>
      </c>
      <c r="J95" s="36"/>
      <c r="K95" s="40"/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f t="shared" si="44"/>
        <v>0</v>
      </c>
      <c r="W95" s="48">
        <f t="shared" si="44"/>
        <v>0</v>
      </c>
    </row>
    <row r="96" spans="1:23" s="3" customFormat="1" ht="8.1" customHeight="1" x14ac:dyDescent="0.2">
      <c r="A96" s="80" t="s">
        <v>134</v>
      </c>
      <c r="B96" s="81"/>
      <c r="C96" s="77" t="s">
        <v>148</v>
      </c>
      <c r="D96" s="78"/>
      <c r="E96" s="78"/>
      <c r="F96" s="78"/>
      <c r="G96" s="79"/>
      <c r="H96" s="1" t="s">
        <v>5</v>
      </c>
      <c r="I96" s="36"/>
      <c r="J96" s="36"/>
      <c r="K96" s="40"/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f t="shared" si="44"/>
        <v>0</v>
      </c>
      <c r="W96" s="48">
        <f t="shared" si="44"/>
        <v>0</v>
      </c>
    </row>
    <row r="97" spans="1:23" s="3" customFormat="1" ht="8.1" customHeight="1" x14ac:dyDescent="0.2">
      <c r="A97" s="80" t="s">
        <v>135</v>
      </c>
      <c r="B97" s="81"/>
      <c r="C97" s="96" t="s">
        <v>149</v>
      </c>
      <c r="D97" s="97"/>
      <c r="E97" s="97"/>
      <c r="F97" s="97"/>
      <c r="G97" s="98"/>
      <c r="H97" s="1" t="s">
        <v>5</v>
      </c>
      <c r="I97" s="36"/>
      <c r="J97" s="36"/>
      <c r="K97" s="40">
        <v>9.16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f t="shared" si="44"/>
        <v>0</v>
      </c>
      <c r="W97" s="48">
        <f t="shared" si="44"/>
        <v>0</v>
      </c>
    </row>
    <row r="98" spans="1:23" s="3" customFormat="1" ht="8.1" customHeight="1" x14ac:dyDescent="0.2">
      <c r="A98" s="80" t="s">
        <v>136</v>
      </c>
      <c r="B98" s="81"/>
      <c r="C98" s="77" t="s">
        <v>150</v>
      </c>
      <c r="D98" s="78"/>
      <c r="E98" s="78"/>
      <c r="F98" s="78"/>
      <c r="G98" s="79"/>
      <c r="H98" s="1" t="s">
        <v>5</v>
      </c>
      <c r="I98" s="36">
        <v>4.76</v>
      </c>
      <c r="J98" s="36"/>
      <c r="K98" s="40"/>
      <c r="L98" s="43">
        <v>0</v>
      </c>
      <c r="M98" s="43">
        <v>0.33700000000000002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f t="shared" si="44"/>
        <v>0</v>
      </c>
      <c r="W98" s="48">
        <f t="shared" si="44"/>
        <v>0.33700000000000002</v>
      </c>
    </row>
    <row r="99" spans="1:23" s="3" customFormat="1" ht="8.1" customHeight="1" x14ac:dyDescent="0.2">
      <c r="A99" s="80" t="s">
        <v>137</v>
      </c>
      <c r="B99" s="81"/>
      <c r="C99" s="85" t="s">
        <v>106</v>
      </c>
      <c r="D99" s="86"/>
      <c r="E99" s="86"/>
      <c r="F99" s="86"/>
      <c r="G99" s="87"/>
      <c r="H99" s="1" t="s">
        <v>5</v>
      </c>
      <c r="I99" s="36">
        <f>I101+I104</f>
        <v>35.93</v>
      </c>
      <c r="J99" s="36">
        <f t="shared" ref="J99" si="45">J101+J104</f>
        <v>30.02</v>
      </c>
      <c r="K99" s="40">
        <v>45.51</v>
      </c>
      <c r="L99" s="43">
        <v>32.910000000000004</v>
      </c>
      <c r="M99" s="43">
        <f t="shared" ref="M99:W99" si="46">SUM(M100:M102)+M104</f>
        <v>61.048000000000002</v>
      </c>
      <c r="N99" s="43">
        <f t="shared" si="46"/>
        <v>21.349999999999998</v>
      </c>
      <c r="O99" s="43">
        <f t="shared" si="46"/>
        <v>21.349999999999998</v>
      </c>
      <c r="P99" s="43">
        <f t="shared" si="46"/>
        <v>11.16</v>
      </c>
      <c r="Q99" s="43">
        <f t="shared" si="46"/>
        <v>11.16</v>
      </c>
      <c r="R99" s="43">
        <f t="shared" si="46"/>
        <v>5.49</v>
      </c>
      <c r="S99" s="43">
        <f t="shared" si="46"/>
        <v>5.49</v>
      </c>
      <c r="T99" s="43">
        <f t="shared" si="46"/>
        <v>3.13</v>
      </c>
      <c r="U99" s="43">
        <f t="shared" si="46"/>
        <v>3.13</v>
      </c>
      <c r="V99" s="43">
        <f t="shared" si="46"/>
        <v>74.039999999999992</v>
      </c>
      <c r="W99" s="43">
        <f t="shared" si="46"/>
        <v>102.178</v>
      </c>
    </row>
    <row r="100" spans="1:23" s="3" customFormat="1" ht="8.1" customHeight="1" x14ac:dyDescent="0.2">
      <c r="A100" s="80" t="s">
        <v>138</v>
      </c>
      <c r="B100" s="81"/>
      <c r="C100" s="77" t="s">
        <v>151</v>
      </c>
      <c r="D100" s="78"/>
      <c r="E100" s="78"/>
      <c r="F100" s="78"/>
      <c r="G100" s="79"/>
      <c r="H100" s="1" t="s">
        <v>5</v>
      </c>
      <c r="I100" s="36"/>
      <c r="J100" s="36"/>
      <c r="K100" s="40"/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f t="shared" si="44"/>
        <v>0</v>
      </c>
      <c r="W100" s="48">
        <f t="shared" si="44"/>
        <v>0</v>
      </c>
    </row>
    <row r="101" spans="1:23" s="3" customFormat="1" ht="8.1" customHeight="1" x14ac:dyDescent="0.2">
      <c r="A101" s="80" t="s">
        <v>139</v>
      </c>
      <c r="B101" s="81"/>
      <c r="C101" s="77" t="s">
        <v>152</v>
      </c>
      <c r="D101" s="78"/>
      <c r="E101" s="78"/>
      <c r="F101" s="78"/>
      <c r="G101" s="79"/>
      <c r="H101" s="1" t="s">
        <v>5</v>
      </c>
      <c r="I101" s="36">
        <v>24.9</v>
      </c>
      <c r="J101" s="36">
        <v>29.82</v>
      </c>
      <c r="K101" s="40">
        <v>24.19</v>
      </c>
      <c r="L101" s="43">
        <v>32.700000000000003</v>
      </c>
      <c r="M101" s="43">
        <v>48.898000000000003</v>
      </c>
      <c r="N101" s="43">
        <v>21.13</v>
      </c>
      <c r="O101" s="43">
        <v>21.13</v>
      </c>
      <c r="P101" s="43">
        <v>10.93</v>
      </c>
      <c r="Q101" s="43">
        <v>10.93</v>
      </c>
      <c r="R101" s="43">
        <v>5.25</v>
      </c>
      <c r="S101" s="43">
        <v>5.25</v>
      </c>
      <c r="T101" s="43">
        <v>2.88</v>
      </c>
      <c r="U101" s="43">
        <v>2.88</v>
      </c>
      <c r="V101" s="43">
        <f t="shared" si="44"/>
        <v>72.889999999999986</v>
      </c>
      <c r="W101" s="48">
        <f t="shared" si="44"/>
        <v>89.087999999999994</v>
      </c>
    </row>
    <row r="102" spans="1:23" s="3" customFormat="1" ht="8.1" customHeight="1" x14ac:dyDescent="0.2">
      <c r="A102" s="80" t="s">
        <v>140</v>
      </c>
      <c r="B102" s="81"/>
      <c r="C102" s="77" t="s">
        <v>153</v>
      </c>
      <c r="D102" s="78"/>
      <c r="E102" s="78"/>
      <c r="F102" s="78"/>
      <c r="G102" s="79"/>
      <c r="H102" s="1" t="s">
        <v>5</v>
      </c>
      <c r="I102" s="36"/>
      <c r="J102" s="36"/>
      <c r="K102" s="40"/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f t="shared" si="44"/>
        <v>0</v>
      </c>
      <c r="W102" s="48">
        <f t="shared" si="44"/>
        <v>0</v>
      </c>
    </row>
    <row r="103" spans="1:23" s="3" customFormat="1" ht="8.1" customHeight="1" x14ac:dyDescent="0.2">
      <c r="A103" s="80" t="s">
        <v>141</v>
      </c>
      <c r="B103" s="81"/>
      <c r="C103" s="96" t="s">
        <v>149</v>
      </c>
      <c r="D103" s="97"/>
      <c r="E103" s="97"/>
      <c r="F103" s="97"/>
      <c r="G103" s="98"/>
      <c r="H103" s="1" t="s">
        <v>5</v>
      </c>
      <c r="I103" s="36"/>
      <c r="J103" s="36"/>
      <c r="K103" s="40"/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f t="shared" si="44"/>
        <v>0</v>
      </c>
      <c r="W103" s="48">
        <f t="shared" si="44"/>
        <v>0</v>
      </c>
    </row>
    <row r="104" spans="1:23" s="3" customFormat="1" ht="8.1" customHeight="1" x14ac:dyDescent="0.2">
      <c r="A104" s="80" t="s">
        <v>142</v>
      </c>
      <c r="B104" s="81"/>
      <c r="C104" s="77" t="s">
        <v>154</v>
      </c>
      <c r="D104" s="78"/>
      <c r="E104" s="78"/>
      <c r="F104" s="78"/>
      <c r="G104" s="79"/>
      <c r="H104" s="1" t="s">
        <v>5</v>
      </c>
      <c r="I104" s="36">
        <v>11.03</v>
      </c>
      <c r="J104" s="36">
        <v>0.2</v>
      </c>
      <c r="K104" s="40">
        <v>21.32</v>
      </c>
      <c r="L104" s="43">
        <v>0.21</v>
      </c>
      <c r="M104" s="43">
        <v>12.15</v>
      </c>
      <c r="N104" s="43">
        <v>0.22</v>
      </c>
      <c r="O104" s="43">
        <v>0.22</v>
      </c>
      <c r="P104" s="43">
        <v>0.23</v>
      </c>
      <c r="Q104" s="43">
        <v>0.23</v>
      </c>
      <c r="R104" s="43">
        <v>0.24</v>
      </c>
      <c r="S104" s="43">
        <v>0.24</v>
      </c>
      <c r="T104" s="43">
        <v>0.25</v>
      </c>
      <c r="U104" s="43">
        <v>0.25</v>
      </c>
      <c r="V104" s="43">
        <f t="shared" si="44"/>
        <v>1.1499999999999999</v>
      </c>
      <c r="W104" s="48">
        <f t="shared" si="44"/>
        <v>13.090000000000002</v>
      </c>
    </row>
    <row r="105" spans="1:23" s="3" customFormat="1" x14ac:dyDescent="0.2">
      <c r="A105" s="80" t="s">
        <v>143</v>
      </c>
      <c r="B105" s="81"/>
      <c r="C105" s="111" t="s">
        <v>155</v>
      </c>
      <c r="D105" s="112"/>
      <c r="E105" s="112"/>
      <c r="F105" s="112"/>
      <c r="G105" s="113"/>
      <c r="H105" s="1" t="s">
        <v>5</v>
      </c>
      <c r="I105" s="36">
        <f>I111+I113+I114+I119</f>
        <v>41.660000000000046</v>
      </c>
      <c r="J105" s="36">
        <f>J77+J92</f>
        <v>78.529999999999959</v>
      </c>
      <c r="K105" s="40">
        <f t="shared" ref="K105" si="47">K77+K92</f>
        <v>36.069214225000131</v>
      </c>
      <c r="L105" s="43">
        <v>-29.700000000000081</v>
      </c>
      <c r="M105" s="43">
        <f t="shared" ref="M105" si="48">M77+M92</f>
        <v>15.719364269999929</v>
      </c>
      <c r="N105" s="43">
        <f t="shared" ref="N105:W105" si="49">N77+N92</f>
        <v>196.29000000000011</v>
      </c>
      <c r="O105" s="43">
        <f t="shared" si="49"/>
        <v>86.081638673726644</v>
      </c>
      <c r="P105" s="43">
        <f t="shared" si="49"/>
        <v>12.459999999999891</v>
      </c>
      <c r="Q105" s="43">
        <f t="shared" si="49"/>
        <v>43.799740451536394</v>
      </c>
      <c r="R105" s="43">
        <f t="shared" si="49"/>
        <v>12.509999999999886</v>
      </c>
      <c r="S105" s="43">
        <f t="shared" si="49"/>
        <v>-7.4019371500000855</v>
      </c>
      <c r="T105" s="43">
        <f t="shared" si="49"/>
        <v>185.15999999999997</v>
      </c>
      <c r="U105" s="43">
        <f t="shared" si="49"/>
        <v>180.14054000000021</v>
      </c>
      <c r="V105" s="43">
        <f t="shared" si="49"/>
        <v>376.71999999999935</v>
      </c>
      <c r="W105" s="43">
        <f t="shared" si="49"/>
        <v>318.33934624526353</v>
      </c>
    </row>
    <row r="106" spans="1:23" s="3" customFormat="1" ht="16.5" customHeight="1" x14ac:dyDescent="0.2">
      <c r="A106" s="80" t="s">
        <v>156</v>
      </c>
      <c r="B106" s="81"/>
      <c r="C106" s="85" t="s">
        <v>157</v>
      </c>
      <c r="D106" s="86"/>
      <c r="E106" s="86"/>
      <c r="F106" s="86"/>
      <c r="G106" s="87"/>
      <c r="H106" s="1" t="s">
        <v>5</v>
      </c>
      <c r="I106" s="36"/>
      <c r="J106" s="36"/>
      <c r="K106" s="36"/>
      <c r="L106" s="43">
        <f t="shared" ref="L106:M106" si="50">SUM(L107:L109)</f>
        <v>0</v>
      </c>
      <c r="M106" s="43">
        <f t="shared" si="50"/>
        <v>0</v>
      </c>
      <c r="N106" s="43">
        <f t="shared" ref="N106:U106" si="51">SUM(N107:N109)</f>
        <v>0</v>
      </c>
      <c r="O106" s="43">
        <f t="shared" si="51"/>
        <v>0</v>
      </c>
      <c r="P106" s="43">
        <f t="shared" si="51"/>
        <v>0</v>
      </c>
      <c r="Q106" s="43">
        <f t="shared" si="51"/>
        <v>0</v>
      </c>
      <c r="R106" s="43">
        <f t="shared" si="51"/>
        <v>0</v>
      </c>
      <c r="S106" s="43">
        <f t="shared" si="51"/>
        <v>0</v>
      </c>
      <c r="T106" s="43">
        <f t="shared" si="51"/>
        <v>0</v>
      </c>
      <c r="U106" s="43">
        <f t="shared" si="51"/>
        <v>0</v>
      </c>
      <c r="V106" s="43">
        <f t="shared" ref="V106:W110" si="52">L106+N106+P106+R106+T106</f>
        <v>0</v>
      </c>
      <c r="W106" s="48">
        <f t="shared" si="52"/>
        <v>0</v>
      </c>
    </row>
    <row r="107" spans="1:23" s="3" customFormat="1" ht="16.5" customHeight="1" x14ac:dyDescent="0.2">
      <c r="A107" s="80" t="s">
        <v>158</v>
      </c>
      <c r="B107" s="81"/>
      <c r="C107" s="77" t="s">
        <v>47</v>
      </c>
      <c r="D107" s="78"/>
      <c r="E107" s="78"/>
      <c r="F107" s="78"/>
      <c r="G107" s="79"/>
      <c r="H107" s="1" t="s">
        <v>5</v>
      </c>
      <c r="I107" s="36"/>
      <c r="J107" s="36"/>
      <c r="K107" s="36"/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f t="shared" si="52"/>
        <v>0</v>
      </c>
      <c r="W107" s="48">
        <f t="shared" si="52"/>
        <v>0</v>
      </c>
    </row>
    <row r="108" spans="1:23" s="3" customFormat="1" ht="16.5" customHeight="1" x14ac:dyDescent="0.2">
      <c r="A108" s="80" t="s">
        <v>159</v>
      </c>
      <c r="B108" s="81"/>
      <c r="C108" s="77" t="s">
        <v>52</v>
      </c>
      <c r="D108" s="78"/>
      <c r="E108" s="78"/>
      <c r="F108" s="78"/>
      <c r="G108" s="79"/>
      <c r="H108" s="1" t="s">
        <v>5</v>
      </c>
      <c r="I108" s="36"/>
      <c r="J108" s="36"/>
      <c r="K108" s="36"/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f t="shared" si="52"/>
        <v>0</v>
      </c>
      <c r="W108" s="48">
        <f t="shared" si="52"/>
        <v>0</v>
      </c>
    </row>
    <row r="109" spans="1:23" s="3" customFormat="1" ht="16.5" customHeight="1" x14ac:dyDescent="0.2">
      <c r="A109" s="80" t="s">
        <v>160</v>
      </c>
      <c r="B109" s="81"/>
      <c r="C109" s="77" t="s">
        <v>53</v>
      </c>
      <c r="D109" s="78"/>
      <c r="E109" s="78"/>
      <c r="F109" s="78"/>
      <c r="G109" s="79"/>
      <c r="H109" s="1" t="s">
        <v>5</v>
      </c>
      <c r="I109" s="36"/>
      <c r="J109" s="36"/>
      <c r="K109" s="36"/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f t="shared" si="52"/>
        <v>0</v>
      </c>
      <c r="W109" s="48">
        <f t="shared" si="52"/>
        <v>0</v>
      </c>
    </row>
    <row r="110" spans="1:23" s="3" customFormat="1" ht="8.1" customHeight="1" x14ac:dyDescent="0.2">
      <c r="A110" s="80" t="s">
        <v>161</v>
      </c>
      <c r="B110" s="81"/>
      <c r="C110" s="85" t="s">
        <v>54</v>
      </c>
      <c r="D110" s="86"/>
      <c r="E110" s="86"/>
      <c r="F110" s="86"/>
      <c r="G110" s="87"/>
      <c r="H110" s="1" t="s">
        <v>5</v>
      </c>
      <c r="I110" s="36"/>
      <c r="J110" s="36"/>
      <c r="K110" s="36"/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f t="shared" si="52"/>
        <v>0</v>
      </c>
      <c r="W110" s="48">
        <f t="shared" si="52"/>
        <v>0</v>
      </c>
    </row>
    <row r="111" spans="1:23" s="3" customFormat="1" ht="8.1" customHeight="1" x14ac:dyDescent="0.2">
      <c r="A111" s="80" t="s">
        <v>162</v>
      </c>
      <c r="B111" s="81"/>
      <c r="C111" s="85" t="s">
        <v>76</v>
      </c>
      <c r="D111" s="86"/>
      <c r="E111" s="86"/>
      <c r="F111" s="86"/>
      <c r="G111" s="87"/>
      <c r="H111" s="1" t="s">
        <v>5</v>
      </c>
      <c r="I111" s="36">
        <f>I83-I101</f>
        <v>-50.319999999999986</v>
      </c>
      <c r="J111" s="36">
        <f>J105-J113-J114</f>
        <v>-31.900000000000023</v>
      </c>
      <c r="K111" s="36">
        <v>-70.599999999999994</v>
      </c>
      <c r="L111" s="43">
        <v>-87.690000000000069</v>
      </c>
      <c r="M111" s="43">
        <f>M83+M92</f>
        <v>-104.53990467166669</v>
      </c>
      <c r="N111" s="43">
        <v>-34.920000000000016</v>
      </c>
      <c r="O111" s="43">
        <f t="shared" ref="O111:U111" si="53">O105-O113-O114</f>
        <v>-86.144382936038539</v>
      </c>
      <c r="P111" s="43">
        <v>-51.090000000000103</v>
      </c>
      <c r="Q111" s="43">
        <f t="shared" si="53"/>
        <v>-28.657212039999944</v>
      </c>
      <c r="R111" s="43">
        <v>-48.360000000000106</v>
      </c>
      <c r="S111" s="43">
        <f t="shared" si="53"/>
        <v>-68.271937150000085</v>
      </c>
      <c r="T111" s="43">
        <v>-59.840000000000146</v>
      </c>
      <c r="U111" s="43">
        <f t="shared" si="53"/>
        <v>-64.859459999999785</v>
      </c>
      <c r="V111" s="43">
        <f t="shared" ref="V111:V153" si="54">L111+N111+P111+R111+T111</f>
        <v>-281.90000000000043</v>
      </c>
      <c r="W111" s="48">
        <f t="shared" si="20"/>
        <v>-352.47289679770506</v>
      </c>
    </row>
    <row r="112" spans="1:23" s="3" customFormat="1" ht="8.1" customHeight="1" x14ac:dyDescent="0.2">
      <c r="A112" s="80" t="s">
        <v>163</v>
      </c>
      <c r="B112" s="81"/>
      <c r="C112" s="85" t="s">
        <v>77</v>
      </c>
      <c r="D112" s="86"/>
      <c r="E112" s="86"/>
      <c r="F112" s="86"/>
      <c r="G112" s="87"/>
      <c r="H112" s="1" t="s">
        <v>5</v>
      </c>
      <c r="I112" s="36"/>
      <c r="J112" s="36"/>
      <c r="K112" s="36"/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f t="shared" si="54"/>
        <v>0</v>
      </c>
      <c r="W112" s="48">
        <f t="shared" si="20"/>
        <v>0</v>
      </c>
    </row>
    <row r="113" spans="1:23" s="3" customFormat="1" ht="8.1" customHeight="1" x14ac:dyDescent="0.2">
      <c r="A113" s="80" t="s">
        <v>164</v>
      </c>
      <c r="B113" s="81"/>
      <c r="C113" s="85" t="s">
        <v>78</v>
      </c>
      <c r="D113" s="86"/>
      <c r="E113" s="86"/>
      <c r="F113" s="86"/>
      <c r="G113" s="87"/>
      <c r="H113" s="1" t="s">
        <v>5</v>
      </c>
      <c r="I113" s="36">
        <f>I85</f>
        <v>84.59</v>
      </c>
      <c r="J113" s="36">
        <f t="shared" ref="J113:U113" si="55">J85</f>
        <v>105.74</v>
      </c>
      <c r="K113" s="36">
        <v>124.68</v>
      </c>
      <c r="L113" s="43">
        <v>53.5</v>
      </c>
      <c r="M113" s="43">
        <f t="shared" ref="M113:M114" si="56">M85</f>
        <v>111.09238360499999</v>
      </c>
      <c r="N113" s="43">
        <v>226.43</v>
      </c>
      <c r="O113" s="43">
        <f t="shared" si="55"/>
        <v>226.43</v>
      </c>
      <c r="P113" s="43">
        <v>58.4</v>
      </c>
      <c r="Q113" s="43">
        <f t="shared" si="55"/>
        <v>58.4</v>
      </c>
      <c r="R113" s="43">
        <v>55.35</v>
      </c>
      <c r="S113" s="43">
        <f t="shared" si="55"/>
        <v>55.35</v>
      </c>
      <c r="T113" s="43">
        <v>239.11</v>
      </c>
      <c r="U113" s="43">
        <f t="shared" si="55"/>
        <v>239.11</v>
      </c>
      <c r="V113" s="43">
        <f t="shared" si="54"/>
        <v>632.79</v>
      </c>
      <c r="W113" s="48">
        <f t="shared" si="20"/>
        <v>690.38238360500009</v>
      </c>
    </row>
    <row r="114" spans="1:23" s="3" customFormat="1" ht="8.1" customHeight="1" x14ac:dyDescent="0.2">
      <c r="A114" s="80" t="s">
        <v>165</v>
      </c>
      <c r="B114" s="81"/>
      <c r="C114" s="85" t="s">
        <v>79</v>
      </c>
      <c r="D114" s="86"/>
      <c r="E114" s="86"/>
      <c r="F114" s="86"/>
      <c r="G114" s="87"/>
      <c r="H114" s="1" t="s">
        <v>5</v>
      </c>
      <c r="I114" s="36">
        <f>I86-I104</f>
        <v>-6.4399999999999675</v>
      </c>
      <c r="J114" s="36">
        <f t="shared" ref="J114:U114" si="57">J86-J104</f>
        <v>4.6899999999999862</v>
      </c>
      <c r="K114" s="36">
        <v>-17.02</v>
      </c>
      <c r="L114" s="43">
        <v>4.4899999999999887</v>
      </c>
      <c r="M114" s="43">
        <f t="shared" si="56"/>
        <v>5.2364224733333344</v>
      </c>
      <c r="N114" s="43">
        <v>4.78</v>
      </c>
      <c r="O114" s="43">
        <f t="shared" si="57"/>
        <v>-54.203978390234823</v>
      </c>
      <c r="P114" s="43">
        <v>5.149999999999995</v>
      </c>
      <c r="Q114" s="43">
        <f t="shared" si="57"/>
        <v>14.05695249153634</v>
      </c>
      <c r="R114" s="43">
        <v>5.5199999999999907</v>
      </c>
      <c r="S114" s="43">
        <f t="shared" si="57"/>
        <v>5.5199999999999907</v>
      </c>
      <c r="T114" s="43">
        <v>5.8899999999999864</v>
      </c>
      <c r="U114" s="43">
        <f t="shared" si="57"/>
        <v>5.8899999999999864</v>
      </c>
      <c r="V114" s="43">
        <f t="shared" si="54"/>
        <v>25.829999999999963</v>
      </c>
      <c r="W114" s="48">
        <f t="shared" si="20"/>
        <v>-23.500603425365178</v>
      </c>
    </row>
    <row r="115" spans="1:23" s="3" customFormat="1" ht="8.1" customHeight="1" x14ac:dyDescent="0.2">
      <c r="A115" s="80" t="s">
        <v>166</v>
      </c>
      <c r="B115" s="81"/>
      <c r="C115" s="85" t="s">
        <v>80</v>
      </c>
      <c r="D115" s="86"/>
      <c r="E115" s="86"/>
      <c r="F115" s="86"/>
      <c r="G115" s="87"/>
      <c r="H115" s="1" t="s">
        <v>5</v>
      </c>
      <c r="I115" s="36"/>
      <c r="J115" s="36"/>
      <c r="K115" s="36"/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f t="shared" si="54"/>
        <v>0</v>
      </c>
      <c r="W115" s="48">
        <f t="shared" si="20"/>
        <v>0</v>
      </c>
    </row>
    <row r="116" spans="1:23" s="3" customFormat="1" ht="16.5" customHeight="1" x14ac:dyDescent="0.2">
      <c r="A116" s="80" t="s">
        <v>167</v>
      </c>
      <c r="B116" s="81"/>
      <c r="C116" s="85" t="s">
        <v>81</v>
      </c>
      <c r="D116" s="86"/>
      <c r="E116" s="86"/>
      <c r="F116" s="86"/>
      <c r="G116" s="87"/>
      <c r="H116" s="1" t="s">
        <v>5</v>
      </c>
      <c r="I116" s="36"/>
      <c r="J116" s="36"/>
      <c r="K116" s="36"/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f t="shared" si="54"/>
        <v>0</v>
      </c>
      <c r="W116" s="48">
        <f t="shared" si="20"/>
        <v>0</v>
      </c>
    </row>
    <row r="117" spans="1:23" s="3" customFormat="1" ht="8.1" customHeight="1" x14ac:dyDescent="0.2">
      <c r="A117" s="80" t="s">
        <v>168</v>
      </c>
      <c r="B117" s="81"/>
      <c r="C117" s="77" t="s">
        <v>82</v>
      </c>
      <c r="D117" s="78"/>
      <c r="E117" s="78"/>
      <c r="F117" s="78"/>
      <c r="G117" s="79"/>
      <c r="H117" s="1" t="s">
        <v>5</v>
      </c>
      <c r="I117" s="36"/>
      <c r="J117" s="36"/>
      <c r="K117" s="36"/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f t="shared" si="54"/>
        <v>0</v>
      </c>
      <c r="W117" s="48">
        <f t="shared" si="20"/>
        <v>0</v>
      </c>
    </row>
    <row r="118" spans="1:23" s="3" customFormat="1" ht="8.1" customHeight="1" x14ac:dyDescent="0.2">
      <c r="A118" s="80" t="s">
        <v>169</v>
      </c>
      <c r="B118" s="81"/>
      <c r="C118" s="77" t="s">
        <v>83</v>
      </c>
      <c r="D118" s="78"/>
      <c r="E118" s="78"/>
      <c r="F118" s="78"/>
      <c r="G118" s="79"/>
      <c r="H118" s="1" t="s">
        <v>5</v>
      </c>
      <c r="I118" s="36"/>
      <c r="J118" s="36"/>
      <c r="K118" s="36"/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f t="shared" si="54"/>
        <v>0</v>
      </c>
      <c r="W118" s="48">
        <f t="shared" si="20"/>
        <v>0</v>
      </c>
    </row>
    <row r="119" spans="1:23" s="3" customFormat="1" ht="8.1" customHeight="1" x14ac:dyDescent="0.2">
      <c r="A119" s="80" t="s">
        <v>170</v>
      </c>
      <c r="B119" s="81"/>
      <c r="C119" s="85" t="s">
        <v>84</v>
      </c>
      <c r="D119" s="86"/>
      <c r="E119" s="86"/>
      <c r="F119" s="86"/>
      <c r="G119" s="87"/>
      <c r="H119" s="1" t="s">
        <v>5</v>
      </c>
      <c r="I119" s="36">
        <f>I91+I93</f>
        <v>13.829999999999998</v>
      </c>
      <c r="J119" s="36"/>
      <c r="K119" s="36"/>
      <c r="L119" s="43">
        <v>0</v>
      </c>
      <c r="M119" s="43">
        <f t="shared" ref="M119" si="58">M91</f>
        <v>3.9304628633333332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f t="shared" si="54"/>
        <v>0</v>
      </c>
      <c r="W119" s="48">
        <f t="shared" si="20"/>
        <v>3.9304628633333332</v>
      </c>
    </row>
    <row r="120" spans="1:23" s="3" customFormat="1" x14ac:dyDescent="0.2">
      <c r="A120" s="80" t="s">
        <v>171</v>
      </c>
      <c r="B120" s="81"/>
      <c r="C120" s="111" t="s">
        <v>172</v>
      </c>
      <c r="D120" s="112"/>
      <c r="E120" s="112"/>
      <c r="F120" s="112"/>
      <c r="G120" s="113"/>
      <c r="H120" s="1" t="s">
        <v>5</v>
      </c>
      <c r="I120" s="36">
        <f>I126+I128+I129</f>
        <v>6.66</v>
      </c>
      <c r="J120" s="36">
        <f t="shared" ref="J120" si="59">J126+J128+J129</f>
        <v>24.43</v>
      </c>
      <c r="K120" s="36">
        <v>0.83</v>
      </c>
      <c r="L120" s="43">
        <v>1.3199999999999998</v>
      </c>
      <c r="M120" s="43">
        <f t="shared" ref="M120" si="60">M126+M128+M129</f>
        <v>4.5960000000000001</v>
      </c>
      <c r="N120" s="43">
        <f t="shared" ref="N120:V120" si="61">N126+N128+N129</f>
        <v>29</v>
      </c>
      <c r="O120" s="43">
        <v>29</v>
      </c>
      <c r="P120" s="43">
        <f t="shared" si="61"/>
        <v>1</v>
      </c>
      <c r="Q120" s="43">
        <f t="shared" si="61"/>
        <v>1</v>
      </c>
      <c r="R120" s="43">
        <f t="shared" si="61"/>
        <v>1</v>
      </c>
      <c r="S120" s="43">
        <f t="shared" si="61"/>
        <v>1</v>
      </c>
      <c r="T120" s="43">
        <f t="shared" si="61"/>
        <v>34</v>
      </c>
      <c r="U120" s="43">
        <v>34</v>
      </c>
      <c r="V120" s="43">
        <f t="shared" si="61"/>
        <v>66.319999999999993</v>
      </c>
      <c r="W120" s="48">
        <f t="shared" si="20"/>
        <v>69.596000000000004</v>
      </c>
    </row>
    <row r="121" spans="1:23" s="3" customFormat="1" ht="8.1" customHeight="1" x14ac:dyDescent="0.2">
      <c r="A121" s="80" t="s">
        <v>173</v>
      </c>
      <c r="B121" s="81"/>
      <c r="C121" s="85" t="s">
        <v>46</v>
      </c>
      <c r="D121" s="86"/>
      <c r="E121" s="86"/>
      <c r="F121" s="86"/>
      <c r="G121" s="87"/>
      <c r="H121" s="1" t="s">
        <v>5</v>
      </c>
      <c r="I121" s="36"/>
      <c r="J121" s="36"/>
      <c r="K121" s="36"/>
      <c r="L121" s="43">
        <v>0</v>
      </c>
      <c r="M121" s="43">
        <v>0</v>
      </c>
      <c r="N121" s="43">
        <f t="shared" ref="N121:U121" si="62">SUM(N122:N124)</f>
        <v>0</v>
      </c>
      <c r="O121" s="43">
        <f t="shared" si="62"/>
        <v>0</v>
      </c>
      <c r="P121" s="43">
        <f t="shared" si="62"/>
        <v>0</v>
      </c>
      <c r="Q121" s="43">
        <f t="shared" si="62"/>
        <v>0</v>
      </c>
      <c r="R121" s="43">
        <f t="shared" si="62"/>
        <v>0</v>
      </c>
      <c r="S121" s="43">
        <f t="shared" si="62"/>
        <v>0</v>
      </c>
      <c r="T121" s="43">
        <f t="shared" si="62"/>
        <v>0</v>
      </c>
      <c r="U121" s="43">
        <f t="shared" si="62"/>
        <v>0</v>
      </c>
      <c r="V121" s="43">
        <f t="shared" ref="V121:V125" si="63">L121+N121+P121+R121+T121</f>
        <v>0</v>
      </c>
      <c r="W121" s="48">
        <f t="shared" si="20"/>
        <v>0</v>
      </c>
    </row>
    <row r="122" spans="1:23" s="3" customFormat="1" ht="16.5" customHeight="1" x14ac:dyDescent="0.2">
      <c r="A122" s="80" t="s">
        <v>174</v>
      </c>
      <c r="B122" s="81"/>
      <c r="C122" s="77" t="s">
        <v>47</v>
      </c>
      <c r="D122" s="78"/>
      <c r="E122" s="78"/>
      <c r="F122" s="78"/>
      <c r="G122" s="79"/>
      <c r="H122" s="1" t="s">
        <v>5</v>
      </c>
      <c r="I122" s="36"/>
      <c r="J122" s="36"/>
      <c r="K122" s="36"/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f t="shared" si="63"/>
        <v>0</v>
      </c>
      <c r="W122" s="48">
        <f t="shared" si="20"/>
        <v>0</v>
      </c>
    </row>
    <row r="123" spans="1:23" s="3" customFormat="1" ht="16.5" customHeight="1" x14ac:dyDescent="0.2">
      <c r="A123" s="80" t="s">
        <v>175</v>
      </c>
      <c r="B123" s="81"/>
      <c r="C123" s="77" t="s">
        <v>52</v>
      </c>
      <c r="D123" s="78"/>
      <c r="E123" s="78"/>
      <c r="F123" s="78"/>
      <c r="G123" s="79"/>
      <c r="H123" s="1" t="s">
        <v>5</v>
      </c>
      <c r="I123" s="36"/>
      <c r="J123" s="36"/>
      <c r="K123" s="36"/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f t="shared" si="63"/>
        <v>0</v>
      </c>
      <c r="W123" s="48">
        <f t="shared" si="20"/>
        <v>0</v>
      </c>
    </row>
    <row r="124" spans="1:23" s="3" customFormat="1" ht="16.5" customHeight="1" x14ac:dyDescent="0.2">
      <c r="A124" s="80" t="s">
        <v>176</v>
      </c>
      <c r="B124" s="81"/>
      <c r="C124" s="77" t="s">
        <v>53</v>
      </c>
      <c r="D124" s="78"/>
      <c r="E124" s="78"/>
      <c r="F124" s="78"/>
      <c r="G124" s="79"/>
      <c r="H124" s="1" t="s">
        <v>5</v>
      </c>
      <c r="I124" s="36"/>
      <c r="J124" s="36"/>
      <c r="K124" s="36"/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f t="shared" si="63"/>
        <v>0</v>
      </c>
      <c r="W124" s="48">
        <f t="shared" si="20"/>
        <v>0</v>
      </c>
    </row>
    <row r="125" spans="1:23" s="3" customFormat="1" ht="8.1" customHeight="1" x14ac:dyDescent="0.2">
      <c r="A125" s="80" t="s">
        <v>177</v>
      </c>
      <c r="B125" s="81"/>
      <c r="C125" s="85" t="s">
        <v>661</v>
      </c>
      <c r="D125" s="86"/>
      <c r="E125" s="86"/>
      <c r="F125" s="86"/>
      <c r="G125" s="87"/>
      <c r="H125" s="1" t="s">
        <v>5</v>
      </c>
      <c r="I125" s="36"/>
      <c r="J125" s="36"/>
      <c r="K125" s="36"/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f t="shared" si="63"/>
        <v>0</v>
      </c>
      <c r="W125" s="48">
        <f t="shared" si="20"/>
        <v>0</v>
      </c>
    </row>
    <row r="126" spans="1:23" s="3" customFormat="1" ht="8.1" customHeight="1" x14ac:dyDescent="0.2">
      <c r="A126" s="80" t="s">
        <v>178</v>
      </c>
      <c r="B126" s="81"/>
      <c r="C126" s="85" t="s">
        <v>662</v>
      </c>
      <c r="D126" s="86"/>
      <c r="E126" s="86"/>
      <c r="F126" s="86"/>
      <c r="G126" s="87"/>
      <c r="H126" s="1" t="s">
        <v>5</v>
      </c>
      <c r="I126" s="36"/>
      <c r="J126" s="36">
        <v>3.91</v>
      </c>
      <c r="K126" s="36"/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f t="shared" si="54"/>
        <v>0</v>
      </c>
      <c r="W126" s="48">
        <f t="shared" si="20"/>
        <v>0</v>
      </c>
    </row>
    <row r="127" spans="1:23" s="3" customFormat="1" ht="8.1" customHeight="1" x14ac:dyDescent="0.2">
      <c r="A127" s="80" t="s">
        <v>179</v>
      </c>
      <c r="B127" s="81"/>
      <c r="C127" s="85" t="s">
        <v>663</v>
      </c>
      <c r="D127" s="86"/>
      <c r="E127" s="86"/>
      <c r="F127" s="86"/>
      <c r="G127" s="87"/>
      <c r="H127" s="1" t="s">
        <v>5</v>
      </c>
      <c r="I127" s="36"/>
      <c r="J127" s="36"/>
      <c r="K127" s="36"/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f t="shared" si="54"/>
        <v>0</v>
      </c>
      <c r="W127" s="48">
        <f t="shared" si="20"/>
        <v>0</v>
      </c>
    </row>
    <row r="128" spans="1:23" s="3" customFormat="1" ht="8.1" customHeight="1" x14ac:dyDescent="0.2">
      <c r="A128" s="80" t="s">
        <v>180</v>
      </c>
      <c r="B128" s="81"/>
      <c r="C128" s="85" t="s">
        <v>664</v>
      </c>
      <c r="D128" s="86"/>
      <c r="E128" s="86"/>
      <c r="F128" s="86"/>
      <c r="G128" s="87"/>
      <c r="H128" s="1" t="s">
        <v>5</v>
      </c>
      <c r="I128" s="36">
        <v>6.66</v>
      </c>
      <c r="J128" s="36">
        <v>19.52</v>
      </c>
      <c r="K128" s="36">
        <v>0.83</v>
      </c>
      <c r="L128" s="43">
        <v>0.5</v>
      </c>
      <c r="M128" s="43">
        <f>0.753+1.258+2.585</f>
        <v>4.5960000000000001</v>
      </c>
      <c r="N128" s="43">
        <v>28</v>
      </c>
      <c r="O128" s="43">
        <v>28</v>
      </c>
      <c r="P128" s="43"/>
      <c r="Q128" s="43"/>
      <c r="R128" s="43"/>
      <c r="S128" s="43"/>
      <c r="T128" s="43">
        <v>33</v>
      </c>
      <c r="U128" s="43">
        <v>33</v>
      </c>
      <c r="V128" s="43">
        <f t="shared" si="54"/>
        <v>61.5</v>
      </c>
      <c r="W128" s="48">
        <f t="shared" si="20"/>
        <v>65.596000000000004</v>
      </c>
    </row>
    <row r="129" spans="1:23" s="3" customFormat="1" ht="8.1" customHeight="1" x14ac:dyDescent="0.2">
      <c r="A129" s="80" t="s">
        <v>181</v>
      </c>
      <c r="B129" s="81"/>
      <c r="C129" s="85" t="s">
        <v>665</v>
      </c>
      <c r="D129" s="86"/>
      <c r="E129" s="86"/>
      <c r="F129" s="86"/>
      <c r="G129" s="87"/>
      <c r="H129" s="1" t="s">
        <v>5</v>
      </c>
      <c r="I129" s="36"/>
      <c r="J129" s="36">
        <v>1</v>
      </c>
      <c r="K129" s="36"/>
      <c r="L129" s="43">
        <v>0.82</v>
      </c>
      <c r="M129" s="43">
        <v>0</v>
      </c>
      <c r="N129" s="43">
        <v>1</v>
      </c>
      <c r="O129" s="43">
        <v>1</v>
      </c>
      <c r="P129" s="43">
        <v>1</v>
      </c>
      <c r="Q129" s="43">
        <v>1</v>
      </c>
      <c r="R129" s="43">
        <v>1</v>
      </c>
      <c r="S129" s="43">
        <v>1</v>
      </c>
      <c r="T129" s="43">
        <v>1</v>
      </c>
      <c r="U129" s="43">
        <v>1</v>
      </c>
      <c r="V129" s="43">
        <f t="shared" si="54"/>
        <v>4.82</v>
      </c>
      <c r="W129" s="48">
        <f t="shared" si="20"/>
        <v>4</v>
      </c>
    </row>
    <row r="130" spans="1:23" s="3" customFormat="1" ht="8.1" customHeight="1" x14ac:dyDescent="0.2">
      <c r="A130" s="80" t="s">
        <v>182</v>
      </c>
      <c r="B130" s="81"/>
      <c r="C130" s="85" t="s">
        <v>666</v>
      </c>
      <c r="D130" s="86"/>
      <c r="E130" s="86"/>
      <c r="F130" s="86"/>
      <c r="G130" s="87"/>
      <c r="H130" s="1" t="s">
        <v>5</v>
      </c>
      <c r="I130" s="36"/>
      <c r="J130" s="36"/>
      <c r="K130" s="36"/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f t="shared" si="54"/>
        <v>0</v>
      </c>
      <c r="W130" s="48">
        <f t="shared" si="20"/>
        <v>0</v>
      </c>
    </row>
    <row r="131" spans="1:23" s="3" customFormat="1" ht="17.100000000000001" customHeight="1" x14ac:dyDescent="0.2">
      <c r="A131" s="80" t="s">
        <v>183</v>
      </c>
      <c r="B131" s="81"/>
      <c r="C131" s="85" t="s">
        <v>81</v>
      </c>
      <c r="D131" s="86"/>
      <c r="E131" s="86"/>
      <c r="F131" s="86"/>
      <c r="G131" s="87"/>
      <c r="H131" s="1" t="s">
        <v>5</v>
      </c>
      <c r="I131" s="36"/>
      <c r="J131" s="36"/>
      <c r="K131" s="36"/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f t="shared" si="54"/>
        <v>0</v>
      </c>
      <c r="W131" s="48">
        <f t="shared" si="20"/>
        <v>0</v>
      </c>
    </row>
    <row r="132" spans="1:23" s="3" customFormat="1" ht="8.1" customHeight="1" x14ac:dyDescent="0.2">
      <c r="A132" s="80" t="s">
        <v>184</v>
      </c>
      <c r="B132" s="81"/>
      <c r="C132" s="77" t="s">
        <v>82</v>
      </c>
      <c r="D132" s="78"/>
      <c r="E132" s="78"/>
      <c r="F132" s="78"/>
      <c r="G132" s="79"/>
      <c r="H132" s="1" t="s">
        <v>5</v>
      </c>
      <c r="I132" s="36"/>
      <c r="J132" s="36"/>
      <c r="K132" s="36"/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f t="shared" si="54"/>
        <v>0</v>
      </c>
      <c r="W132" s="48">
        <f t="shared" si="20"/>
        <v>0</v>
      </c>
    </row>
    <row r="133" spans="1:23" s="3" customFormat="1" ht="8.1" customHeight="1" x14ac:dyDescent="0.2">
      <c r="A133" s="80" t="s">
        <v>185</v>
      </c>
      <c r="B133" s="81"/>
      <c r="C133" s="77" t="s">
        <v>83</v>
      </c>
      <c r="D133" s="78"/>
      <c r="E133" s="78"/>
      <c r="F133" s="78"/>
      <c r="G133" s="79"/>
      <c r="H133" s="1" t="s">
        <v>5</v>
      </c>
      <c r="I133" s="36"/>
      <c r="J133" s="36"/>
      <c r="K133" s="36"/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f t="shared" si="54"/>
        <v>0</v>
      </c>
      <c r="W133" s="48">
        <f t="shared" si="20"/>
        <v>0</v>
      </c>
    </row>
    <row r="134" spans="1:23" s="3" customFormat="1" ht="8.1" customHeight="1" x14ac:dyDescent="0.2">
      <c r="A134" s="80" t="s">
        <v>186</v>
      </c>
      <c r="B134" s="81"/>
      <c r="C134" s="85" t="s">
        <v>667</v>
      </c>
      <c r="D134" s="86"/>
      <c r="E134" s="86"/>
      <c r="F134" s="86"/>
      <c r="G134" s="87"/>
      <c r="H134" s="1" t="s">
        <v>5</v>
      </c>
      <c r="I134" s="36"/>
      <c r="J134" s="36"/>
      <c r="K134" s="36"/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  <c r="U134" s="43">
        <v>0</v>
      </c>
      <c r="V134" s="43">
        <f t="shared" si="54"/>
        <v>0</v>
      </c>
      <c r="W134" s="48">
        <f t="shared" si="20"/>
        <v>0</v>
      </c>
    </row>
    <row r="135" spans="1:23" s="3" customFormat="1" x14ac:dyDescent="0.2">
      <c r="A135" s="80" t="s">
        <v>187</v>
      </c>
      <c r="B135" s="81"/>
      <c r="C135" s="111" t="s">
        <v>188</v>
      </c>
      <c r="D135" s="112"/>
      <c r="E135" s="112"/>
      <c r="F135" s="112"/>
      <c r="G135" s="113"/>
      <c r="H135" s="1" t="s">
        <v>5</v>
      </c>
      <c r="I135" s="36">
        <f>I141+I143+I144+I149</f>
        <v>28.280000000000051</v>
      </c>
      <c r="J135" s="36">
        <f t="shared" ref="J135" si="64">J141+J143+J144+J149</f>
        <v>58.009999999999962</v>
      </c>
      <c r="K135" s="36">
        <v>27.47</v>
      </c>
      <c r="L135" s="43">
        <v>-31.020000000000081</v>
      </c>
      <c r="M135" s="43">
        <f>M141+M143+M144+M149</f>
        <v>11.123364269999968</v>
      </c>
      <c r="N135" s="43">
        <f t="shared" ref="N135:V135" si="65">N141+N143+N144+N149</f>
        <v>167.29</v>
      </c>
      <c r="O135" s="43">
        <f t="shared" si="65"/>
        <v>57.081638673726644</v>
      </c>
      <c r="P135" s="43">
        <f t="shared" si="65"/>
        <v>11.459999999999891</v>
      </c>
      <c r="Q135" s="43">
        <f t="shared" si="65"/>
        <v>42.799740451536394</v>
      </c>
      <c r="R135" s="43">
        <f t="shared" si="65"/>
        <v>11.509999999999886</v>
      </c>
      <c r="S135" s="43">
        <f t="shared" si="65"/>
        <v>-8.4019371500000926</v>
      </c>
      <c r="T135" s="43">
        <f t="shared" si="65"/>
        <v>151.15999999999985</v>
      </c>
      <c r="U135" s="43">
        <f t="shared" si="65"/>
        <v>146.14054000000021</v>
      </c>
      <c r="V135" s="43">
        <f t="shared" si="65"/>
        <v>310.39999999999952</v>
      </c>
      <c r="W135" s="48">
        <f t="shared" si="20"/>
        <v>248.74334624526313</v>
      </c>
    </row>
    <row r="136" spans="1:23" s="3" customFormat="1" ht="8.1" customHeight="1" x14ac:dyDescent="0.2">
      <c r="A136" s="80" t="s">
        <v>189</v>
      </c>
      <c r="B136" s="81"/>
      <c r="C136" s="85" t="s">
        <v>46</v>
      </c>
      <c r="D136" s="86"/>
      <c r="E136" s="86"/>
      <c r="F136" s="86"/>
      <c r="G136" s="87"/>
      <c r="H136" s="1" t="s">
        <v>5</v>
      </c>
      <c r="I136" s="36"/>
      <c r="J136" s="36"/>
      <c r="K136" s="36"/>
      <c r="L136" s="43">
        <v>0</v>
      </c>
      <c r="M136" s="43">
        <v>0</v>
      </c>
      <c r="N136" s="43">
        <f t="shared" ref="N136:U136" si="66">SUM(N137:N139)</f>
        <v>0</v>
      </c>
      <c r="O136" s="43">
        <f t="shared" si="66"/>
        <v>0</v>
      </c>
      <c r="P136" s="43">
        <f t="shared" si="66"/>
        <v>0</v>
      </c>
      <c r="Q136" s="43">
        <f t="shared" si="66"/>
        <v>0</v>
      </c>
      <c r="R136" s="43">
        <f t="shared" si="66"/>
        <v>0</v>
      </c>
      <c r="S136" s="43">
        <f t="shared" si="66"/>
        <v>0</v>
      </c>
      <c r="T136" s="43">
        <f t="shared" si="66"/>
        <v>0</v>
      </c>
      <c r="U136" s="43">
        <f t="shared" si="66"/>
        <v>0</v>
      </c>
      <c r="V136" s="43">
        <f t="shared" ref="V136:W149" si="67">L136+N136+P136+R136+T136</f>
        <v>0</v>
      </c>
      <c r="W136" s="48">
        <f t="shared" si="20"/>
        <v>0</v>
      </c>
    </row>
    <row r="137" spans="1:23" s="3" customFormat="1" ht="16.5" customHeight="1" x14ac:dyDescent="0.2">
      <c r="A137" s="80" t="s">
        <v>190</v>
      </c>
      <c r="B137" s="81"/>
      <c r="C137" s="77" t="s">
        <v>47</v>
      </c>
      <c r="D137" s="78"/>
      <c r="E137" s="78"/>
      <c r="F137" s="78"/>
      <c r="G137" s="79"/>
      <c r="H137" s="1" t="s">
        <v>5</v>
      </c>
      <c r="I137" s="36"/>
      <c r="J137" s="36"/>
      <c r="K137" s="36"/>
      <c r="L137" s="43">
        <v>0</v>
      </c>
      <c r="M137" s="43">
        <v>0</v>
      </c>
      <c r="N137" s="43">
        <f t="shared" ref="N137:U137" si="68">N107-N122</f>
        <v>0</v>
      </c>
      <c r="O137" s="43">
        <f t="shared" si="68"/>
        <v>0</v>
      </c>
      <c r="P137" s="43">
        <f t="shared" si="68"/>
        <v>0</v>
      </c>
      <c r="Q137" s="43">
        <f t="shared" si="68"/>
        <v>0</v>
      </c>
      <c r="R137" s="43">
        <f t="shared" si="68"/>
        <v>0</v>
      </c>
      <c r="S137" s="43">
        <f t="shared" si="68"/>
        <v>0</v>
      </c>
      <c r="T137" s="43">
        <f t="shared" si="68"/>
        <v>0</v>
      </c>
      <c r="U137" s="43">
        <f t="shared" si="68"/>
        <v>0</v>
      </c>
      <c r="V137" s="43">
        <f t="shared" si="67"/>
        <v>0</v>
      </c>
      <c r="W137" s="48">
        <f t="shared" si="67"/>
        <v>0</v>
      </c>
    </row>
    <row r="138" spans="1:23" s="3" customFormat="1" ht="16.5" customHeight="1" x14ac:dyDescent="0.2">
      <c r="A138" s="80" t="s">
        <v>191</v>
      </c>
      <c r="B138" s="81"/>
      <c r="C138" s="77" t="s">
        <v>52</v>
      </c>
      <c r="D138" s="78"/>
      <c r="E138" s="78"/>
      <c r="F138" s="78"/>
      <c r="G138" s="79"/>
      <c r="H138" s="1" t="s">
        <v>5</v>
      </c>
      <c r="I138" s="36"/>
      <c r="J138" s="36"/>
      <c r="K138" s="36"/>
      <c r="L138" s="43">
        <v>0</v>
      </c>
      <c r="M138" s="43">
        <v>0</v>
      </c>
      <c r="N138" s="43">
        <f t="shared" ref="N138:U145" si="69">N108-N123</f>
        <v>0</v>
      </c>
      <c r="O138" s="43">
        <f t="shared" si="69"/>
        <v>0</v>
      </c>
      <c r="P138" s="43">
        <f t="shared" si="69"/>
        <v>0</v>
      </c>
      <c r="Q138" s="43">
        <f t="shared" si="69"/>
        <v>0</v>
      </c>
      <c r="R138" s="43">
        <f t="shared" si="69"/>
        <v>0</v>
      </c>
      <c r="S138" s="43">
        <f t="shared" si="69"/>
        <v>0</v>
      </c>
      <c r="T138" s="43">
        <f t="shared" si="69"/>
        <v>0</v>
      </c>
      <c r="U138" s="43">
        <f t="shared" si="69"/>
        <v>0</v>
      </c>
      <c r="V138" s="43">
        <f t="shared" si="67"/>
        <v>0</v>
      </c>
      <c r="W138" s="48">
        <f t="shared" si="67"/>
        <v>0</v>
      </c>
    </row>
    <row r="139" spans="1:23" s="3" customFormat="1" ht="16.5" customHeight="1" x14ac:dyDescent="0.2">
      <c r="A139" s="80" t="s">
        <v>192</v>
      </c>
      <c r="B139" s="81"/>
      <c r="C139" s="77" t="s">
        <v>53</v>
      </c>
      <c r="D139" s="78"/>
      <c r="E139" s="78"/>
      <c r="F139" s="78"/>
      <c r="G139" s="79"/>
      <c r="H139" s="1" t="s">
        <v>5</v>
      </c>
      <c r="I139" s="36"/>
      <c r="J139" s="36"/>
      <c r="K139" s="36"/>
      <c r="L139" s="43">
        <v>0</v>
      </c>
      <c r="M139" s="43">
        <v>0</v>
      </c>
      <c r="N139" s="43">
        <f t="shared" si="69"/>
        <v>0</v>
      </c>
      <c r="O139" s="43">
        <f t="shared" si="69"/>
        <v>0</v>
      </c>
      <c r="P139" s="43">
        <f t="shared" si="69"/>
        <v>0</v>
      </c>
      <c r="Q139" s="43">
        <f t="shared" si="69"/>
        <v>0</v>
      </c>
      <c r="R139" s="43">
        <f t="shared" si="69"/>
        <v>0</v>
      </c>
      <c r="S139" s="43">
        <f t="shared" si="69"/>
        <v>0</v>
      </c>
      <c r="T139" s="43">
        <f t="shared" si="69"/>
        <v>0</v>
      </c>
      <c r="U139" s="43">
        <f t="shared" si="69"/>
        <v>0</v>
      </c>
      <c r="V139" s="43">
        <f t="shared" si="67"/>
        <v>0</v>
      </c>
      <c r="W139" s="48">
        <f t="shared" si="67"/>
        <v>0</v>
      </c>
    </row>
    <row r="140" spans="1:23" s="3" customFormat="1" ht="8.1" customHeight="1" x14ac:dyDescent="0.2">
      <c r="A140" s="80" t="s">
        <v>193</v>
      </c>
      <c r="B140" s="81"/>
      <c r="C140" s="85" t="s">
        <v>54</v>
      </c>
      <c r="D140" s="86"/>
      <c r="E140" s="86"/>
      <c r="F140" s="86"/>
      <c r="G140" s="87"/>
      <c r="H140" s="1" t="s">
        <v>5</v>
      </c>
      <c r="I140" s="36"/>
      <c r="J140" s="36"/>
      <c r="K140" s="36"/>
      <c r="L140" s="43">
        <v>0</v>
      </c>
      <c r="M140" s="43">
        <v>0</v>
      </c>
      <c r="N140" s="43">
        <f t="shared" si="69"/>
        <v>0</v>
      </c>
      <c r="O140" s="43">
        <f t="shared" si="69"/>
        <v>0</v>
      </c>
      <c r="P140" s="43">
        <f t="shared" si="69"/>
        <v>0</v>
      </c>
      <c r="Q140" s="43">
        <f t="shared" si="69"/>
        <v>0</v>
      </c>
      <c r="R140" s="43">
        <f t="shared" si="69"/>
        <v>0</v>
      </c>
      <c r="S140" s="43">
        <f t="shared" si="69"/>
        <v>0</v>
      </c>
      <c r="T140" s="43">
        <f t="shared" si="69"/>
        <v>0</v>
      </c>
      <c r="U140" s="43">
        <f t="shared" si="69"/>
        <v>0</v>
      </c>
      <c r="V140" s="43">
        <f t="shared" si="67"/>
        <v>0</v>
      </c>
      <c r="W140" s="48">
        <f t="shared" si="67"/>
        <v>0</v>
      </c>
    </row>
    <row r="141" spans="1:23" s="3" customFormat="1" ht="8.1" customHeight="1" x14ac:dyDescent="0.2">
      <c r="A141" s="80" t="s">
        <v>194</v>
      </c>
      <c r="B141" s="81"/>
      <c r="C141" s="85" t="s">
        <v>76</v>
      </c>
      <c r="D141" s="86"/>
      <c r="E141" s="86"/>
      <c r="F141" s="86"/>
      <c r="G141" s="87"/>
      <c r="H141" s="1" t="s">
        <v>5</v>
      </c>
      <c r="I141" s="36">
        <f>I111-I127</f>
        <v>-50.319999999999986</v>
      </c>
      <c r="J141" s="36">
        <f t="shared" ref="J141:K141" si="70">J111-J127</f>
        <v>-31.900000000000023</v>
      </c>
      <c r="K141" s="36">
        <f t="shared" si="70"/>
        <v>-70.599999999999994</v>
      </c>
      <c r="L141" s="43">
        <v>-87.690000000000069</v>
      </c>
      <c r="M141" s="180">
        <f>M111-M126</f>
        <v>-104.53990467166669</v>
      </c>
      <c r="N141" s="43">
        <f t="shared" si="69"/>
        <v>-34.920000000000016</v>
      </c>
      <c r="O141" s="43">
        <f t="shared" si="69"/>
        <v>-86.144382936038539</v>
      </c>
      <c r="P141" s="43">
        <f t="shared" si="69"/>
        <v>-51.090000000000103</v>
      </c>
      <c r="Q141" s="43">
        <f t="shared" si="69"/>
        <v>-28.657212039999944</v>
      </c>
      <c r="R141" s="43">
        <f t="shared" si="69"/>
        <v>-48.360000000000106</v>
      </c>
      <c r="S141" s="43">
        <f t="shared" si="69"/>
        <v>-68.271937150000085</v>
      </c>
      <c r="T141" s="43">
        <f t="shared" si="69"/>
        <v>-59.840000000000146</v>
      </c>
      <c r="U141" s="43">
        <f t="shared" si="69"/>
        <v>-64.859459999999785</v>
      </c>
      <c r="V141" s="43">
        <f t="shared" si="67"/>
        <v>-281.90000000000043</v>
      </c>
      <c r="W141" s="48">
        <f t="shared" si="67"/>
        <v>-352.47289679770506</v>
      </c>
    </row>
    <row r="142" spans="1:23" s="3" customFormat="1" ht="8.1" customHeight="1" x14ac:dyDescent="0.2">
      <c r="A142" s="80" t="s">
        <v>195</v>
      </c>
      <c r="B142" s="81"/>
      <c r="C142" s="85" t="s">
        <v>77</v>
      </c>
      <c r="D142" s="86"/>
      <c r="E142" s="86"/>
      <c r="F142" s="86"/>
      <c r="G142" s="87"/>
      <c r="H142" s="1" t="s">
        <v>5</v>
      </c>
      <c r="I142" s="36"/>
      <c r="J142" s="36"/>
      <c r="K142" s="36"/>
      <c r="L142" s="43">
        <v>0</v>
      </c>
      <c r="M142" s="180">
        <v>0</v>
      </c>
      <c r="N142" s="43">
        <f t="shared" si="69"/>
        <v>0</v>
      </c>
      <c r="O142" s="43">
        <f t="shared" si="69"/>
        <v>0</v>
      </c>
      <c r="P142" s="43">
        <f t="shared" si="69"/>
        <v>0</v>
      </c>
      <c r="Q142" s="43">
        <f t="shared" si="69"/>
        <v>0</v>
      </c>
      <c r="R142" s="43">
        <f t="shared" si="69"/>
        <v>0</v>
      </c>
      <c r="S142" s="43">
        <f t="shared" si="69"/>
        <v>0</v>
      </c>
      <c r="T142" s="43">
        <f t="shared" si="69"/>
        <v>0</v>
      </c>
      <c r="U142" s="43">
        <f t="shared" si="69"/>
        <v>0</v>
      </c>
      <c r="V142" s="43">
        <f t="shared" si="67"/>
        <v>0</v>
      </c>
      <c r="W142" s="48">
        <f t="shared" si="67"/>
        <v>0</v>
      </c>
    </row>
    <row r="143" spans="1:23" s="3" customFormat="1" ht="8.1" customHeight="1" x14ac:dyDescent="0.2">
      <c r="A143" s="80" t="s">
        <v>196</v>
      </c>
      <c r="B143" s="81"/>
      <c r="C143" s="85" t="s">
        <v>78</v>
      </c>
      <c r="D143" s="86"/>
      <c r="E143" s="86"/>
      <c r="F143" s="86"/>
      <c r="G143" s="87"/>
      <c r="H143" s="1" t="s">
        <v>5</v>
      </c>
      <c r="I143" s="36">
        <f>I113-I128</f>
        <v>77.930000000000007</v>
      </c>
      <c r="J143" s="36">
        <f t="shared" ref="J143" si="71">J113-J128</f>
        <v>86.22</v>
      </c>
      <c r="K143" s="36">
        <v>115.09</v>
      </c>
      <c r="L143" s="43">
        <v>53</v>
      </c>
      <c r="M143" s="180">
        <f t="shared" ref="M143:M149" si="72">M113-M128</f>
        <v>106.49638360499999</v>
      </c>
      <c r="N143" s="43">
        <f t="shared" si="69"/>
        <v>198.43</v>
      </c>
      <c r="O143" s="43">
        <f t="shared" si="69"/>
        <v>198.43</v>
      </c>
      <c r="P143" s="43">
        <f t="shared" si="69"/>
        <v>58.4</v>
      </c>
      <c r="Q143" s="43">
        <f t="shared" si="69"/>
        <v>58.4</v>
      </c>
      <c r="R143" s="43">
        <f t="shared" si="69"/>
        <v>55.35</v>
      </c>
      <c r="S143" s="43">
        <f t="shared" si="69"/>
        <v>55.35</v>
      </c>
      <c r="T143" s="43">
        <f t="shared" si="69"/>
        <v>206.11</v>
      </c>
      <c r="U143" s="43">
        <f t="shared" si="69"/>
        <v>206.11</v>
      </c>
      <c r="V143" s="43">
        <f t="shared" si="67"/>
        <v>571.29</v>
      </c>
      <c r="W143" s="48">
        <f t="shared" si="67"/>
        <v>624.78638360500008</v>
      </c>
    </row>
    <row r="144" spans="1:23" s="3" customFormat="1" ht="8.1" customHeight="1" x14ac:dyDescent="0.2">
      <c r="A144" s="80" t="s">
        <v>197</v>
      </c>
      <c r="B144" s="81"/>
      <c r="C144" s="85" t="s">
        <v>79</v>
      </c>
      <c r="D144" s="86"/>
      <c r="E144" s="86"/>
      <c r="F144" s="86"/>
      <c r="G144" s="87"/>
      <c r="H144" s="1" t="s">
        <v>5</v>
      </c>
      <c r="I144" s="36">
        <f>I114-I129</f>
        <v>-6.4399999999999675</v>
      </c>
      <c r="J144" s="36">
        <f t="shared" ref="J144" si="73">J114-J129</f>
        <v>3.6899999999999862</v>
      </c>
      <c r="K144" s="36">
        <v>-17.02</v>
      </c>
      <c r="L144" s="43">
        <v>3.6699999999999888</v>
      </c>
      <c r="M144" s="180">
        <f t="shared" si="72"/>
        <v>5.2364224733333344</v>
      </c>
      <c r="N144" s="43">
        <f t="shared" si="69"/>
        <v>3.7800000000000002</v>
      </c>
      <c r="O144" s="43">
        <f t="shared" si="69"/>
        <v>-55.203978390234823</v>
      </c>
      <c r="P144" s="43">
        <f t="shared" si="69"/>
        <v>4.149999999999995</v>
      </c>
      <c r="Q144" s="43">
        <f t="shared" si="69"/>
        <v>13.05695249153634</v>
      </c>
      <c r="R144" s="43">
        <f t="shared" si="69"/>
        <v>4.5199999999999907</v>
      </c>
      <c r="S144" s="43">
        <f t="shared" si="69"/>
        <v>4.5199999999999907</v>
      </c>
      <c r="T144" s="43">
        <f t="shared" si="69"/>
        <v>4.8899999999999864</v>
      </c>
      <c r="U144" s="43">
        <f t="shared" si="69"/>
        <v>4.8899999999999864</v>
      </c>
      <c r="V144" s="43">
        <f t="shared" si="67"/>
        <v>21.009999999999962</v>
      </c>
      <c r="W144" s="48">
        <f t="shared" si="67"/>
        <v>-27.500603425365178</v>
      </c>
    </row>
    <row r="145" spans="1:23" s="3" customFormat="1" ht="8.1" customHeight="1" x14ac:dyDescent="0.2">
      <c r="A145" s="80" t="s">
        <v>198</v>
      </c>
      <c r="B145" s="81"/>
      <c r="C145" s="85" t="s">
        <v>80</v>
      </c>
      <c r="D145" s="86"/>
      <c r="E145" s="86"/>
      <c r="F145" s="86"/>
      <c r="G145" s="87"/>
      <c r="H145" s="1" t="s">
        <v>5</v>
      </c>
      <c r="I145" s="36"/>
      <c r="J145" s="36"/>
      <c r="K145" s="36"/>
      <c r="L145" s="43">
        <v>0</v>
      </c>
      <c r="M145" s="180">
        <v>0</v>
      </c>
      <c r="N145" s="43">
        <f t="shared" si="69"/>
        <v>0</v>
      </c>
      <c r="O145" s="43">
        <f t="shared" si="69"/>
        <v>0</v>
      </c>
      <c r="P145" s="43">
        <f t="shared" si="69"/>
        <v>0</v>
      </c>
      <c r="Q145" s="43">
        <f t="shared" si="69"/>
        <v>0</v>
      </c>
      <c r="R145" s="43">
        <f t="shared" si="69"/>
        <v>0</v>
      </c>
      <c r="S145" s="43">
        <f t="shared" si="69"/>
        <v>0</v>
      </c>
      <c r="T145" s="43">
        <f t="shared" si="69"/>
        <v>0</v>
      </c>
      <c r="U145" s="43">
        <f t="shared" si="69"/>
        <v>0</v>
      </c>
      <c r="V145" s="43">
        <f>L145+N145+P145+R145+T145</f>
        <v>0</v>
      </c>
      <c r="W145" s="48">
        <f>M145+O145+Q145+S145+U145</f>
        <v>0</v>
      </c>
    </row>
    <row r="146" spans="1:23" s="3" customFormat="1" ht="16.5" customHeight="1" x14ac:dyDescent="0.2">
      <c r="A146" s="80" t="s">
        <v>199</v>
      </c>
      <c r="B146" s="81"/>
      <c r="C146" s="85" t="s">
        <v>81</v>
      </c>
      <c r="D146" s="86"/>
      <c r="E146" s="86"/>
      <c r="F146" s="86"/>
      <c r="G146" s="87"/>
      <c r="H146" s="1" t="s">
        <v>5</v>
      </c>
      <c r="I146" s="36"/>
      <c r="J146" s="36"/>
      <c r="K146" s="36"/>
      <c r="L146" s="43">
        <v>0</v>
      </c>
      <c r="M146" s="180">
        <v>0</v>
      </c>
      <c r="N146" s="43">
        <f t="shared" ref="N146:U146" si="74">SUM(N147:N148)</f>
        <v>0</v>
      </c>
      <c r="O146" s="43">
        <f t="shared" si="74"/>
        <v>0</v>
      </c>
      <c r="P146" s="43">
        <f t="shared" si="74"/>
        <v>0</v>
      </c>
      <c r="Q146" s="43">
        <f t="shared" si="74"/>
        <v>0</v>
      </c>
      <c r="R146" s="43">
        <f t="shared" si="74"/>
        <v>0</v>
      </c>
      <c r="S146" s="43">
        <f t="shared" si="74"/>
        <v>0</v>
      </c>
      <c r="T146" s="43">
        <f t="shared" si="74"/>
        <v>0</v>
      </c>
      <c r="U146" s="43">
        <f t="shared" si="74"/>
        <v>0</v>
      </c>
      <c r="V146" s="43">
        <f t="shared" si="67"/>
        <v>0</v>
      </c>
      <c r="W146" s="48">
        <f t="shared" si="67"/>
        <v>0</v>
      </c>
    </row>
    <row r="147" spans="1:23" s="3" customFormat="1" ht="8.1" customHeight="1" x14ac:dyDescent="0.2">
      <c r="A147" s="80" t="s">
        <v>200</v>
      </c>
      <c r="B147" s="81"/>
      <c r="C147" s="77" t="s">
        <v>82</v>
      </c>
      <c r="D147" s="78"/>
      <c r="E147" s="78"/>
      <c r="F147" s="78"/>
      <c r="G147" s="79"/>
      <c r="H147" s="1" t="s">
        <v>5</v>
      </c>
      <c r="I147" s="36"/>
      <c r="J147" s="36"/>
      <c r="K147" s="36"/>
      <c r="L147" s="43">
        <v>0</v>
      </c>
      <c r="M147" s="180">
        <v>0</v>
      </c>
      <c r="N147" s="43">
        <f t="shared" ref="N147:U149" si="75">N117-N132</f>
        <v>0</v>
      </c>
      <c r="O147" s="43">
        <f t="shared" si="75"/>
        <v>0</v>
      </c>
      <c r="P147" s="43">
        <f t="shared" si="75"/>
        <v>0</v>
      </c>
      <c r="Q147" s="43">
        <f t="shared" si="75"/>
        <v>0</v>
      </c>
      <c r="R147" s="43">
        <f t="shared" si="75"/>
        <v>0</v>
      </c>
      <c r="S147" s="43">
        <f t="shared" si="75"/>
        <v>0</v>
      </c>
      <c r="T147" s="43">
        <f t="shared" si="75"/>
        <v>0</v>
      </c>
      <c r="U147" s="43">
        <f t="shared" si="75"/>
        <v>0</v>
      </c>
      <c r="V147" s="43">
        <f t="shared" si="67"/>
        <v>0</v>
      </c>
      <c r="W147" s="48">
        <f t="shared" si="67"/>
        <v>0</v>
      </c>
    </row>
    <row r="148" spans="1:23" s="3" customFormat="1" ht="8.1" customHeight="1" x14ac:dyDescent="0.2">
      <c r="A148" s="80" t="s">
        <v>201</v>
      </c>
      <c r="B148" s="81"/>
      <c r="C148" s="77" t="s">
        <v>83</v>
      </c>
      <c r="D148" s="78"/>
      <c r="E148" s="78"/>
      <c r="F148" s="78"/>
      <c r="G148" s="79"/>
      <c r="H148" s="1" t="s">
        <v>5</v>
      </c>
      <c r="I148" s="36"/>
      <c r="J148" s="36"/>
      <c r="K148" s="36"/>
      <c r="L148" s="43">
        <v>0</v>
      </c>
      <c r="M148" s="180">
        <v>0</v>
      </c>
      <c r="N148" s="43">
        <f t="shared" si="75"/>
        <v>0</v>
      </c>
      <c r="O148" s="43">
        <f t="shared" si="75"/>
        <v>0</v>
      </c>
      <c r="P148" s="43">
        <f t="shared" si="75"/>
        <v>0</v>
      </c>
      <c r="Q148" s="43">
        <f t="shared" si="75"/>
        <v>0</v>
      </c>
      <c r="R148" s="43">
        <f t="shared" si="75"/>
        <v>0</v>
      </c>
      <c r="S148" s="43">
        <f t="shared" si="75"/>
        <v>0</v>
      </c>
      <c r="T148" s="43">
        <f t="shared" si="75"/>
        <v>0</v>
      </c>
      <c r="U148" s="43">
        <f t="shared" si="75"/>
        <v>0</v>
      </c>
      <c r="V148" s="43">
        <f>L148+N148+P148+R148+T148</f>
        <v>0</v>
      </c>
      <c r="W148" s="48">
        <f>M148+O148+Q148+S148+U148</f>
        <v>0</v>
      </c>
    </row>
    <row r="149" spans="1:23" s="3" customFormat="1" ht="8.1" customHeight="1" x14ac:dyDescent="0.2">
      <c r="A149" s="80" t="s">
        <v>202</v>
      </c>
      <c r="B149" s="81"/>
      <c r="C149" s="85" t="s">
        <v>84</v>
      </c>
      <c r="D149" s="86"/>
      <c r="E149" s="86"/>
      <c r="F149" s="86"/>
      <c r="G149" s="87"/>
      <c r="H149" s="1" t="s">
        <v>5</v>
      </c>
      <c r="I149" s="36">
        <v>7.11</v>
      </c>
      <c r="J149" s="36"/>
      <c r="K149" s="36"/>
      <c r="L149" s="43"/>
      <c r="M149" s="180">
        <f t="shared" si="72"/>
        <v>3.9304628633333332</v>
      </c>
      <c r="N149" s="43">
        <f t="shared" si="75"/>
        <v>0</v>
      </c>
      <c r="O149" s="43">
        <f t="shared" si="75"/>
        <v>0</v>
      </c>
      <c r="P149" s="43">
        <f t="shared" si="75"/>
        <v>0</v>
      </c>
      <c r="Q149" s="43">
        <f t="shared" si="75"/>
        <v>0</v>
      </c>
      <c r="R149" s="43">
        <f t="shared" si="75"/>
        <v>0</v>
      </c>
      <c r="S149" s="43">
        <f t="shared" si="75"/>
        <v>0</v>
      </c>
      <c r="T149" s="43">
        <f t="shared" si="75"/>
        <v>0</v>
      </c>
      <c r="U149" s="43">
        <f t="shared" si="75"/>
        <v>0</v>
      </c>
      <c r="V149" s="43">
        <f t="shared" si="67"/>
        <v>0</v>
      </c>
      <c r="W149" s="48">
        <f t="shared" si="67"/>
        <v>3.9304628633333332</v>
      </c>
    </row>
    <row r="150" spans="1:23" s="3" customFormat="1" ht="8.1" customHeight="1" x14ac:dyDescent="0.2">
      <c r="A150" s="80" t="s">
        <v>203</v>
      </c>
      <c r="B150" s="81"/>
      <c r="C150" s="111" t="s">
        <v>204</v>
      </c>
      <c r="D150" s="112"/>
      <c r="E150" s="112"/>
      <c r="F150" s="112"/>
      <c r="G150" s="113"/>
      <c r="H150" s="1" t="s">
        <v>5</v>
      </c>
      <c r="I150" s="36">
        <v>28.28</v>
      </c>
      <c r="J150" s="36">
        <v>100.06</v>
      </c>
      <c r="K150" s="36">
        <v>27.47</v>
      </c>
      <c r="L150" s="43">
        <v>-31.020000000000081</v>
      </c>
      <c r="M150" s="43">
        <f t="shared" ref="M150" si="76">M152+M151</f>
        <v>11.123364269999968</v>
      </c>
      <c r="N150" s="43">
        <f t="shared" ref="N150:W150" si="77">N152+N151</f>
        <v>167.29</v>
      </c>
      <c r="O150" s="43">
        <f t="shared" si="77"/>
        <v>57.081638673726644</v>
      </c>
      <c r="P150" s="43">
        <f t="shared" si="77"/>
        <v>11.459999999999891</v>
      </c>
      <c r="Q150" s="43">
        <f t="shared" si="77"/>
        <v>42.799740451536394</v>
      </c>
      <c r="R150" s="43">
        <f t="shared" si="77"/>
        <v>11.509999999999886</v>
      </c>
      <c r="S150" s="43">
        <f t="shared" si="77"/>
        <v>-8.4019371500000926</v>
      </c>
      <c r="T150" s="43">
        <f t="shared" si="77"/>
        <v>151.15999999999985</v>
      </c>
      <c r="U150" s="43">
        <f t="shared" si="77"/>
        <v>146.14054000000021</v>
      </c>
      <c r="V150" s="43">
        <f t="shared" si="77"/>
        <v>310.39999999999952</v>
      </c>
      <c r="W150" s="43">
        <f t="shared" si="77"/>
        <v>248.74334624526313</v>
      </c>
    </row>
    <row r="151" spans="1:23" s="3" customFormat="1" ht="8.1" customHeight="1" x14ac:dyDescent="0.2">
      <c r="A151" s="80" t="s">
        <v>205</v>
      </c>
      <c r="B151" s="81"/>
      <c r="C151" s="85" t="s">
        <v>209</v>
      </c>
      <c r="D151" s="86"/>
      <c r="E151" s="86"/>
      <c r="F151" s="86"/>
      <c r="G151" s="87"/>
      <c r="H151" s="1" t="s">
        <v>5</v>
      </c>
      <c r="I151" s="36">
        <v>28.28</v>
      </c>
      <c r="J151" s="36">
        <v>100.06</v>
      </c>
      <c r="K151" s="36"/>
      <c r="L151" s="43"/>
      <c r="M151" s="43"/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3">
        <v>0</v>
      </c>
      <c r="V151" s="43">
        <f t="shared" si="54"/>
        <v>0</v>
      </c>
      <c r="W151" s="48">
        <f t="shared" ref="W151:W159" si="78">M151+O151+Q151+S151+U151</f>
        <v>0</v>
      </c>
    </row>
    <row r="152" spans="1:23" s="3" customFormat="1" ht="8.1" customHeight="1" x14ac:dyDescent="0.2">
      <c r="A152" s="80" t="s">
        <v>206</v>
      </c>
      <c r="B152" s="81"/>
      <c r="C152" s="85" t="s">
        <v>210</v>
      </c>
      <c r="D152" s="86"/>
      <c r="E152" s="86"/>
      <c r="F152" s="86"/>
      <c r="G152" s="87"/>
      <c r="H152" s="1" t="s">
        <v>5</v>
      </c>
      <c r="I152" s="36"/>
      <c r="J152" s="36"/>
      <c r="K152" s="36">
        <v>27.47</v>
      </c>
      <c r="L152" s="43">
        <v>-31.020000000000081</v>
      </c>
      <c r="M152" s="43">
        <f t="shared" ref="M152" si="79">M135-M151</f>
        <v>11.123364269999968</v>
      </c>
      <c r="N152" s="43">
        <v>167.29</v>
      </c>
      <c r="O152" s="43">
        <f t="shared" ref="O152:U152" si="80">O135-O151</f>
        <v>57.081638673726644</v>
      </c>
      <c r="P152" s="43">
        <v>11.459999999999891</v>
      </c>
      <c r="Q152" s="43">
        <f t="shared" si="80"/>
        <v>42.799740451536394</v>
      </c>
      <c r="R152" s="43">
        <v>11.509999999999886</v>
      </c>
      <c r="S152" s="43">
        <f t="shared" si="80"/>
        <v>-8.4019371500000926</v>
      </c>
      <c r="T152" s="43">
        <v>151.15999999999985</v>
      </c>
      <c r="U152" s="43">
        <f t="shared" si="80"/>
        <v>146.14054000000021</v>
      </c>
      <c r="V152" s="43">
        <f t="shared" si="54"/>
        <v>310.39999999999952</v>
      </c>
      <c r="W152" s="48">
        <f t="shared" si="78"/>
        <v>248.74334624526313</v>
      </c>
    </row>
    <row r="153" spans="1:23" s="3" customFormat="1" ht="8.1" customHeight="1" x14ac:dyDescent="0.2">
      <c r="A153" s="80" t="s">
        <v>207</v>
      </c>
      <c r="B153" s="81"/>
      <c r="C153" s="85" t="s">
        <v>211</v>
      </c>
      <c r="D153" s="86"/>
      <c r="E153" s="86"/>
      <c r="F153" s="86"/>
      <c r="G153" s="87"/>
      <c r="H153" s="1" t="s">
        <v>5</v>
      </c>
      <c r="I153" s="36"/>
      <c r="J153" s="36"/>
      <c r="K153" s="36"/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3">
        <v>0</v>
      </c>
      <c r="V153" s="43">
        <f t="shared" si="54"/>
        <v>0</v>
      </c>
      <c r="W153" s="48">
        <f t="shared" si="78"/>
        <v>0</v>
      </c>
    </row>
    <row r="154" spans="1:23" s="3" customFormat="1" ht="9" thickBot="1" x14ac:dyDescent="0.25">
      <c r="A154" s="91" t="s">
        <v>208</v>
      </c>
      <c r="B154" s="92"/>
      <c r="C154" s="105" t="s">
        <v>212</v>
      </c>
      <c r="D154" s="106"/>
      <c r="E154" s="106"/>
      <c r="F154" s="106"/>
      <c r="G154" s="107"/>
      <c r="H154" s="23" t="s">
        <v>5</v>
      </c>
      <c r="I154" s="39"/>
      <c r="J154" s="39"/>
      <c r="K154" s="39"/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f t="shared" ref="V154" si="81">L154+N154+P154+R154+T154</f>
        <v>0</v>
      </c>
      <c r="W154" s="51">
        <f t="shared" si="78"/>
        <v>0</v>
      </c>
    </row>
    <row r="155" spans="1:23" s="3" customFormat="1" ht="9" customHeight="1" x14ac:dyDescent="0.2">
      <c r="A155" s="169" t="s">
        <v>213</v>
      </c>
      <c r="B155" s="170"/>
      <c r="C155" s="171" t="s">
        <v>110</v>
      </c>
      <c r="D155" s="172"/>
      <c r="E155" s="172"/>
      <c r="F155" s="172"/>
      <c r="G155" s="173"/>
      <c r="H155" s="24" t="s">
        <v>475</v>
      </c>
      <c r="I155" s="181"/>
      <c r="J155" s="181"/>
      <c r="K155" s="181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>
        <v>0</v>
      </c>
      <c r="W155" s="183">
        <f t="shared" si="78"/>
        <v>0</v>
      </c>
    </row>
    <row r="156" spans="1:23" s="3" customFormat="1" ht="16.5" customHeight="1" x14ac:dyDescent="0.2">
      <c r="A156" s="80" t="s">
        <v>214</v>
      </c>
      <c r="B156" s="81"/>
      <c r="C156" s="85" t="s">
        <v>220</v>
      </c>
      <c r="D156" s="86"/>
      <c r="E156" s="86"/>
      <c r="F156" s="86"/>
      <c r="G156" s="87"/>
      <c r="H156" s="1" t="s">
        <v>5</v>
      </c>
      <c r="I156" s="36">
        <f>I105+I101+I65</f>
        <v>160.83000000000004</v>
      </c>
      <c r="J156" s="36">
        <f t="shared" ref="J156:K156" si="82">J105+J101+J65</f>
        <v>223.10999999999996</v>
      </c>
      <c r="K156" s="36">
        <f t="shared" si="82"/>
        <v>158.87448200500012</v>
      </c>
      <c r="L156" s="43">
        <f>L105+L101+L65</f>
        <v>135.06999999999991</v>
      </c>
      <c r="M156" s="43">
        <f t="shared" ref="M156:W156" si="83">M105+M101+M65</f>
        <v>196.63883612999993</v>
      </c>
      <c r="N156" s="43">
        <f t="shared" si="83"/>
        <v>350.80000000000007</v>
      </c>
      <c r="O156" s="43">
        <f t="shared" si="83"/>
        <v>292.17963867372663</v>
      </c>
      <c r="P156" s="43">
        <f t="shared" si="83"/>
        <v>177.3899999999999</v>
      </c>
      <c r="Q156" s="43">
        <f t="shared" si="83"/>
        <v>273.53174045153639</v>
      </c>
      <c r="R156" s="43">
        <f t="shared" si="83"/>
        <v>171.75999999999988</v>
      </c>
      <c r="S156" s="43">
        <f t="shared" si="83"/>
        <v>224.20181596396642</v>
      </c>
      <c r="T156" s="43">
        <f t="shared" si="83"/>
        <v>355.03999999999996</v>
      </c>
      <c r="U156" s="43">
        <f t="shared" si="83"/>
        <v>426.14832092054178</v>
      </c>
      <c r="V156" s="43">
        <f t="shared" si="83"/>
        <v>1190.0599999999995</v>
      </c>
      <c r="W156" s="43">
        <f t="shared" si="83"/>
        <v>1412.7003521397714</v>
      </c>
    </row>
    <row r="157" spans="1:23" s="3" customFormat="1" ht="8.1" customHeight="1" x14ac:dyDescent="0.2">
      <c r="A157" s="80" t="s">
        <v>215</v>
      </c>
      <c r="B157" s="81"/>
      <c r="C157" s="85" t="s">
        <v>221</v>
      </c>
      <c r="D157" s="86"/>
      <c r="E157" s="86"/>
      <c r="F157" s="86"/>
      <c r="G157" s="87"/>
      <c r="H157" s="1" t="s">
        <v>5</v>
      </c>
      <c r="I157" s="36">
        <v>283.27999999999997</v>
      </c>
      <c r="J157" s="36">
        <v>249.71</v>
      </c>
      <c r="K157" s="36">
        <v>249.71</v>
      </c>
      <c r="L157" s="43">
        <v>294.01</v>
      </c>
      <c r="M157" s="43">
        <f>K159</f>
        <v>446.68</v>
      </c>
      <c r="N157" s="43">
        <v>347.16</v>
      </c>
      <c r="O157" s="43">
        <f t="shared" ref="O157:U157" si="84">M159</f>
        <v>746.19600000000003</v>
      </c>
      <c r="P157" s="43">
        <f t="shared" si="84"/>
        <v>372.16</v>
      </c>
      <c r="Q157" s="43">
        <f t="shared" si="84"/>
        <v>771.19600000000003</v>
      </c>
      <c r="R157" s="43">
        <f t="shared" si="84"/>
        <v>290.16000000000003</v>
      </c>
      <c r="S157" s="43">
        <f t="shared" si="84"/>
        <v>689.19600000000003</v>
      </c>
      <c r="T157" s="43">
        <f t="shared" si="84"/>
        <v>290.16000000000003</v>
      </c>
      <c r="U157" s="43">
        <f t="shared" si="84"/>
        <v>689.19600000000003</v>
      </c>
      <c r="V157" s="43">
        <f t="shared" ref="V157:V217" si="85">L157+N157+P157+R157+T157</f>
        <v>1593.6500000000003</v>
      </c>
      <c r="W157" s="48">
        <f t="shared" si="78"/>
        <v>3342.4639999999999</v>
      </c>
    </row>
    <row r="158" spans="1:23" s="3" customFormat="1" ht="8.1" customHeight="1" x14ac:dyDescent="0.2">
      <c r="A158" s="80" t="s">
        <v>216</v>
      </c>
      <c r="B158" s="81"/>
      <c r="C158" s="77" t="s">
        <v>222</v>
      </c>
      <c r="D158" s="78"/>
      <c r="E158" s="78"/>
      <c r="F158" s="78"/>
      <c r="G158" s="79"/>
      <c r="H158" s="1" t="s">
        <v>5</v>
      </c>
      <c r="I158" s="36"/>
      <c r="J158" s="36">
        <v>0.73</v>
      </c>
      <c r="K158" s="36">
        <v>0.73</v>
      </c>
      <c r="L158" s="43">
        <v>0</v>
      </c>
      <c r="M158" s="43">
        <f>K160</f>
        <v>0.73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f t="shared" si="85"/>
        <v>0</v>
      </c>
      <c r="W158" s="48">
        <f t="shared" si="78"/>
        <v>0.73</v>
      </c>
    </row>
    <row r="159" spans="1:23" s="3" customFormat="1" ht="8.1" customHeight="1" x14ac:dyDescent="0.2">
      <c r="A159" s="80" t="s">
        <v>217</v>
      </c>
      <c r="B159" s="81"/>
      <c r="C159" s="85" t="s">
        <v>223</v>
      </c>
      <c r="D159" s="86"/>
      <c r="E159" s="86"/>
      <c r="F159" s="86"/>
      <c r="G159" s="87"/>
      <c r="H159" s="1" t="s">
        <v>5</v>
      </c>
      <c r="I159" s="36">
        <v>249.71</v>
      </c>
      <c r="J159" s="36">
        <v>294.01</v>
      </c>
      <c r="K159" s="36">
        <v>446.68</v>
      </c>
      <c r="L159" s="43">
        <v>347.16</v>
      </c>
      <c r="M159" s="43">
        <f>746.196</f>
        <v>746.19600000000003</v>
      </c>
      <c r="N159" s="43">
        <f t="shared" ref="N159:U159" si="86">N157+N218-N231</f>
        <v>372.16</v>
      </c>
      <c r="O159" s="43">
        <f t="shared" si="86"/>
        <v>771.19600000000003</v>
      </c>
      <c r="P159" s="43">
        <f t="shared" si="86"/>
        <v>290.16000000000003</v>
      </c>
      <c r="Q159" s="43">
        <f t="shared" si="86"/>
        <v>689.19600000000003</v>
      </c>
      <c r="R159" s="43">
        <f t="shared" si="86"/>
        <v>290.16000000000003</v>
      </c>
      <c r="S159" s="43">
        <f t="shared" si="86"/>
        <v>689.19600000000003</v>
      </c>
      <c r="T159" s="43">
        <f t="shared" si="86"/>
        <v>310.16000000000003</v>
      </c>
      <c r="U159" s="43">
        <f t="shared" si="86"/>
        <v>709.19600000000003</v>
      </c>
      <c r="V159" s="43">
        <f t="shared" si="85"/>
        <v>1609.8000000000002</v>
      </c>
      <c r="W159" s="48">
        <f t="shared" si="78"/>
        <v>3604.98</v>
      </c>
    </row>
    <row r="160" spans="1:23" s="3" customFormat="1" ht="8.1" customHeight="1" x14ac:dyDescent="0.2">
      <c r="A160" s="80" t="s">
        <v>218</v>
      </c>
      <c r="B160" s="81"/>
      <c r="C160" s="77" t="s">
        <v>224</v>
      </c>
      <c r="D160" s="78"/>
      <c r="E160" s="78"/>
      <c r="F160" s="78"/>
      <c r="G160" s="79"/>
      <c r="H160" s="1" t="s">
        <v>5</v>
      </c>
      <c r="I160" s="36">
        <v>0.73</v>
      </c>
      <c r="J160" s="36"/>
      <c r="K160" s="36">
        <v>0.73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f t="shared" si="85"/>
        <v>0</v>
      </c>
      <c r="W160" s="48">
        <f t="shared" ref="W160" si="87">M160+O160+Q160+S160+U160</f>
        <v>0</v>
      </c>
    </row>
    <row r="161" spans="1:23" s="3" customFormat="1" ht="17.25" customHeight="1" thickBot="1" x14ac:dyDescent="0.25">
      <c r="A161" s="91" t="s">
        <v>219</v>
      </c>
      <c r="B161" s="92"/>
      <c r="C161" s="105" t="s">
        <v>225</v>
      </c>
      <c r="D161" s="106"/>
      <c r="E161" s="106"/>
      <c r="F161" s="106"/>
      <c r="G161" s="107"/>
      <c r="H161" s="23" t="s">
        <v>475</v>
      </c>
      <c r="I161" s="39">
        <f>I159/I156</f>
        <v>1.5526332151961695</v>
      </c>
      <c r="J161" s="39">
        <f t="shared" ref="J161:W161" si="88">J159/J156</f>
        <v>1.3177804670341986</v>
      </c>
      <c r="K161" s="39">
        <f t="shared" si="88"/>
        <v>2.8115276560646287</v>
      </c>
      <c r="L161" s="45">
        <f t="shared" si="88"/>
        <v>2.5702228474124547</v>
      </c>
      <c r="M161" s="45">
        <f t="shared" si="88"/>
        <v>3.7947539493504849</v>
      </c>
      <c r="N161" s="45">
        <f t="shared" si="88"/>
        <v>1.0608893956670467</v>
      </c>
      <c r="O161" s="45">
        <f t="shared" si="88"/>
        <v>2.6394583945022432</v>
      </c>
      <c r="P161" s="45">
        <f t="shared" si="88"/>
        <v>1.6357179096905134</v>
      </c>
      <c r="Q161" s="45">
        <f t="shared" si="88"/>
        <v>2.5196198395926555</v>
      </c>
      <c r="R161" s="45">
        <f t="shared" si="88"/>
        <v>1.6893339543549153</v>
      </c>
      <c r="S161" s="45">
        <f t="shared" si="88"/>
        <v>3.0739982949592486</v>
      </c>
      <c r="T161" s="45">
        <f t="shared" si="88"/>
        <v>0.87359170797656616</v>
      </c>
      <c r="U161" s="45">
        <f t="shared" si="88"/>
        <v>1.6641999162827499</v>
      </c>
      <c r="V161" s="45">
        <f t="shared" si="88"/>
        <v>1.3527049056350107</v>
      </c>
      <c r="W161" s="45">
        <f t="shared" si="88"/>
        <v>2.5518362719593393</v>
      </c>
    </row>
    <row r="162" spans="1:23" s="25" customFormat="1" ht="10.5" customHeight="1" thickBot="1" x14ac:dyDescent="0.25">
      <c r="A162" s="108" t="s">
        <v>226</v>
      </c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10"/>
    </row>
    <row r="163" spans="1:23" s="3" customFormat="1" ht="10.5" customHeight="1" x14ac:dyDescent="0.2">
      <c r="A163" s="169" t="s">
        <v>227</v>
      </c>
      <c r="B163" s="170"/>
      <c r="C163" s="171" t="s">
        <v>228</v>
      </c>
      <c r="D163" s="172"/>
      <c r="E163" s="172"/>
      <c r="F163" s="172"/>
      <c r="G163" s="173"/>
      <c r="H163" s="1" t="s">
        <v>5</v>
      </c>
      <c r="I163" s="36">
        <f>I171+I172</f>
        <v>378.31</v>
      </c>
      <c r="J163" s="36">
        <f t="shared" ref="J163" si="89">J171+J172</f>
        <v>431.04999999999995</v>
      </c>
      <c r="K163" s="36">
        <v>569.72</v>
      </c>
      <c r="L163" s="43">
        <f>L164+L168+L169+L170+L171+L172+L173+L174+L177+L180</f>
        <v>689.27</v>
      </c>
      <c r="M163" s="43">
        <f t="shared" ref="M163:W163" si="90">M164+M168+M169+M170+M171+M172+M173+M174+M177+M180</f>
        <v>572.98357599000008</v>
      </c>
      <c r="N163" s="43">
        <f t="shared" si="90"/>
        <v>764.1</v>
      </c>
      <c r="O163" s="43">
        <f t="shared" si="90"/>
        <v>764.1</v>
      </c>
      <c r="P163" s="43">
        <f t="shared" si="90"/>
        <v>613.28</v>
      </c>
      <c r="Q163" s="43">
        <f t="shared" si="90"/>
        <v>569.68799999999999</v>
      </c>
      <c r="R163" s="43">
        <f t="shared" si="90"/>
        <v>564.06999999999994</v>
      </c>
      <c r="S163" s="43">
        <f t="shared" si="90"/>
        <v>535.02700000000004</v>
      </c>
      <c r="T163" s="43">
        <f t="shared" si="90"/>
        <v>579.07000000000005</v>
      </c>
      <c r="U163" s="43">
        <f t="shared" si="90"/>
        <v>801.52</v>
      </c>
      <c r="V163" s="43">
        <f t="shared" si="90"/>
        <v>3209.79</v>
      </c>
      <c r="W163" s="43">
        <f t="shared" si="90"/>
        <v>3243.3185759900002</v>
      </c>
    </row>
    <row r="164" spans="1:23" s="3" customFormat="1" ht="8.1" customHeight="1" x14ac:dyDescent="0.2">
      <c r="A164" s="80" t="s">
        <v>229</v>
      </c>
      <c r="B164" s="81"/>
      <c r="C164" s="85" t="s">
        <v>46</v>
      </c>
      <c r="D164" s="86"/>
      <c r="E164" s="86"/>
      <c r="F164" s="86"/>
      <c r="G164" s="87"/>
      <c r="H164" s="1" t="s">
        <v>5</v>
      </c>
      <c r="I164" s="36"/>
      <c r="J164" s="52"/>
      <c r="K164" s="36"/>
      <c r="L164" s="43">
        <f>SUM(L165:L167)</f>
        <v>0</v>
      </c>
      <c r="M164" s="43">
        <f t="shared" ref="M164:U164" si="91">SUM(M165:M167)</f>
        <v>0</v>
      </c>
      <c r="N164" s="43">
        <f t="shared" si="91"/>
        <v>0</v>
      </c>
      <c r="O164" s="43">
        <f t="shared" si="91"/>
        <v>0</v>
      </c>
      <c r="P164" s="43">
        <f t="shared" si="91"/>
        <v>0</v>
      </c>
      <c r="Q164" s="43">
        <f t="shared" si="91"/>
        <v>0</v>
      </c>
      <c r="R164" s="43">
        <f t="shared" si="91"/>
        <v>0</v>
      </c>
      <c r="S164" s="43">
        <f t="shared" si="91"/>
        <v>0</v>
      </c>
      <c r="T164" s="43">
        <f t="shared" si="91"/>
        <v>0</v>
      </c>
      <c r="U164" s="43">
        <f t="shared" si="91"/>
        <v>0</v>
      </c>
      <c r="V164" s="43">
        <f t="shared" ref="V164:W170" si="92">L164+N164+P164+R164+T164</f>
        <v>0</v>
      </c>
      <c r="W164" s="48">
        <f t="shared" si="92"/>
        <v>0</v>
      </c>
    </row>
    <row r="165" spans="1:23" s="3" customFormat="1" ht="16.5" customHeight="1" x14ac:dyDescent="0.2">
      <c r="A165" s="80" t="s">
        <v>230</v>
      </c>
      <c r="B165" s="81"/>
      <c r="C165" s="77" t="s">
        <v>47</v>
      </c>
      <c r="D165" s="78"/>
      <c r="E165" s="78"/>
      <c r="F165" s="78"/>
      <c r="G165" s="79"/>
      <c r="H165" s="1" t="s">
        <v>5</v>
      </c>
      <c r="I165" s="36"/>
      <c r="J165" s="36"/>
      <c r="K165" s="36"/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3">
        <v>0</v>
      </c>
      <c r="V165" s="43">
        <f t="shared" si="92"/>
        <v>0</v>
      </c>
      <c r="W165" s="48">
        <f t="shared" si="92"/>
        <v>0</v>
      </c>
    </row>
    <row r="166" spans="1:23" s="3" customFormat="1" ht="16.5" customHeight="1" x14ac:dyDescent="0.2">
      <c r="A166" s="80" t="s">
        <v>231</v>
      </c>
      <c r="B166" s="81"/>
      <c r="C166" s="77" t="s">
        <v>52</v>
      </c>
      <c r="D166" s="78"/>
      <c r="E166" s="78"/>
      <c r="F166" s="78"/>
      <c r="G166" s="79"/>
      <c r="H166" s="1" t="s">
        <v>5</v>
      </c>
      <c r="I166" s="36"/>
      <c r="J166" s="36"/>
      <c r="K166" s="36"/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3">
        <v>0</v>
      </c>
      <c r="V166" s="43">
        <f t="shared" si="92"/>
        <v>0</v>
      </c>
      <c r="W166" s="48">
        <f t="shared" si="92"/>
        <v>0</v>
      </c>
    </row>
    <row r="167" spans="1:23" s="3" customFormat="1" ht="16.5" customHeight="1" x14ac:dyDescent="0.2">
      <c r="A167" s="80" t="s">
        <v>232</v>
      </c>
      <c r="B167" s="81"/>
      <c r="C167" s="77" t="s">
        <v>53</v>
      </c>
      <c r="D167" s="78"/>
      <c r="E167" s="78"/>
      <c r="F167" s="78"/>
      <c r="G167" s="79"/>
      <c r="H167" s="1" t="s">
        <v>5</v>
      </c>
      <c r="I167" s="36"/>
      <c r="J167" s="36"/>
      <c r="K167" s="36"/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f t="shared" si="92"/>
        <v>0</v>
      </c>
      <c r="W167" s="48">
        <f t="shared" si="92"/>
        <v>0</v>
      </c>
    </row>
    <row r="168" spans="1:23" s="3" customFormat="1" ht="8.1" customHeight="1" x14ac:dyDescent="0.2">
      <c r="A168" s="80" t="s">
        <v>233</v>
      </c>
      <c r="B168" s="81"/>
      <c r="C168" s="85" t="s">
        <v>54</v>
      </c>
      <c r="D168" s="86"/>
      <c r="E168" s="86"/>
      <c r="F168" s="86"/>
      <c r="G168" s="87"/>
      <c r="H168" s="1" t="s">
        <v>5</v>
      </c>
      <c r="I168" s="36"/>
      <c r="J168" s="36"/>
      <c r="K168" s="36"/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f t="shared" si="92"/>
        <v>0</v>
      </c>
      <c r="W168" s="48">
        <f t="shared" si="92"/>
        <v>0</v>
      </c>
    </row>
    <row r="169" spans="1:23" s="3" customFormat="1" ht="8.1" customHeight="1" x14ac:dyDescent="0.2">
      <c r="A169" s="80" t="s">
        <v>234</v>
      </c>
      <c r="B169" s="81"/>
      <c r="C169" s="85" t="s">
        <v>76</v>
      </c>
      <c r="D169" s="86"/>
      <c r="E169" s="86"/>
      <c r="F169" s="86"/>
      <c r="G169" s="87"/>
      <c r="H169" s="1" t="s">
        <v>5</v>
      </c>
      <c r="I169" s="36"/>
      <c r="J169" s="36"/>
      <c r="K169" s="36"/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f t="shared" si="92"/>
        <v>0</v>
      </c>
      <c r="W169" s="48">
        <f t="shared" si="92"/>
        <v>0</v>
      </c>
    </row>
    <row r="170" spans="1:23" s="3" customFormat="1" ht="8.1" customHeight="1" x14ac:dyDescent="0.2">
      <c r="A170" s="80" t="s">
        <v>235</v>
      </c>
      <c r="B170" s="81"/>
      <c r="C170" s="85" t="s">
        <v>77</v>
      </c>
      <c r="D170" s="86"/>
      <c r="E170" s="86"/>
      <c r="F170" s="86"/>
      <c r="G170" s="87"/>
      <c r="H170" s="1" t="s">
        <v>5</v>
      </c>
      <c r="I170" s="36"/>
      <c r="J170" s="36"/>
      <c r="K170" s="36">
        <v>28.31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f t="shared" si="92"/>
        <v>0</v>
      </c>
      <c r="W170" s="48">
        <f t="shared" si="92"/>
        <v>0</v>
      </c>
    </row>
    <row r="171" spans="1:23" s="3" customFormat="1" ht="8.1" customHeight="1" x14ac:dyDescent="0.2">
      <c r="A171" s="80" t="s">
        <v>236</v>
      </c>
      <c r="B171" s="81"/>
      <c r="C171" s="85" t="s">
        <v>78</v>
      </c>
      <c r="D171" s="86"/>
      <c r="E171" s="86"/>
      <c r="F171" s="86"/>
      <c r="G171" s="87"/>
      <c r="H171" s="1" t="s">
        <v>5</v>
      </c>
      <c r="I171" s="36">
        <v>5</v>
      </c>
      <c r="J171" s="36">
        <v>71.53</v>
      </c>
      <c r="K171" s="36">
        <v>66.56</v>
      </c>
      <c r="L171" s="43">
        <v>236.81</v>
      </c>
      <c r="M171" s="43">
        <f>[6]БДДС!$H$6</f>
        <v>69.803926290000007</v>
      </c>
      <c r="N171" s="43">
        <v>285.42</v>
      </c>
      <c r="O171" s="43">
        <v>285.42</v>
      </c>
      <c r="P171" s="43">
        <f>108.98</f>
        <v>108.98</v>
      </c>
      <c r="Q171" s="43">
        <f>108.98*0.6</f>
        <v>65.388000000000005</v>
      </c>
      <c r="R171" s="43">
        <f>96.81</f>
        <v>96.81</v>
      </c>
      <c r="S171" s="43">
        <f>96.81*0.7</f>
        <v>67.766999999999996</v>
      </c>
      <c r="T171" s="43">
        <f>18.36</f>
        <v>18.36</v>
      </c>
      <c r="U171" s="43">
        <f>U27</f>
        <v>240.81</v>
      </c>
      <c r="V171" s="43">
        <f t="shared" si="85"/>
        <v>746.38</v>
      </c>
      <c r="W171" s="48">
        <f t="shared" ref="W171:W184" si="93">M171+O171+Q171+S171+U171</f>
        <v>729.18892629000004</v>
      </c>
    </row>
    <row r="172" spans="1:23" s="3" customFormat="1" ht="8.1" customHeight="1" x14ac:dyDescent="0.2">
      <c r="A172" s="80" t="s">
        <v>237</v>
      </c>
      <c r="B172" s="81"/>
      <c r="C172" s="85" t="s">
        <v>79</v>
      </c>
      <c r="D172" s="86"/>
      <c r="E172" s="86"/>
      <c r="F172" s="86"/>
      <c r="G172" s="87"/>
      <c r="H172" s="1" t="s">
        <v>5</v>
      </c>
      <c r="I172" s="36">
        <v>373.31</v>
      </c>
      <c r="J172" s="36">
        <v>359.52</v>
      </c>
      <c r="K172" s="36">
        <v>474.85</v>
      </c>
      <c r="L172" s="43">
        <v>452.46</v>
      </c>
      <c r="M172" s="43">
        <f>[6]БДДС!$H$7</f>
        <v>498.96740490000002</v>
      </c>
      <c r="N172" s="43">
        <v>478.68</v>
      </c>
      <c r="O172" s="43">
        <v>478.68</v>
      </c>
      <c r="P172" s="43">
        <v>504.3</v>
      </c>
      <c r="Q172" s="43">
        <v>504.3</v>
      </c>
      <c r="R172" s="43">
        <v>467.26</v>
      </c>
      <c r="S172" s="43">
        <v>467.26</v>
      </c>
      <c r="T172" s="43">
        <v>560.71</v>
      </c>
      <c r="U172" s="43">
        <v>560.71</v>
      </c>
      <c r="V172" s="43">
        <f t="shared" si="85"/>
        <v>2463.41</v>
      </c>
      <c r="W172" s="48">
        <f t="shared" si="93"/>
        <v>2509.9174049000003</v>
      </c>
    </row>
    <row r="173" spans="1:23" s="3" customFormat="1" ht="8.1" customHeight="1" x14ac:dyDescent="0.2">
      <c r="A173" s="80" t="s">
        <v>238</v>
      </c>
      <c r="B173" s="81"/>
      <c r="C173" s="85" t="s">
        <v>80</v>
      </c>
      <c r="D173" s="86"/>
      <c r="E173" s="86"/>
      <c r="F173" s="86"/>
      <c r="G173" s="87"/>
      <c r="H173" s="1" t="s">
        <v>5</v>
      </c>
      <c r="I173" s="36"/>
      <c r="J173" s="36"/>
      <c r="K173" s="36"/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f t="shared" si="85"/>
        <v>0</v>
      </c>
      <c r="W173" s="48">
        <f t="shared" si="93"/>
        <v>0</v>
      </c>
    </row>
    <row r="174" spans="1:23" s="3" customFormat="1" ht="16.5" customHeight="1" x14ac:dyDescent="0.2">
      <c r="A174" s="80" t="s">
        <v>239</v>
      </c>
      <c r="B174" s="81"/>
      <c r="C174" s="85" t="s">
        <v>81</v>
      </c>
      <c r="D174" s="86"/>
      <c r="E174" s="86"/>
      <c r="F174" s="86"/>
      <c r="G174" s="87"/>
      <c r="H174" s="1" t="s">
        <v>5</v>
      </c>
      <c r="I174" s="36"/>
      <c r="J174" s="36"/>
      <c r="K174" s="36"/>
      <c r="L174" s="43">
        <f>SUM(L175:L176)</f>
        <v>0</v>
      </c>
      <c r="M174" s="43">
        <f t="shared" ref="M174:U174" si="94">SUM(M175:M176)</f>
        <v>0</v>
      </c>
      <c r="N174" s="43">
        <f t="shared" si="94"/>
        <v>0</v>
      </c>
      <c r="O174" s="43">
        <f t="shared" si="94"/>
        <v>0</v>
      </c>
      <c r="P174" s="43">
        <f t="shared" si="94"/>
        <v>0</v>
      </c>
      <c r="Q174" s="43">
        <f t="shared" si="94"/>
        <v>0</v>
      </c>
      <c r="R174" s="43">
        <f t="shared" si="94"/>
        <v>0</v>
      </c>
      <c r="S174" s="43">
        <f t="shared" si="94"/>
        <v>0</v>
      </c>
      <c r="T174" s="43">
        <f t="shared" si="94"/>
        <v>0</v>
      </c>
      <c r="U174" s="43">
        <f t="shared" si="94"/>
        <v>0</v>
      </c>
      <c r="V174" s="43">
        <f t="shared" si="85"/>
        <v>0</v>
      </c>
      <c r="W174" s="48">
        <f t="shared" si="93"/>
        <v>0</v>
      </c>
    </row>
    <row r="175" spans="1:23" s="3" customFormat="1" ht="8.1" customHeight="1" x14ac:dyDescent="0.2">
      <c r="A175" s="80" t="s">
        <v>240</v>
      </c>
      <c r="B175" s="81"/>
      <c r="C175" s="77" t="s">
        <v>82</v>
      </c>
      <c r="D175" s="78"/>
      <c r="E175" s="78"/>
      <c r="F175" s="78"/>
      <c r="G175" s="79"/>
      <c r="H175" s="1" t="s">
        <v>5</v>
      </c>
      <c r="I175" s="36"/>
      <c r="J175" s="36"/>
      <c r="K175" s="36"/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f t="shared" si="85"/>
        <v>0</v>
      </c>
      <c r="W175" s="48">
        <f t="shared" si="93"/>
        <v>0</v>
      </c>
    </row>
    <row r="176" spans="1:23" s="3" customFormat="1" ht="8.1" customHeight="1" x14ac:dyDescent="0.2">
      <c r="A176" s="80" t="s">
        <v>241</v>
      </c>
      <c r="B176" s="81"/>
      <c r="C176" s="77" t="s">
        <v>83</v>
      </c>
      <c r="D176" s="78"/>
      <c r="E176" s="78"/>
      <c r="F176" s="78"/>
      <c r="G176" s="79"/>
      <c r="H176" s="1" t="s">
        <v>5</v>
      </c>
      <c r="I176" s="36"/>
      <c r="J176" s="36"/>
      <c r="K176" s="36"/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f t="shared" si="85"/>
        <v>0</v>
      </c>
      <c r="W176" s="48">
        <f t="shared" si="93"/>
        <v>0</v>
      </c>
    </row>
    <row r="177" spans="1:23" s="3" customFormat="1" ht="16.5" customHeight="1" x14ac:dyDescent="0.2">
      <c r="A177" s="80" t="s">
        <v>242</v>
      </c>
      <c r="B177" s="81"/>
      <c r="C177" s="85" t="s">
        <v>246</v>
      </c>
      <c r="D177" s="86"/>
      <c r="E177" s="86"/>
      <c r="F177" s="86"/>
      <c r="G177" s="87"/>
      <c r="H177" s="1" t="s">
        <v>5</v>
      </c>
      <c r="I177" s="36"/>
      <c r="J177" s="36"/>
      <c r="K177" s="36"/>
      <c r="L177" s="43">
        <f>SUM(L178:L179)</f>
        <v>0</v>
      </c>
      <c r="M177" s="43">
        <f t="shared" ref="M177:U177" si="95">SUM(M178:M179)</f>
        <v>0</v>
      </c>
      <c r="N177" s="43">
        <f t="shared" si="95"/>
        <v>0</v>
      </c>
      <c r="O177" s="43">
        <f t="shared" si="95"/>
        <v>0</v>
      </c>
      <c r="P177" s="43">
        <f t="shared" si="95"/>
        <v>0</v>
      </c>
      <c r="Q177" s="43">
        <f t="shared" si="95"/>
        <v>0</v>
      </c>
      <c r="R177" s="43">
        <f t="shared" si="95"/>
        <v>0</v>
      </c>
      <c r="S177" s="43">
        <f t="shared" si="95"/>
        <v>0</v>
      </c>
      <c r="T177" s="43">
        <f t="shared" si="95"/>
        <v>0</v>
      </c>
      <c r="U177" s="43">
        <f t="shared" si="95"/>
        <v>0</v>
      </c>
      <c r="V177" s="43">
        <f t="shared" si="85"/>
        <v>0</v>
      </c>
      <c r="W177" s="48">
        <f t="shared" si="93"/>
        <v>0</v>
      </c>
    </row>
    <row r="178" spans="1:23" s="3" customFormat="1" ht="8.1" customHeight="1" x14ac:dyDescent="0.2">
      <c r="A178" s="80" t="s">
        <v>243</v>
      </c>
      <c r="B178" s="81"/>
      <c r="C178" s="77" t="s">
        <v>247</v>
      </c>
      <c r="D178" s="78"/>
      <c r="E178" s="78"/>
      <c r="F178" s="78"/>
      <c r="G178" s="79"/>
      <c r="H178" s="1" t="s">
        <v>5</v>
      </c>
      <c r="I178" s="36"/>
      <c r="J178" s="36"/>
      <c r="K178" s="36"/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f t="shared" si="85"/>
        <v>0</v>
      </c>
      <c r="W178" s="48">
        <f t="shared" si="93"/>
        <v>0</v>
      </c>
    </row>
    <row r="179" spans="1:23" s="3" customFormat="1" ht="8.1" customHeight="1" x14ac:dyDescent="0.2">
      <c r="A179" s="80" t="s">
        <v>244</v>
      </c>
      <c r="B179" s="81"/>
      <c r="C179" s="77" t="s">
        <v>248</v>
      </c>
      <c r="D179" s="78"/>
      <c r="E179" s="78"/>
      <c r="F179" s="78"/>
      <c r="G179" s="79"/>
      <c r="H179" s="1" t="s">
        <v>5</v>
      </c>
      <c r="I179" s="36"/>
      <c r="J179" s="36"/>
      <c r="K179" s="36"/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f t="shared" si="85"/>
        <v>0</v>
      </c>
      <c r="W179" s="48">
        <f t="shared" si="93"/>
        <v>0</v>
      </c>
    </row>
    <row r="180" spans="1:23" s="3" customFormat="1" ht="8.1" customHeight="1" x14ac:dyDescent="0.2">
      <c r="A180" s="80" t="s">
        <v>245</v>
      </c>
      <c r="B180" s="81"/>
      <c r="C180" s="85" t="s">
        <v>84</v>
      </c>
      <c r="D180" s="86"/>
      <c r="E180" s="86"/>
      <c r="F180" s="86"/>
      <c r="G180" s="87"/>
      <c r="H180" s="1" t="s">
        <v>5</v>
      </c>
      <c r="I180" s="36"/>
      <c r="J180" s="36"/>
      <c r="K180" s="36"/>
      <c r="L180" s="43">
        <v>0</v>
      </c>
      <c r="M180" s="43">
        <f>[6]БДДС!$H$10</f>
        <v>4.2122448000000006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f t="shared" si="85"/>
        <v>0</v>
      </c>
      <c r="W180" s="48">
        <f t="shared" si="93"/>
        <v>4.2122448000000006</v>
      </c>
    </row>
    <row r="181" spans="1:23" s="3" customFormat="1" ht="9" customHeight="1" x14ac:dyDescent="0.2">
      <c r="A181" s="80" t="s">
        <v>249</v>
      </c>
      <c r="B181" s="81"/>
      <c r="C181" s="111" t="s">
        <v>250</v>
      </c>
      <c r="D181" s="112"/>
      <c r="E181" s="112"/>
      <c r="F181" s="112"/>
      <c r="G181" s="113"/>
      <c r="H181" s="1" t="s">
        <v>5</v>
      </c>
      <c r="I181" s="36">
        <f>I182+I185+I188+I190+I191+I192+I193+I196+I197+I198</f>
        <v>288.12999999999994</v>
      </c>
      <c r="J181" s="36">
        <f>J182+J185+J188+J190+J191+J192+J193+J196+J197+J198+J186</f>
        <v>398.81</v>
      </c>
      <c r="K181" s="36">
        <f t="shared" ref="K181:W181" si="96">K182+K185+K188+K190+K191+K192+K193+K196+K197+K198+K186</f>
        <v>414.19000000000005</v>
      </c>
      <c r="L181" s="43">
        <v>553.26</v>
      </c>
      <c r="M181" s="43">
        <f>M182+M185+M188+M190+M191+M192+M196+M197+M198+M186+M194</f>
        <v>405.63204194999997</v>
      </c>
      <c r="N181" s="43">
        <v>416.91999999999996</v>
      </c>
      <c r="O181" s="43">
        <f t="shared" si="96"/>
        <v>416.91999999999996</v>
      </c>
      <c r="P181" s="43">
        <v>356.49</v>
      </c>
      <c r="Q181" s="43">
        <f t="shared" si="96"/>
        <v>356.49</v>
      </c>
      <c r="R181" s="43">
        <v>385.11</v>
      </c>
      <c r="S181" s="43">
        <f t="shared" si="96"/>
        <v>385.11</v>
      </c>
      <c r="T181" s="43">
        <v>495.31000000000006</v>
      </c>
      <c r="U181" s="43">
        <f t="shared" si="96"/>
        <v>495.31000000000006</v>
      </c>
      <c r="V181" s="43">
        <f t="shared" si="85"/>
        <v>2207.09</v>
      </c>
      <c r="W181" s="48">
        <f t="shared" si="96"/>
        <v>1461.8969035461116</v>
      </c>
    </row>
    <row r="182" spans="1:23" s="3" customFormat="1" ht="8.1" customHeight="1" x14ac:dyDescent="0.2">
      <c r="A182" s="80" t="s">
        <v>251</v>
      </c>
      <c r="B182" s="81"/>
      <c r="C182" s="85" t="s">
        <v>269</v>
      </c>
      <c r="D182" s="86"/>
      <c r="E182" s="86"/>
      <c r="F182" s="86"/>
      <c r="G182" s="87"/>
      <c r="H182" s="1" t="s">
        <v>5</v>
      </c>
      <c r="I182" s="36">
        <v>0.93</v>
      </c>
      <c r="J182" s="36">
        <v>1</v>
      </c>
      <c r="K182" s="36"/>
      <c r="L182" s="43">
        <v>1.1000000000000001</v>
      </c>
      <c r="M182" s="43"/>
      <c r="N182" s="43">
        <v>1.2</v>
      </c>
      <c r="O182" s="43">
        <v>1.2</v>
      </c>
      <c r="P182" s="43">
        <v>1.3</v>
      </c>
      <c r="Q182" s="43">
        <v>1.3</v>
      </c>
      <c r="R182" s="43">
        <v>1.4</v>
      </c>
      <c r="S182" s="43">
        <v>1.4</v>
      </c>
      <c r="T182" s="43">
        <v>1.5</v>
      </c>
      <c r="U182" s="43">
        <v>1.5</v>
      </c>
      <c r="V182" s="43">
        <f t="shared" si="85"/>
        <v>6.5</v>
      </c>
      <c r="W182" s="48">
        <f t="shared" si="93"/>
        <v>5.4</v>
      </c>
    </row>
    <row r="183" spans="1:23" s="3" customFormat="1" ht="8.1" customHeight="1" x14ac:dyDescent="0.2">
      <c r="A183" s="80" t="s">
        <v>252</v>
      </c>
      <c r="B183" s="81"/>
      <c r="C183" s="85" t="s">
        <v>270</v>
      </c>
      <c r="D183" s="86"/>
      <c r="E183" s="86"/>
      <c r="F183" s="86"/>
      <c r="G183" s="87"/>
      <c r="H183" s="1" t="s">
        <v>5</v>
      </c>
      <c r="I183" s="36">
        <f>I185+I186</f>
        <v>59.54</v>
      </c>
      <c r="J183" s="36">
        <f t="shared" ref="J183:W183" si="97">J185+J186</f>
        <v>123.13</v>
      </c>
      <c r="K183" s="36">
        <f t="shared" si="97"/>
        <v>107.02000000000001</v>
      </c>
      <c r="L183" s="43">
        <v>315.95000000000005</v>
      </c>
      <c r="M183" s="43">
        <f t="shared" si="97"/>
        <v>249.94795112</v>
      </c>
      <c r="N183" s="43">
        <v>137.9</v>
      </c>
      <c r="O183" s="43">
        <f t="shared" si="97"/>
        <v>137.9</v>
      </c>
      <c r="P183" s="43">
        <v>158.65</v>
      </c>
      <c r="Q183" s="43">
        <f t="shared" si="97"/>
        <v>158.65</v>
      </c>
      <c r="R183" s="43">
        <v>181.09</v>
      </c>
      <c r="S183" s="43">
        <f t="shared" si="97"/>
        <v>181.09</v>
      </c>
      <c r="T183" s="43">
        <v>204.88</v>
      </c>
      <c r="U183" s="43">
        <f t="shared" si="97"/>
        <v>204.88</v>
      </c>
      <c r="V183" s="43">
        <f t="shared" si="85"/>
        <v>998.47</v>
      </c>
      <c r="W183" s="48">
        <f t="shared" si="97"/>
        <v>339.83145294611154</v>
      </c>
    </row>
    <row r="184" spans="1:23" s="3" customFormat="1" ht="8.1" customHeight="1" x14ac:dyDescent="0.2">
      <c r="A184" s="80" t="s">
        <v>253</v>
      </c>
      <c r="B184" s="81"/>
      <c r="C184" s="77" t="s">
        <v>271</v>
      </c>
      <c r="D184" s="78"/>
      <c r="E184" s="78"/>
      <c r="F184" s="78"/>
      <c r="G184" s="79"/>
      <c r="H184" s="1" t="s">
        <v>5</v>
      </c>
      <c r="I184" s="36"/>
      <c r="J184" s="36"/>
      <c r="K184" s="36"/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f t="shared" si="85"/>
        <v>0</v>
      </c>
      <c r="W184" s="48">
        <f t="shared" si="93"/>
        <v>0</v>
      </c>
    </row>
    <row r="185" spans="1:23" s="3" customFormat="1" ht="8.1" customHeight="1" x14ac:dyDescent="0.2">
      <c r="A185" s="80" t="s">
        <v>254</v>
      </c>
      <c r="B185" s="81"/>
      <c r="C185" s="77" t="s">
        <v>272</v>
      </c>
      <c r="D185" s="78"/>
      <c r="E185" s="78"/>
      <c r="F185" s="78"/>
      <c r="G185" s="79"/>
      <c r="H185" s="1" t="s">
        <v>5</v>
      </c>
      <c r="I185" s="36">
        <v>59.54</v>
      </c>
      <c r="J185" s="36">
        <v>106.27</v>
      </c>
      <c r="K185" s="36">
        <v>71.92</v>
      </c>
      <c r="L185" s="43">
        <v>269.86</v>
      </c>
      <c r="M185" s="43">
        <f>[6]БДДС!$J$17</f>
        <v>209.72054811000001</v>
      </c>
      <c r="N185" s="43">
        <v>86.01</v>
      </c>
      <c r="O185" s="43">
        <v>86.01</v>
      </c>
      <c r="P185" s="43">
        <v>104.7</v>
      </c>
      <c r="Q185" s="43">
        <v>104.7</v>
      </c>
      <c r="R185" s="43">
        <v>124.98</v>
      </c>
      <c r="S185" s="43">
        <v>124.98</v>
      </c>
      <c r="T185" s="43">
        <v>146.54</v>
      </c>
      <c r="U185" s="43">
        <v>146.54</v>
      </c>
      <c r="V185" s="43">
        <f t="shared" si="85"/>
        <v>732.08999999999992</v>
      </c>
      <c r="W185" s="48">
        <f>W51-W40+W186</f>
        <v>339.83145294611154</v>
      </c>
    </row>
    <row r="186" spans="1:23" s="3" customFormat="1" ht="8.1" customHeight="1" x14ac:dyDescent="0.2">
      <c r="A186" s="80" t="s">
        <v>255</v>
      </c>
      <c r="B186" s="81"/>
      <c r="C186" s="77" t="s">
        <v>273</v>
      </c>
      <c r="D186" s="78"/>
      <c r="E186" s="78"/>
      <c r="F186" s="78"/>
      <c r="G186" s="79"/>
      <c r="H186" s="1" t="s">
        <v>5</v>
      </c>
      <c r="I186" s="36"/>
      <c r="J186" s="36">
        <v>16.86</v>
      </c>
      <c r="K186" s="36">
        <v>35.1</v>
      </c>
      <c r="L186" s="43">
        <v>46.09</v>
      </c>
      <c r="M186" s="43">
        <f>[6]БДДС!$J$19</f>
        <v>40.227403009999996</v>
      </c>
      <c r="N186" s="43">
        <v>51.89</v>
      </c>
      <c r="O186" s="43">
        <v>51.89</v>
      </c>
      <c r="P186" s="43">
        <v>53.95</v>
      </c>
      <c r="Q186" s="43">
        <v>53.95</v>
      </c>
      <c r="R186" s="43">
        <v>56.11</v>
      </c>
      <c r="S186" s="43">
        <v>56.11</v>
      </c>
      <c r="T186" s="43">
        <v>58.34</v>
      </c>
      <c r="U186" s="43">
        <v>58.34</v>
      </c>
      <c r="V186" s="43">
        <f t="shared" si="85"/>
        <v>266.38</v>
      </c>
      <c r="W186" s="48"/>
    </row>
    <row r="187" spans="1:23" s="3" customFormat="1" ht="16.5" customHeight="1" x14ac:dyDescent="0.2">
      <c r="A187" s="80" t="s">
        <v>256</v>
      </c>
      <c r="B187" s="81"/>
      <c r="C187" s="85" t="s">
        <v>274</v>
      </c>
      <c r="D187" s="86"/>
      <c r="E187" s="86"/>
      <c r="F187" s="86"/>
      <c r="G187" s="87"/>
      <c r="H187" s="1" t="s">
        <v>5</v>
      </c>
      <c r="I187" s="36"/>
      <c r="J187" s="36"/>
      <c r="K187" s="36"/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f t="shared" si="85"/>
        <v>0</v>
      </c>
      <c r="W187" s="48"/>
    </row>
    <row r="188" spans="1:23" s="3" customFormat="1" ht="16.5" customHeight="1" x14ac:dyDescent="0.2">
      <c r="A188" s="80" t="s">
        <v>257</v>
      </c>
      <c r="B188" s="81"/>
      <c r="C188" s="85" t="s">
        <v>275</v>
      </c>
      <c r="D188" s="86"/>
      <c r="E188" s="86"/>
      <c r="F188" s="86"/>
      <c r="G188" s="87"/>
      <c r="H188" s="1" t="s">
        <v>5</v>
      </c>
      <c r="I188" s="36">
        <v>111.44</v>
      </c>
      <c r="J188" s="36">
        <v>100</v>
      </c>
      <c r="K188" s="36">
        <v>89</v>
      </c>
      <c r="L188" s="43">
        <v>105</v>
      </c>
      <c r="M188" s="43">
        <f>[6]БДДС!$J$21</f>
        <v>11.935064219999997</v>
      </c>
      <c r="N188" s="43">
        <v>63.92</v>
      </c>
      <c r="O188" s="43">
        <v>63.92</v>
      </c>
      <c r="P188" s="43">
        <v>65.81</v>
      </c>
      <c r="Q188" s="43">
        <v>65.81</v>
      </c>
      <c r="R188" s="43">
        <v>67.760000000000005</v>
      </c>
      <c r="S188" s="43">
        <v>67.760000000000005</v>
      </c>
      <c r="T188" s="43">
        <v>69.760000000000005</v>
      </c>
      <c r="U188" s="43">
        <v>69.760000000000005</v>
      </c>
      <c r="V188" s="43">
        <f t="shared" si="85"/>
        <v>372.25</v>
      </c>
      <c r="W188" s="48">
        <f t="shared" ref="W188:W227" si="98">M188+O188+Q188+S188+U188</f>
        <v>279.18506422000002</v>
      </c>
    </row>
    <row r="189" spans="1:23" s="3" customFormat="1" ht="8.1" customHeight="1" x14ac:dyDescent="0.2">
      <c r="A189" s="80" t="s">
        <v>258</v>
      </c>
      <c r="B189" s="81"/>
      <c r="C189" s="85" t="s">
        <v>276</v>
      </c>
      <c r="D189" s="86"/>
      <c r="E189" s="86"/>
      <c r="F189" s="86"/>
      <c r="G189" s="87"/>
      <c r="H189" s="1" t="s">
        <v>5</v>
      </c>
      <c r="I189" s="36"/>
      <c r="J189" s="36"/>
      <c r="K189" s="36"/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f t="shared" si="85"/>
        <v>0</v>
      </c>
      <c r="W189" s="48">
        <f t="shared" si="98"/>
        <v>0</v>
      </c>
    </row>
    <row r="190" spans="1:23" s="3" customFormat="1" ht="8.1" customHeight="1" x14ac:dyDescent="0.2">
      <c r="A190" s="80" t="s">
        <v>259</v>
      </c>
      <c r="B190" s="81"/>
      <c r="C190" s="85" t="s">
        <v>277</v>
      </c>
      <c r="D190" s="86"/>
      <c r="E190" s="86"/>
      <c r="F190" s="86"/>
      <c r="G190" s="87"/>
      <c r="H190" s="1" t="s">
        <v>5</v>
      </c>
      <c r="I190" s="36">
        <v>17.37</v>
      </c>
      <c r="J190" s="36">
        <v>27.54</v>
      </c>
      <c r="K190" s="36">
        <v>28.28</v>
      </c>
      <c r="L190" s="43">
        <v>32.4</v>
      </c>
      <c r="M190" s="43">
        <f>[6]БДДС!$J$67</f>
        <v>29.490792899999999</v>
      </c>
      <c r="N190" s="43">
        <v>37.340000000000003</v>
      </c>
      <c r="O190" s="43">
        <v>37.340000000000003</v>
      </c>
      <c r="P190" s="43">
        <v>40.39</v>
      </c>
      <c r="Q190" s="43">
        <v>40.39</v>
      </c>
      <c r="R190" s="43">
        <v>43.27</v>
      </c>
      <c r="S190" s="43">
        <v>43.27</v>
      </c>
      <c r="T190" s="43">
        <v>45.73</v>
      </c>
      <c r="U190" s="43">
        <v>45.73</v>
      </c>
      <c r="V190" s="43">
        <f t="shared" si="85"/>
        <v>199.13</v>
      </c>
      <c r="W190" s="48">
        <f t="shared" si="98"/>
        <v>196.22079289999999</v>
      </c>
    </row>
    <row r="191" spans="1:23" s="3" customFormat="1" ht="8.1" customHeight="1" x14ac:dyDescent="0.2">
      <c r="A191" s="80" t="s">
        <v>260</v>
      </c>
      <c r="B191" s="81"/>
      <c r="C191" s="85" t="s">
        <v>278</v>
      </c>
      <c r="D191" s="86"/>
      <c r="E191" s="86"/>
      <c r="F191" s="86"/>
      <c r="G191" s="87"/>
      <c r="H191" s="1" t="s">
        <v>5</v>
      </c>
      <c r="I191" s="36">
        <v>5.39</v>
      </c>
      <c r="J191" s="36">
        <v>8.32</v>
      </c>
      <c r="K191" s="36">
        <v>8.25</v>
      </c>
      <c r="L191" s="43">
        <v>9.7899999999999991</v>
      </c>
      <c r="M191" s="43">
        <f>[6]БДДС!$J$68</f>
        <v>11.795963449999999</v>
      </c>
      <c r="N191" s="43">
        <v>11.43</v>
      </c>
      <c r="O191" s="43">
        <v>11.43</v>
      </c>
      <c r="P191" s="43">
        <v>12.41</v>
      </c>
      <c r="Q191" s="43">
        <v>12.41</v>
      </c>
      <c r="R191" s="43">
        <v>13.34</v>
      </c>
      <c r="S191" s="43">
        <v>13.34</v>
      </c>
      <c r="T191" s="43">
        <v>14.16</v>
      </c>
      <c r="U191" s="43">
        <v>14.16</v>
      </c>
      <c r="V191" s="43">
        <f t="shared" si="85"/>
        <v>61.129999999999995</v>
      </c>
      <c r="W191" s="48">
        <f t="shared" si="98"/>
        <v>63.135963449999991</v>
      </c>
    </row>
    <row r="192" spans="1:23" s="3" customFormat="1" ht="8.1" customHeight="1" x14ac:dyDescent="0.2">
      <c r="A192" s="80" t="s">
        <v>261</v>
      </c>
      <c r="B192" s="81"/>
      <c r="C192" s="85" t="s">
        <v>279</v>
      </c>
      <c r="D192" s="86"/>
      <c r="E192" s="86"/>
      <c r="F192" s="86"/>
      <c r="G192" s="87"/>
      <c r="H192" s="1" t="s">
        <v>5</v>
      </c>
      <c r="I192" s="36">
        <v>38.57</v>
      </c>
      <c r="J192" s="36">
        <v>65</v>
      </c>
      <c r="K192" s="36">
        <v>29.48</v>
      </c>
      <c r="L192" s="43">
        <v>45</v>
      </c>
      <c r="M192" s="43">
        <f>[6]БДДС!$J$71+[6]БДДС!$J$72</f>
        <v>7.0832486600000006</v>
      </c>
      <c r="N192" s="43">
        <v>105</v>
      </c>
      <c r="O192" s="43">
        <v>105</v>
      </c>
      <c r="P192" s="43">
        <v>56</v>
      </c>
      <c r="Q192" s="43">
        <v>56</v>
      </c>
      <c r="R192" s="43">
        <v>62</v>
      </c>
      <c r="S192" s="43">
        <v>62</v>
      </c>
      <c r="T192" s="43">
        <v>112.4</v>
      </c>
      <c r="U192" s="43">
        <v>112.4</v>
      </c>
      <c r="V192" s="43">
        <f t="shared" si="85"/>
        <v>380.4</v>
      </c>
      <c r="W192" s="48">
        <f t="shared" si="98"/>
        <v>342.48324865999996</v>
      </c>
    </row>
    <row r="193" spans="1:23" s="3" customFormat="1" ht="8.1" customHeight="1" x14ac:dyDescent="0.2">
      <c r="A193" s="80" t="s">
        <v>262</v>
      </c>
      <c r="B193" s="81"/>
      <c r="C193" s="77" t="s">
        <v>280</v>
      </c>
      <c r="D193" s="78"/>
      <c r="E193" s="78"/>
      <c r="F193" s="78"/>
      <c r="G193" s="79"/>
      <c r="H193" s="1" t="s">
        <v>5</v>
      </c>
      <c r="I193" s="36">
        <v>3.68</v>
      </c>
      <c r="J193" s="36">
        <v>24</v>
      </c>
      <c r="K193" s="36">
        <v>4.1500000000000004</v>
      </c>
      <c r="L193" s="43">
        <v>1.32</v>
      </c>
      <c r="M193" s="43">
        <f>[6]БДДС!$J$72</f>
        <v>0.14888112000000001</v>
      </c>
      <c r="N193" s="43">
        <v>29</v>
      </c>
      <c r="O193" s="43">
        <v>29</v>
      </c>
      <c r="P193" s="43">
        <v>1</v>
      </c>
      <c r="Q193" s="43">
        <v>1</v>
      </c>
      <c r="R193" s="43">
        <v>1</v>
      </c>
      <c r="S193" s="43">
        <v>1</v>
      </c>
      <c r="T193" s="43">
        <v>34</v>
      </c>
      <c r="U193" s="43">
        <v>34</v>
      </c>
      <c r="V193" s="43">
        <f t="shared" si="85"/>
        <v>66.319999999999993</v>
      </c>
      <c r="W193" s="48">
        <f t="shared" si="98"/>
        <v>65.148881119999999</v>
      </c>
    </row>
    <row r="194" spans="1:23" s="3" customFormat="1" ht="8.1" customHeight="1" x14ac:dyDescent="0.2">
      <c r="A194" s="80" t="s">
        <v>263</v>
      </c>
      <c r="B194" s="81"/>
      <c r="C194" s="85" t="s">
        <v>281</v>
      </c>
      <c r="D194" s="86"/>
      <c r="E194" s="86"/>
      <c r="F194" s="86"/>
      <c r="G194" s="87"/>
      <c r="H194" s="1" t="s">
        <v>5</v>
      </c>
      <c r="I194" s="36"/>
      <c r="J194" s="36">
        <v>5.03</v>
      </c>
      <c r="K194" s="36">
        <v>5</v>
      </c>
      <c r="L194" s="43">
        <v>5.79</v>
      </c>
      <c r="M194" s="43">
        <f>[6]БДДС!$J$73</f>
        <v>5.0775213499999996</v>
      </c>
      <c r="N194" s="43">
        <v>7.98</v>
      </c>
      <c r="O194" s="43">
        <v>7.98</v>
      </c>
      <c r="P194" s="43">
        <v>8.2200000000000006</v>
      </c>
      <c r="Q194" s="43">
        <v>8.2200000000000006</v>
      </c>
      <c r="R194" s="43">
        <v>8.4600000000000009</v>
      </c>
      <c r="S194" s="43">
        <v>8.4600000000000009</v>
      </c>
      <c r="T194" s="43">
        <v>8.2100000000000009</v>
      </c>
      <c r="U194" s="43">
        <v>8.2100000000000009</v>
      </c>
      <c r="V194" s="43">
        <f t="shared" si="85"/>
        <v>38.660000000000004</v>
      </c>
      <c r="W194" s="48">
        <f t="shared" si="98"/>
        <v>37.947521350000002</v>
      </c>
    </row>
    <row r="195" spans="1:23" s="3" customFormat="1" ht="8.1" customHeight="1" x14ac:dyDescent="0.2">
      <c r="A195" s="80" t="s">
        <v>264</v>
      </c>
      <c r="B195" s="81"/>
      <c r="C195" s="85" t="s">
        <v>282</v>
      </c>
      <c r="D195" s="86"/>
      <c r="E195" s="86"/>
      <c r="F195" s="86"/>
      <c r="G195" s="87"/>
      <c r="H195" s="1" t="s">
        <v>5</v>
      </c>
      <c r="I195" s="36"/>
      <c r="J195" s="36"/>
      <c r="K195" s="36"/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f t="shared" si="85"/>
        <v>0</v>
      </c>
      <c r="W195" s="48">
        <f t="shared" si="98"/>
        <v>0</v>
      </c>
    </row>
    <row r="196" spans="1:23" s="3" customFormat="1" ht="8.1" customHeight="1" x14ac:dyDescent="0.2">
      <c r="A196" s="80" t="s">
        <v>265</v>
      </c>
      <c r="B196" s="81"/>
      <c r="C196" s="85" t="s">
        <v>283</v>
      </c>
      <c r="D196" s="86"/>
      <c r="E196" s="86"/>
      <c r="F196" s="86"/>
      <c r="G196" s="87"/>
      <c r="H196" s="1" t="s">
        <v>5</v>
      </c>
      <c r="I196" s="36">
        <v>27.81</v>
      </c>
      <c r="J196" s="36">
        <v>30</v>
      </c>
      <c r="K196" s="36">
        <v>23.02</v>
      </c>
      <c r="L196" s="43">
        <v>10</v>
      </c>
      <c r="M196" s="43">
        <f>[6]БДДС!$J$135</f>
        <v>42.466472109999998</v>
      </c>
      <c r="N196" s="43">
        <v>10</v>
      </c>
      <c r="O196" s="43">
        <v>10</v>
      </c>
      <c r="P196" s="43">
        <v>10</v>
      </c>
      <c r="Q196" s="43">
        <v>10</v>
      </c>
      <c r="R196" s="43">
        <v>10</v>
      </c>
      <c r="S196" s="43">
        <v>10</v>
      </c>
      <c r="T196" s="43">
        <v>10</v>
      </c>
      <c r="U196" s="43">
        <v>10</v>
      </c>
      <c r="V196" s="43">
        <f t="shared" si="85"/>
        <v>50</v>
      </c>
      <c r="W196" s="48">
        <f t="shared" si="98"/>
        <v>82.466472109999998</v>
      </c>
    </row>
    <row r="197" spans="1:23" s="3" customFormat="1" ht="16.5" customHeight="1" x14ac:dyDescent="0.2">
      <c r="A197" s="80" t="s">
        <v>266</v>
      </c>
      <c r="B197" s="81"/>
      <c r="C197" s="85" t="s">
        <v>284</v>
      </c>
      <c r="D197" s="86"/>
      <c r="E197" s="86"/>
      <c r="F197" s="86"/>
      <c r="G197" s="87"/>
      <c r="H197" s="1" t="s">
        <v>5</v>
      </c>
      <c r="I197" s="36">
        <v>23.4</v>
      </c>
      <c r="J197" s="36">
        <v>19.82</v>
      </c>
      <c r="K197" s="36">
        <v>19.97</v>
      </c>
      <c r="L197" s="43">
        <v>32.700000000000003</v>
      </c>
      <c r="M197" s="43">
        <f>[6]БДДС!$J$136</f>
        <v>32.39892691</v>
      </c>
      <c r="N197" s="43">
        <v>21.13</v>
      </c>
      <c r="O197" s="43">
        <v>21.13</v>
      </c>
      <c r="P197" s="43">
        <v>10.93</v>
      </c>
      <c r="Q197" s="43">
        <v>10.93</v>
      </c>
      <c r="R197" s="43">
        <v>5.25</v>
      </c>
      <c r="S197" s="43">
        <v>5.25</v>
      </c>
      <c r="T197" s="43">
        <v>2.88</v>
      </c>
      <c r="U197" s="43">
        <v>2.88</v>
      </c>
      <c r="V197" s="43">
        <f t="shared" si="85"/>
        <v>72.889999999999986</v>
      </c>
      <c r="W197" s="48">
        <f t="shared" si="98"/>
        <v>72.588926909999998</v>
      </c>
    </row>
    <row r="198" spans="1:23" s="3" customFormat="1" ht="8.1" customHeight="1" x14ac:dyDescent="0.2">
      <c r="A198" s="80" t="s">
        <v>267</v>
      </c>
      <c r="B198" s="81"/>
      <c r="C198" s="85" t="s">
        <v>285</v>
      </c>
      <c r="D198" s="86"/>
      <c r="E198" s="86"/>
      <c r="F198" s="86"/>
      <c r="G198" s="87"/>
      <c r="H198" s="1" t="s">
        <v>5</v>
      </c>
      <c r="I198" s="36"/>
      <c r="J198" s="36"/>
      <c r="K198" s="36">
        <v>105.02</v>
      </c>
      <c r="L198" s="43">
        <v>0</v>
      </c>
      <c r="M198" s="43">
        <f>[6]БДДС!$J$154</f>
        <v>15.436101230000002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f t="shared" si="85"/>
        <v>0</v>
      </c>
      <c r="W198" s="48">
        <f t="shared" si="98"/>
        <v>15.436101230000002</v>
      </c>
    </row>
    <row r="199" spans="1:23" s="3" customFormat="1" ht="9" customHeight="1" x14ac:dyDescent="0.2">
      <c r="A199" s="80" t="s">
        <v>268</v>
      </c>
      <c r="B199" s="81"/>
      <c r="C199" s="111" t="s">
        <v>286</v>
      </c>
      <c r="D199" s="112"/>
      <c r="E199" s="112"/>
      <c r="F199" s="112"/>
      <c r="G199" s="113"/>
      <c r="H199" s="1" t="s">
        <v>5</v>
      </c>
      <c r="I199" s="36"/>
      <c r="J199" s="36"/>
      <c r="K199" s="36"/>
      <c r="L199" s="184">
        <f>L200+L201+L205</f>
        <v>0</v>
      </c>
      <c r="M199" s="184">
        <f t="shared" ref="M199:W199" si="99">M200+M201+M205</f>
        <v>0</v>
      </c>
      <c r="N199" s="184">
        <f t="shared" si="99"/>
        <v>0</v>
      </c>
      <c r="O199" s="184">
        <f t="shared" si="99"/>
        <v>0</v>
      </c>
      <c r="P199" s="184">
        <f t="shared" si="99"/>
        <v>0</v>
      </c>
      <c r="Q199" s="184">
        <f t="shared" si="99"/>
        <v>0</v>
      </c>
      <c r="R199" s="184">
        <f t="shared" si="99"/>
        <v>0</v>
      </c>
      <c r="S199" s="184">
        <f t="shared" si="99"/>
        <v>0</v>
      </c>
      <c r="T199" s="184">
        <f t="shared" si="99"/>
        <v>0</v>
      </c>
      <c r="U199" s="184">
        <f t="shared" si="99"/>
        <v>0</v>
      </c>
      <c r="V199" s="184">
        <f t="shared" si="99"/>
        <v>0</v>
      </c>
      <c r="W199" s="184">
        <f t="shared" si="99"/>
        <v>0</v>
      </c>
    </row>
    <row r="200" spans="1:23" s="3" customFormat="1" ht="8.1" customHeight="1" x14ac:dyDescent="0.2">
      <c r="A200" s="80" t="s">
        <v>287</v>
      </c>
      <c r="B200" s="81"/>
      <c r="C200" s="85" t="s">
        <v>294</v>
      </c>
      <c r="D200" s="86"/>
      <c r="E200" s="86"/>
      <c r="F200" s="86"/>
      <c r="G200" s="87"/>
      <c r="H200" s="1" t="s">
        <v>5</v>
      </c>
      <c r="I200" s="36"/>
      <c r="J200" s="36"/>
      <c r="K200" s="36"/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f t="shared" ref="V200:W205" si="100">L200+N200+P200+R200+T200</f>
        <v>0</v>
      </c>
      <c r="W200" s="48">
        <f t="shared" si="100"/>
        <v>0</v>
      </c>
    </row>
    <row r="201" spans="1:23" s="3" customFormat="1" ht="8.1" customHeight="1" x14ac:dyDescent="0.2">
      <c r="A201" s="80" t="s">
        <v>288</v>
      </c>
      <c r="B201" s="81"/>
      <c r="C201" s="85" t="s">
        <v>295</v>
      </c>
      <c r="D201" s="86"/>
      <c r="E201" s="86"/>
      <c r="F201" s="86"/>
      <c r="G201" s="87"/>
      <c r="H201" s="1" t="s">
        <v>5</v>
      </c>
      <c r="I201" s="36"/>
      <c r="J201" s="36"/>
      <c r="K201" s="36"/>
      <c r="L201" s="43">
        <f>SUM(L202:L204)</f>
        <v>0</v>
      </c>
      <c r="M201" s="43">
        <f t="shared" ref="M201:U201" si="101">SUM(M202:M204)</f>
        <v>0</v>
      </c>
      <c r="N201" s="43">
        <f t="shared" si="101"/>
        <v>0</v>
      </c>
      <c r="O201" s="43">
        <f t="shared" si="101"/>
        <v>0</v>
      </c>
      <c r="P201" s="43">
        <f t="shared" si="101"/>
        <v>0</v>
      </c>
      <c r="Q201" s="43">
        <f t="shared" si="101"/>
        <v>0</v>
      </c>
      <c r="R201" s="43">
        <f t="shared" si="101"/>
        <v>0</v>
      </c>
      <c r="S201" s="43">
        <f t="shared" si="101"/>
        <v>0</v>
      </c>
      <c r="T201" s="43">
        <f t="shared" si="101"/>
        <v>0</v>
      </c>
      <c r="U201" s="43">
        <f t="shared" si="101"/>
        <v>0</v>
      </c>
      <c r="V201" s="43">
        <f t="shared" si="100"/>
        <v>0</v>
      </c>
      <c r="W201" s="48">
        <f t="shared" si="100"/>
        <v>0</v>
      </c>
    </row>
    <row r="202" spans="1:23" s="3" customFormat="1" ht="16.5" customHeight="1" x14ac:dyDescent="0.2">
      <c r="A202" s="80" t="s">
        <v>289</v>
      </c>
      <c r="B202" s="81"/>
      <c r="C202" s="77" t="s">
        <v>296</v>
      </c>
      <c r="D202" s="78"/>
      <c r="E202" s="78"/>
      <c r="F202" s="78"/>
      <c r="G202" s="79"/>
      <c r="H202" s="1" t="s">
        <v>5</v>
      </c>
      <c r="I202" s="36"/>
      <c r="J202" s="36"/>
      <c r="K202" s="36"/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3">
        <v>0</v>
      </c>
      <c r="V202" s="43">
        <f t="shared" si="100"/>
        <v>0</v>
      </c>
      <c r="W202" s="48">
        <f t="shared" si="100"/>
        <v>0</v>
      </c>
    </row>
    <row r="203" spans="1:23" s="3" customFormat="1" ht="8.1" customHeight="1" x14ac:dyDescent="0.2">
      <c r="A203" s="80" t="s">
        <v>290</v>
      </c>
      <c r="B203" s="81"/>
      <c r="C203" s="96" t="s">
        <v>297</v>
      </c>
      <c r="D203" s="97"/>
      <c r="E203" s="97"/>
      <c r="F203" s="97"/>
      <c r="G203" s="98"/>
      <c r="H203" s="1" t="s">
        <v>5</v>
      </c>
      <c r="I203" s="36"/>
      <c r="J203" s="36"/>
      <c r="K203" s="36"/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f t="shared" si="100"/>
        <v>0</v>
      </c>
      <c r="W203" s="48">
        <f t="shared" si="100"/>
        <v>0</v>
      </c>
    </row>
    <row r="204" spans="1:23" s="3" customFormat="1" ht="8.1" customHeight="1" x14ac:dyDescent="0.2">
      <c r="A204" s="80" t="s">
        <v>291</v>
      </c>
      <c r="B204" s="81"/>
      <c r="C204" s="96" t="s">
        <v>298</v>
      </c>
      <c r="D204" s="97"/>
      <c r="E204" s="97"/>
      <c r="F204" s="97"/>
      <c r="G204" s="98"/>
      <c r="H204" s="1" t="s">
        <v>5</v>
      </c>
      <c r="I204" s="36"/>
      <c r="J204" s="36"/>
      <c r="K204" s="36"/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f t="shared" si="100"/>
        <v>0</v>
      </c>
      <c r="W204" s="48">
        <f t="shared" si="100"/>
        <v>0</v>
      </c>
    </row>
    <row r="205" spans="1:23" s="3" customFormat="1" ht="8.1" customHeight="1" x14ac:dyDescent="0.2">
      <c r="A205" s="80" t="s">
        <v>292</v>
      </c>
      <c r="B205" s="81"/>
      <c r="C205" s="85" t="s">
        <v>299</v>
      </c>
      <c r="D205" s="86"/>
      <c r="E205" s="86"/>
      <c r="F205" s="86"/>
      <c r="G205" s="87"/>
      <c r="H205" s="1" t="s">
        <v>5</v>
      </c>
      <c r="I205" s="36"/>
      <c r="J205" s="36"/>
      <c r="K205" s="36"/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f t="shared" si="100"/>
        <v>0</v>
      </c>
      <c r="W205" s="48">
        <f t="shared" si="100"/>
        <v>0</v>
      </c>
    </row>
    <row r="206" spans="1:23" s="3" customFormat="1" x14ac:dyDescent="0.2">
      <c r="A206" s="80" t="s">
        <v>293</v>
      </c>
      <c r="B206" s="81"/>
      <c r="C206" s="111" t="s">
        <v>300</v>
      </c>
      <c r="D206" s="112"/>
      <c r="E206" s="112"/>
      <c r="F206" s="112"/>
      <c r="G206" s="113"/>
      <c r="H206" s="1" t="s">
        <v>5</v>
      </c>
      <c r="I206" s="36">
        <f>I207</f>
        <v>96.34</v>
      </c>
      <c r="J206" s="36">
        <f t="shared" ref="J206" si="102">J207</f>
        <v>210</v>
      </c>
      <c r="K206" s="36">
        <v>306.61</v>
      </c>
      <c r="L206" s="43">
        <v>433.71746917092099</v>
      </c>
      <c r="M206" s="43">
        <f t="shared" ref="M206:W206" si="103">M207+M214+M215+M216</f>
        <v>400.16839964999991</v>
      </c>
      <c r="N206" s="43">
        <f t="shared" si="103"/>
        <v>421.76041073558025</v>
      </c>
      <c r="O206" s="43">
        <f t="shared" si="103"/>
        <v>421.76041073558025</v>
      </c>
      <c r="P206" s="43">
        <f t="shared" si="103"/>
        <v>180.21542454650233</v>
      </c>
      <c r="Q206" s="43">
        <f t="shared" si="103"/>
        <v>180.21542454650233</v>
      </c>
      <c r="R206" s="43">
        <f t="shared" si="103"/>
        <v>174.34445020133174</v>
      </c>
      <c r="S206" s="43">
        <f t="shared" si="103"/>
        <v>174.34445020133174</v>
      </c>
      <c r="T206" s="43">
        <f t="shared" si="103"/>
        <v>100.78</v>
      </c>
      <c r="U206" s="43">
        <f t="shared" si="103"/>
        <v>100.78</v>
      </c>
      <c r="V206" s="43">
        <f t="shared" si="103"/>
        <v>1221.9777546543353</v>
      </c>
      <c r="W206" s="43">
        <f t="shared" si="103"/>
        <v>1277.2686851334142</v>
      </c>
    </row>
    <row r="207" spans="1:23" s="3" customFormat="1" ht="8.1" customHeight="1" x14ac:dyDescent="0.2">
      <c r="A207" s="80" t="s">
        <v>301</v>
      </c>
      <c r="B207" s="81"/>
      <c r="C207" s="85" t="s">
        <v>313</v>
      </c>
      <c r="D207" s="86"/>
      <c r="E207" s="86"/>
      <c r="F207" s="86"/>
      <c r="G207" s="87"/>
      <c r="H207" s="1" t="s">
        <v>5</v>
      </c>
      <c r="I207" s="36">
        <f>I209+I217</f>
        <v>96.34</v>
      </c>
      <c r="J207" s="36">
        <f t="shared" ref="J207" si="104">J209+J217</f>
        <v>210</v>
      </c>
      <c r="K207" s="36">
        <v>299.45</v>
      </c>
      <c r="L207" s="43">
        <v>433.71746917092099</v>
      </c>
      <c r="M207" s="43">
        <f t="shared" ref="M207:U207" si="105">SUM(M208:M213)</f>
        <v>398.3683996499999</v>
      </c>
      <c r="N207" s="43">
        <f t="shared" si="105"/>
        <v>401.76041073558025</v>
      </c>
      <c r="O207" s="43">
        <f t="shared" si="105"/>
        <v>401.76041073558025</v>
      </c>
      <c r="P207" s="43">
        <f t="shared" si="105"/>
        <v>160.21542454650233</v>
      </c>
      <c r="Q207" s="43">
        <f t="shared" si="105"/>
        <v>160.21542454650233</v>
      </c>
      <c r="R207" s="43">
        <f t="shared" si="105"/>
        <v>154.34445020133174</v>
      </c>
      <c r="S207" s="43">
        <f t="shared" si="105"/>
        <v>154.34445020133174</v>
      </c>
      <c r="T207" s="43">
        <f t="shared" si="105"/>
        <v>80.78</v>
      </c>
      <c r="U207" s="43">
        <f t="shared" si="105"/>
        <v>80.78</v>
      </c>
      <c r="V207" s="43">
        <f>V209+V217+V208</f>
        <v>1140.1777546543353</v>
      </c>
      <c r="W207" s="48">
        <f t="shared" ref="W207" si="106">M207+O207+Q207+S207+U207</f>
        <v>1195.4686851334143</v>
      </c>
    </row>
    <row r="208" spans="1:23" s="3" customFormat="1" ht="8.1" customHeight="1" x14ac:dyDescent="0.2">
      <c r="A208" s="80" t="s">
        <v>302</v>
      </c>
      <c r="B208" s="81"/>
      <c r="C208" s="77" t="s">
        <v>314</v>
      </c>
      <c r="D208" s="78"/>
      <c r="E208" s="78"/>
      <c r="F208" s="78"/>
      <c r="G208" s="79"/>
      <c r="H208" s="1" t="s">
        <v>5</v>
      </c>
      <c r="I208" s="36"/>
      <c r="J208" s="36"/>
      <c r="K208" s="36"/>
      <c r="L208" s="43">
        <v>24.467469170921003</v>
      </c>
      <c r="M208" s="43">
        <f>[6]БДДС!$J$170</f>
        <v>1.532209E-2</v>
      </c>
      <c r="N208" s="43">
        <v>116.34041073558025</v>
      </c>
      <c r="O208" s="43">
        <f t="shared" ref="O208:S208" si="107">O395</f>
        <v>116.34041073558025</v>
      </c>
      <c r="P208" s="43">
        <v>51.23542454650233</v>
      </c>
      <c r="Q208" s="43">
        <f t="shared" si="107"/>
        <v>51.23542454650233</v>
      </c>
      <c r="R208" s="43">
        <v>57.534450201331744</v>
      </c>
      <c r="S208" s="43">
        <f t="shared" si="107"/>
        <v>57.534450201331744</v>
      </c>
      <c r="T208" s="43">
        <v>62.42</v>
      </c>
      <c r="U208" s="43">
        <v>62.42</v>
      </c>
      <c r="V208" s="43">
        <f t="shared" si="85"/>
        <v>311.99775465433532</v>
      </c>
      <c r="W208" s="48">
        <f t="shared" si="98"/>
        <v>287.54560757341432</v>
      </c>
    </row>
    <row r="209" spans="1:23" s="3" customFormat="1" ht="8.1" customHeight="1" x14ac:dyDescent="0.2">
      <c r="A209" s="80" t="s">
        <v>303</v>
      </c>
      <c r="B209" s="81"/>
      <c r="C209" s="77" t="s">
        <v>315</v>
      </c>
      <c r="D209" s="78"/>
      <c r="E209" s="78"/>
      <c r="F209" s="78"/>
      <c r="G209" s="79"/>
      <c r="H209" s="1" t="s">
        <v>5</v>
      </c>
      <c r="I209" s="36">
        <v>96.34</v>
      </c>
      <c r="J209" s="36">
        <v>200</v>
      </c>
      <c r="K209" s="36">
        <v>299.45</v>
      </c>
      <c r="L209" s="43">
        <v>236.81</v>
      </c>
      <c r="M209" s="43">
        <f>[6]БДДС!$J$169</f>
        <v>330.34616395999996</v>
      </c>
      <c r="N209" s="43">
        <v>285.42</v>
      </c>
      <c r="O209" s="43">
        <v>285.42</v>
      </c>
      <c r="P209" s="43">
        <v>108.98</v>
      </c>
      <c r="Q209" s="43">
        <v>108.98</v>
      </c>
      <c r="R209" s="43">
        <v>96.81</v>
      </c>
      <c r="S209" s="43">
        <v>96.81</v>
      </c>
      <c r="T209" s="43">
        <v>18.36</v>
      </c>
      <c r="U209" s="43">
        <v>18.36</v>
      </c>
      <c r="V209" s="43">
        <f t="shared" si="85"/>
        <v>746.38</v>
      </c>
      <c r="W209" s="48">
        <f t="shared" si="98"/>
        <v>839.91616396000006</v>
      </c>
    </row>
    <row r="210" spans="1:23" s="3" customFormat="1" ht="8.1" customHeight="1" x14ac:dyDescent="0.2">
      <c r="A210" s="80" t="s">
        <v>304</v>
      </c>
      <c r="B210" s="81"/>
      <c r="C210" s="77" t="s">
        <v>316</v>
      </c>
      <c r="D210" s="78"/>
      <c r="E210" s="78"/>
      <c r="F210" s="78"/>
      <c r="G210" s="79"/>
      <c r="H210" s="1" t="s">
        <v>5</v>
      </c>
      <c r="I210" s="36"/>
      <c r="J210" s="36"/>
      <c r="K210" s="36"/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f t="shared" ref="V210" si="108">L210+N210+P210+R210+T210</f>
        <v>0</v>
      </c>
      <c r="W210" s="48">
        <f t="shared" si="98"/>
        <v>0</v>
      </c>
    </row>
    <row r="211" spans="1:23" s="3" customFormat="1" ht="8.1" customHeight="1" x14ac:dyDescent="0.2">
      <c r="A211" s="80" t="s">
        <v>305</v>
      </c>
      <c r="B211" s="81"/>
      <c r="C211" s="77" t="s">
        <v>317</v>
      </c>
      <c r="D211" s="78"/>
      <c r="E211" s="78"/>
      <c r="F211" s="78"/>
      <c r="G211" s="79"/>
      <c r="H211" s="1" t="s">
        <v>5</v>
      </c>
      <c r="I211" s="36"/>
      <c r="J211" s="36"/>
      <c r="K211" s="36"/>
      <c r="L211" s="43">
        <v>170.64</v>
      </c>
      <c r="M211" s="43">
        <f>[6]БДДС!$J$173</f>
        <v>68.00691359999999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f t="shared" si="85"/>
        <v>170.64</v>
      </c>
      <c r="W211" s="48">
        <f t="shared" si="98"/>
        <v>68.00691359999999</v>
      </c>
    </row>
    <row r="212" spans="1:23" s="3" customFormat="1" ht="8.1" customHeight="1" x14ac:dyDescent="0.2">
      <c r="A212" s="80" t="s">
        <v>306</v>
      </c>
      <c r="B212" s="81"/>
      <c r="C212" s="77" t="s">
        <v>318</v>
      </c>
      <c r="D212" s="78"/>
      <c r="E212" s="78"/>
      <c r="F212" s="78"/>
      <c r="G212" s="79"/>
      <c r="H212" s="1" t="s">
        <v>5</v>
      </c>
      <c r="I212" s="36"/>
      <c r="J212" s="36"/>
      <c r="K212" s="36"/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f t="shared" si="85"/>
        <v>0</v>
      </c>
      <c r="W212" s="48">
        <f t="shared" si="98"/>
        <v>0</v>
      </c>
    </row>
    <row r="213" spans="1:23" s="3" customFormat="1" ht="8.1" customHeight="1" x14ac:dyDescent="0.2">
      <c r="A213" s="80" t="s">
        <v>307</v>
      </c>
      <c r="B213" s="81"/>
      <c r="C213" s="77" t="s">
        <v>319</v>
      </c>
      <c r="D213" s="78"/>
      <c r="E213" s="78"/>
      <c r="F213" s="78"/>
      <c r="G213" s="79"/>
      <c r="H213" s="1" t="s">
        <v>5</v>
      </c>
      <c r="I213" s="36"/>
      <c r="J213" s="36"/>
      <c r="K213" s="36"/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0</v>
      </c>
      <c r="U213" s="43">
        <v>0</v>
      </c>
      <c r="V213" s="43">
        <f t="shared" si="85"/>
        <v>0</v>
      </c>
      <c r="W213" s="48">
        <f t="shared" si="98"/>
        <v>0</v>
      </c>
    </row>
    <row r="214" spans="1:23" s="3" customFormat="1" ht="8.1" customHeight="1" x14ac:dyDescent="0.2">
      <c r="A214" s="80" t="s">
        <v>308</v>
      </c>
      <c r="B214" s="81"/>
      <c r="C214" s="85" t="s">
        <v>320</v>
      </c>
      <c r="D214" s="86"/>
      <c r="E214" s="86"/>
      <c r="F214" s="86"/>
      <c r="G214" s="87"/>
      <c r="H214" s="1" t="s">
        <v>5</v>
      </c>
      <c r="I214" s="36"/>
      <c r="J214" s="36"/>
      <c r="K214" s="36"/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f t="shared" si="85"/>
        <v>0</v>
      </c>
      <c r="W214" s="48">
        <f t="shared" si="98"/>
        <v>0</v>
      </c>
    </row>
    <row r="215" spans="1:23" s="3" customFormat="1" ht="8.1" customHeight="1" x14ac:dyDescent="0.2">
      <c r="A215" s="80" t="s">
        <v>309</v>
      </c>
      <c r="B215" s="81"/>
      <c r="C215" s="85" t="s">
        <v>321</v>
      </c>
      <c r="D215" s="86"/>
      <c r="E215" s="86"/>
      <c r="F215" s="86"/>
      <c r="G215" s="87"/>
      <c r="H215" s="1" t="s">
        <v>5</v>
      </c>
      <c r="I215" s="36"/>
      <c r="J215" s="36">
        <v>10</v>
      </c>
      <c r="K215" s="36">
        <v>7.16</v>
      </c>
      <c r="L215" s="43">
        <v>1.8</v>
      </c>
      <c r="M215" s="43">
        <f>M217</f>
        <v>1.8</v>
      </c>
      <c r="N215" s="43">
        <v>20</v>
      </c>
      <c r="O215" s="43">
        <v>20</v>
      </c>
      <c r="P215" s="43">
        <v>20</v>
      </c>
      <c r="Q215" s="43">
        <v>20</v>
      </c>
      <c r="R215" s="43">
        <v>20</v>
      </c>
      <c r="S215" s="43">
        <v>20</v>
      </c>
      <c r="T215" s="43">
        <v>20</v>
      </c>
      <c r="U215" s="43">
        <v>20</v>
      </c>
      <c r="V215" s="43">
        <f t="shared" si="85"/>
        <v>81.8</v>
      </c>
      <c r="W215" s="48">
        <f t="shared" si="98"/>
        <v>81.8</v>
      </c>
    </row>
    <row r="216" spans="1:23" s="3" customFormat="1" ht="8.1" customHeight="1" x14ac:dyDescent="0.2">
      <c r="A216" s="80" t="s">
        <v>310</v>
      </c>
      <c r="B216" s="81"/>
      <c r="C216" s="85" t="s">
        <v>110</v>
      </c>
      <c r="D216" s="86"/>
      <c r="E216" s="86"/>
      <c r="F216" s="86"/>
      <c r="G216" s="87"/>
      <c r="H216" s="1" t="s">
        <v>475</v>
      </c>
      <c r="I216" s="36"/>
      <c r="J216" s="36"/>
      <c r="K216" s="36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>
        <f t="shared" si="85"/>
        <v>0</v>
      </c>
      <c r="W216" s="48">
        <f t="shared" si="98"/>
        <v>0</v>
      </c>
    </row>
    <row r="217" spans="1:23" s="3" customFormat="1" ht="16.5" customHeight="1" x14ac:dyDescent="0.2">
      <c r="A217" s="80" t="s">
        <v>311</v>
      </c>
      <c r="B217" s="81"/>
      <c r="C217" s="77" t="s">
        <v>322</v>
      </c>
      <c r="D217" s="78"/>
      <c r="E217" s="78"/>
      <c r="F217" s="78"/>
      <c r="G217" s="79"/>
      <c r="H217" s="1" t="s">
        <v>5</v>
      </c>
      <c r="I217" s="36"/>
      <c r="J217" s="36">
        <v>10</v>
      </c>
      <c r="K217" s="36">
        <v>7.16</v>
      </c>
      <c r="L217" s="43">
        <v>1.8</v>
      </c>
      <c r="M217" s="43">
        <v>1.8</v>
      </c>
      <c r="N217" s="43">
        <v>20</v>
      </c>
      <c r="O217" s="43">
        <v>20</v>
      </c>
      <c r="P217" s="43">
        <v>20</v>
      </c>
      <c r="Q217" s="43">
        <v>20</v>
      </c>
      <c r="R217" s="43">
        <v>20</v>
      </c>
      <c r="S217" s="43">
        <v>20</v>
      </c>
      <c r="T217" s="43">
        <v>20</v>
      </c>
      <c r="U217" s="43">
        <v>20</v>
      </c>
      <c r="V217" s="43">
        <f t="shared" si="85"/>
        <v>81.8</v>
      </c>
      <c r="W217" s="48">
        <f t="shared" si="98"/>
        <v>81.8</v>
      </c>
    </row>
    <row r="218" spans="1:23" s="3" customFormat="1" x14ac:dyDescent="0.2">
      <c r="A218" s="80" t="s">
        <v>312</v>
      </c>
      <c r="B218" s="81"/>
      <c r="C218" s="111" t="s">
        <v>323</v>
      </c>
      <c r="D218" s="112"/>
      <c r="E218" s="112"/>
      <c r="F218" s="112"/>
      <c r="G218" s="113"/>
      <c r="H218" s="1" t="s">
        <v>5</v>
      </c>
      <c r="I218" s="36">
        <f>I220+I228+I230</f>
        <v>103.16999999999999</v>
      </c>
      <c r="J218" s="36">
        <f t="shared" ref="J218" si="109">J220+J228+J230</f>
        <v>235</v>
      </c>
      <c r="K218" s="36">
        <v>385.8</v>
      </c>
      <c r="L218" s="43">
        <f>L219+L220+L224+L225+L228+L229+L230</f>
        <v>375.65999999999997</v>
      </c>
      <c r="M218" s="43">
        <f t="shared" ref="M218:W218" si="110">M219+M220+M224+M225+M228+M229+M230</f>
        <v>829.10624430999997</v>
      </c>
      <c r="N218" s="43">
        <f t="shared" si="110"/>
        <v>25</v>
      </c>
      <c r="O218" s="43">
        <f t="shared" si="110"/>
        <v>25</v>
      </c>
      <c r="P218" s="43">
        <f t="shared" si="110"/>
        <v>18</v>
      </c>
      <c r="Q218" s="43">
        <f t="shared" si="110"/>
        <v>18</v>
      </c>
      <c r="R218" s="43">
        <f t="shared" si="110"/>
        <v>0</v>
      </c>
      <c r="S218" s="43">
        <f t="shared" si="110"/>
        <v>0</v>
      </c>
      <c r="T218" s="43">
        <f t="shared" si="110"/>
        <v>20</v>
      </c>
      <c r="U218" s="43">
        <f t="shared" si="110"/>
        <v>20</v>
      </c>
      <c r="V218" s="43">
        <f t="shared" si="110"/>
        <v>438.65999999999997</v>
      </c>
      <c r="W218" s="43">
        <f t="shared" si="110"/>
        <v>892.10624430999997</v>
      </c>
    </row>
    <row r="219" spans="1:23" s="3" customFormat="1" ht="8.1" customHeight="1" x14ac:dyDescent="0.2">
      <c r="A219" s="80" t="s">
        <v>324</v>
      </c>
      <c r="B219" s="81"/>
      <c r="C219" s="85" t="s">
        <v>337</v>
      </c>
      <c r="D219" s="86"/>
      <c r="E219" s="86"/>
      <c r="F219" s="86"/>
      <c r="G219" s="87"/>
      <c r="H219" s="1" t="s">
        <v>5</v>
      </c>
      <c r="I219" s="36"/>
      <c r="J219" s="36"/>
      <c r="K219" s="36"/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f t="shared" ref="V219:W219" si="111">L219+N219+P219+R219+T219</f>
        <v>0</v>
      </c>
      <c r="W219" s="48">
        <f t="shared" si="111"/>
        <v>0</v>
      </c>
    </row>
    <row r="220" spans="1:23" s="3" customFormat="1" ht="8.1" customHeight="1" x14ac:dyDescent="0.2">
      <c r="A220" s="80" t="s">
        <v>325</v>
      </c>
      <c r="B220" s="81"/>
      <c r="C220" s="85" t="s">
        <v>338</v>
      </c>
      <c r="D220" s="86"/>
      <c r="E220" s="86"/>
      <c r="F220" s="86"/>
      <c r="G220" s="87"/>
      <c r="H220" s="1" t="s">
        <v>5</v>
      </c>
      <c r="I220" s="36">
        <f>I222</f>
        <v>46.48</v>
      </c>
      <c r="J220" s="36">
        <f t="shared" ref="J220" si="112">J222</f>
        <v>100</v>
      </c>
      <c r="K220" s="36">
        <v>53.52</v>
      </c>
      <c r="L220" s="43">
        <f>SUM(L221:L223)</f>
        <v>0</v>
      </c>
      <c r="M220" s="43">
        <f t="shared" ref="M220:U220" si="113">SUM(M221:M223)</f>
        <v>32.264091610000001</v>
      </c>
      <c r="N220" s="43">
        <f t="shared" si="113"/>
        <v>0</v>
      </c>
      <c r="O220" s="43">
        <f t="shared" si="113"/>
        <v>0</v>
      </c>
      <c r="P220" s="43">
        <f t="shared" si="113"/>
        <v>0</v>
      </c>
      <c r="Q220" s="43">
        <f t="shared" si="113"/>
        <v>0</v>
      </c>
      <c r="R220" s="43">
        <f t="shared" si="113"/>
        <v>0</v>
      </c>
      <c r="S220" s="43">
        <f t="shared" si="113"/>
        <v>0</v>
      </c>
      <c r="T220" s="43">
        <f t="shared" si="113"/>
        <v>0</v>
      </c>
      <c r="U220" s="43">
        <f t="shared" si="113"/>
        <v>0</v>
      </c>
      <c r="V220" s="43">
        <f t="shared" ref="V220:V236" si="114">L220+N220+P220+R220+T220</f>
        <v>0</v>
      </c>
      <c r="W220" s="48">
        <f t="shared" si="98"/>
        <v>32.264091610000001</v>
      </c>
    </row>
    <row r="221" spans="1:23" s="3" customFormat="1" ht="8.1" customHeight="1" x14ac:dyDescent="0.2">
      <c r="A221" s="80" t="s">
        <v>326</v>
      </c>
      <c r="B221" s="81"/>
      <c r="C221" s="77" t="s">
        <v>339</v>
      </c>
      <c r="D221" s="78"/>
      <c r="E221" s="78"/>
      <c r="F221" s="78"/>
      <c r="G221" s="79"/>
      <c r="H221" s="1" t="s">
        <v>5</v>
      </c>
      <c r="I221" s="36"/>
      <c r="J221" s="36"/>
      <c r="K221" s="36"/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f t="shared" si="114"/>
        <v>0</v>
      </c>
      <c r="W221" s="48">
        <f t="shared" si="98"/>
        <v>0</v>
      </c>
    </row>
    <row r="222" spans="1:23" s="3" customFormat="1" ht="8.1" customHeight="1" x14ac:dyDescent="0.2">
      <c r="A222" s="80" t="s">
        <v>327</v>
      </c>
      <c r="B222" s="81"/>
      <c r="C222" s="77" t="s">
        <v>340</v>
      </c>
      <c r="D222" s="78"/>
      <c r="E222" s="78"/>
      <c r="F222" s="78"/>
      <c r="G222" s="79"/>
      <c r="H222" s="1" t="s">
        <v>5</v>
      </c>
      <c r="I222" s="36">
        <v>46.48</v>
      </c>
      <c r="J222" s="36">
        <v>100</v>
      </c>
      <c r="K222" s="36">
        <v>53.52</v>
      </c>
      <c r="L222" s="43">
        <v>0</v>
      </c>
      <c r="M222" s="43">
        <f>[6]БДДС!$H$184</f>
        <v>32.264091610000001</v>
      </c>
      <c r="N222" s="43">
        <v>0</v>
      </c>
      <c r="O222" s="43">
        <v>0</v>
      </c>
      <c r="P222" s="43">
        <v>0</v>
      </c>
      <c r="Q222" s="43">
        <v>0</v>
      </c>
      <c r="R222" s="43">
        <v>0</v>
      </c>
      <c r="S222" s="43">
        <v>0</v>
      </c>
      <c r="T222" s="43">
        <v>0</v>
      </c>
      <c r="U222" s="43">
        <v>0</v>
      </c>
      <c r="V222" s="43">
        <f t="shared" si="114"/>
        <v>0</v>
      </c>
      <c r="W222" s="48">
        <f t="shared" si="98"/>
        <v>32.264091610000001</v>
      </c>
    </row>
    <row r="223" spans="1:23" s="3" customFormat="1" ht="8.1" customHeight="1" x14ac:dyDescent="0.2">
      <c r="A223" s="80" t="s">
        <v>328</v>
      </c>
      <c r="B223" s="81"/>
      <c r="C223" s="77" t="s">
        <v>341</v>
      </c>
      <c r="D223" s="78"/>
      <c r="E223" s="78"/>
      <c r="F223" s="78"/>
      <c r="G223" s="79"/>
      <c r="H223" s="1" t="s">
        <v>5</v>
      </c>
      <c r="I223" s="36"/>
      <c r="J223" s="36"/>
      <c r="K223" s="36"/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  <c r="R223" s="43">
        <v>0</v>
      </c>
      <c r="S223" s="43">
        <v>0</v>
      </c>
      <c r="T223" s="43">
        <v>0</v>
      </c>
      <c r="U223" s="43">
        <v>0</v>
      </c>
      <c r="V223" s="43">
        <f t="shared" si="114"/>
        <v>0</v>
      </c>
      <c r="W223" s="48">
        <f t="shared" si="98"/>
        <v>0</v>
      </c>
    </row>
    <row r="224" spans="1:23" s="3" customFormat="1" ht="8.1" customHeight="1" x14ac:dyDescent="0.2">
      <c r="A224" s="80" t="s">
        <v>329</v>
      </c>
      <c r="B224" s="81"/>
      <c r="C224" s="85" t="s">
        <v>342</v>
      </c>
      <c r="D224" s="86"/>
      <c r="E224" s="86"/>
      <c r="F224" s="86"/>
      <c r="G224" s="87"/>
      <c r="H224" s="1" t="s">
        <v>5</v>
      </c>
      <c r="I224" s="36"/>
      <c r="J224" s="36"/>
      <c r="K224" s="36"/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3">
        <v>0</v>
      </c>
      <c r="R224" s="43">
        <v>0</v>
      </c>
      <c r="S224" s="43">
        <v>0</v>
      </c>
      <c r="T224" s="43">
        <v>0</v>
      </c>
      <c r="U224" s="43">
        <v>0</v>
      </c>
      <c r="V224" s="43">
        <f t="shared" si="114"/>
        <v>0</v>
      </c>
      <c r="W224" s="48">
        <f t="shared" si="98"/>
        <v>0</v>
      </c>
    </row>
    <row r="225" spans="1:23" s="3" customFormat="1" ht="8.1" customHeight="1" x14ac:dyDescent="0.2">
      <c r="A225" s="80" t="s">
        <v>330</v>
      </c>
      <c r="B225" s="81"/>
      <c r="C225" s="85" t="s">
        <v>343</v>
      </c>
      <c r="D225" s="86"/>
      <c r="E225" s="86"/>
      <c r="F225" s="86"/>
      <c r="G225" s="87"/>
      <c r="H225" s="1" t="s">
        <v>5</v>
      </c>
      <c r="I225" s="36"/>
      <c r="J225" s="36"/>
      <c r="K225" s="36"/>
      <c r="L225" s="43">
        <f>SUM(L226:L227)</f>
        <v>0</v>
      </c>
      <c r="M225" s="43">
        <f t="shared" ref="M225:U225" si="115">SUM(M226:M227)</f>
        <v>0</v>
      </c>
      <c r="N225" s="43">
        <f t="shared" si="115"/>
        <v>0</v>
      </c>
      <c r="O225" s="43">
        <f t="shared" si="115"/>
        <v>0</v>
      </c>
      <c r="P225" s="43">
        <f t="shared" si="115"/>
        <v>0</v>
      </c>
      <c r="Q225" s="43">
        <f t="shared" si="115"/>
        <v>0</v>
      </c>
      <c r="R225" s="43">
        <f t="shared" si="115"/>
        <v>0</v>
      </c>
      <c r="S225" s="43">
        <f t="shared" si="115"/>
        <v>0</v>
      </c>
      <c r="T225" s="43">
        <f t="shared" si="115"/>
        <v>0</v>
      </c>
      <c r="U225" s="43">
        <f t="shared" si="115"/>
        <v>0</v>
      </c>
      <c r="V225" s="43">
        <f t="shared" si="114"/>
        <v>0</v>
      </c>
      <c r="W225" s="48">
        <f t="shared" si="98"/>
        <v>0</v>
      </c>
    </row>
    <row r="226" spans="1:23" s="3" customFormat="1" ht="8.1" customHeight="1" x14ac:dyDescent="0.2">
      <c r="A226" s="80" t="s">
        <v>331</v>
      </c>
      <c r="B226" s="81"/>
      <c r="C226" s="77" t="s">
        <v>344</v>
      </c>
      <c r="D226" s="78"/>
      <c r="E226" s="78"/>
      <c r="F226" s="78"/>
      <c r="G226" s="79"/>
      <c r="H226" s="1" t="s">
        <v>5</v>
      </c>
      <c r="I226" s="36"/>
      <c r="J226" s="36"/>
      <c r="K226" s="36"/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v>0</v>
      </c>
      <c r="T226" s="43">
        <v>0</v>
      </c>
      <c r="U226" s="43">
        <v>0</v>
      </c>
      <c r="V226" s="43">
        <f t="shared" si="114"/>
        <v>0</v>
      </c>
      <c r="W226" s="48">
        <f t="shared" si="98"/>
        <v>0</v>
      </c>
    </row>
    <row r="227" spans="1:23" s="3" customFormat="1" ht="8.1" customHeight="1" x14ac:dyDescent="0.2">
      <c r="A227" s="80" t="s">
        <v>332</v>
      </c>
      <c r="B227" s="81"/>
      <c r="C227" s="77" t="s">
        <v>668</v>
      </c>
      <c r="D227" s="78"/>
      <c r="E227" s="78"/>
      <c r="F227" s="78"/>
      <c r="G227" s="79"/>
      <c r="H227" s="1" t="s">
        <v>5</v>
      </c>
      <c r="I227" s="36"/>
      <c r="J227" s="36"/>
      <c r="K227" s="36"/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  <c r="R227" s="43">
        <v>0</v>
      </c>
      <c r="S227" s="43">
        <v>0</v>
      </c>
      <c r="T227" s="43">
        <v>0</v>
      </c>
      <c r="U227" s="43">
        <v>0</v>
      </c>
      <c r="V227" s="43">
        <f t="shared" si="114"/>
        <v>0</v>
      </c>
      <c r="W227" s="48">
        <f t="shared" si="98"/>
        <v>0</v>
      </c>
    </row>
    <row r="228" spans="1:23" s="3" customFormat="1" ht="8.1" customHeight="1" x14ac:dyDescent="0.2">
      <c r="A228" s="80" t="s">
        <v>333</v>
      </c>
      <c r="B228" s="81"/>
      <c r="C228" s="85" t="s">
        <v>345</v>
      </c>
      <c r="D228" s="86"/>
      <c r="E228" s="86"/>
      <c r="F228" s="86"/>
      <c r="G228" s="87"/>
      <c r="H228" s="1" t="s">
        <v>5</v>
      </c>
      <c r="I228" s="36">
        <v>22.2</v>
      </c>
      <c r="J228" s="36"/>
      <c r="K228" s="36">
        <v>280.89999999999998</v>
      </c>
      <c r="L228" s="43">
        <v>100</v>
      </c>
      <c r="M228" s="43">
        <f>[6]БДДС!$H$187</f>
        <v>652.22500000000002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f>L228+N228+P228+R228+T228</f>
        <v>100</v>
      </c>
      <c r="W228" s="48">
        <f t="shared" ref="V228:W237" si="116">M228+O228+Q228+S228+U228</f>
        <v>652.22500000000002</v>
      </c>
    </row>
    <row r="229" spans="1:23" s="3" customFormat="1" ht="8.1" customHeight="1" x14ac:dyDescent="0.2">
      <c r="A229" s="80" t="s">
        <v>334</v>
      </c>
      <c r="B229" s="81"/>
      <c r="C229" s="85" t="s">
        <v>691</v>
      </c>
      <c r="D229" s="86"/>
      <c r="E229" s="86"/>
      <c r="F229" s="86"/>
      <c r="G229" s="87"/>
      <c r="H229" s="1" t="s">
        <v>5</v>
      </c>
      <c r="I229" s="36"/>
      <c r="J229" s="36"/>
      <c r="K229" s="36">
        <v>28.8</v>
      </c>
      <c r="L229" s="43">
        <v>170.64</v>
      </c>
      <c r="M229" s="43">
        <f>[6]БДДС!$H$210</f>
        <v>116.8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f t="shared" si="114"/>
        <v>170.64</v>
      </c>
      <c r="W229" s="48">
        <f t="shared" si="116"/>
        <v>116.8</v>
      </c>
    </row>
    <row r="230" spans="1:23" s="3" customFormat="1" ht="8.1" customHeight="1" x14ac:dyDescent="0.2">
      <c r="A230" s="80" t="s">
        <v>335</v>
      </c>
      <c r="B230" s="81"/>
      <c r="C230" s="85" t="s">
        <v>346</v>
      </c>
      <c r="D230" s="86"/>
      <c r="E230" s="86"/>
      <c r="F230" s="86"/>
      <c r="G230" s="87"/>
      <c r="H230" s="1" t="s">
        <v>5</v>
      </c>
      <c r="I230" s="36">
        <v>34.49</v>
      </c>
      <c r="J230" s="36">
        <v>135</v>
      </c>
      <c r="K230" s="36">
        <v>22.58</v>
      </c>
      <c r="L230" s="43">
        <v>105.02</v>
      </c>
      <c r="M230" s="43">
        <f>[6]БДДС!$H$212</f>
        <v>27.817152700000001</v>
      </c>
      <c r="N230" s="43">
        <v>25</v>
      </c>
      <c r="O230" s="43">
        <v>25</v>
      </c>
      <c r="P230" s="43">
        <v>18</v>
      </c>
      <c r="Q230" s="43">
        <v>18</v>
      </c>
      <c r="R230" s="43">
        <v>0</v>
      </c>
      <c r="S230" s="43">
        <v>0</v>
      </c>
      <c r="T230" s="43">
        <v>20</v>
      </c>
      <c r="U230" s="43">
        <v>20</v>
      </c>
      <c r="V230" s="43">
        <f t="shared" si="114"/>
        <v>168.01999999999998</v>
      </c>
      <c r="W230" s="48">
        <f t="shared" si="116"/>
        <v>90.817152700000008</v>
      </c>
    </row>
    <row r="231" spans="1:23" s="3" customFormat="1" ht="8.1" customHeight="1" x14ac:dyDescent="0.2">
      <c r="A231" s="80" t="s">
        <v>336</v>
      </c>
      <c r="B231" s="81"/>
      <c r="C231" s="111" t="s">
        <v>347</v>
      </c>
      <c r="D231" s="112"/>
      <c r="E231" s="112"/>
      <c r="F231" s="112"/>
      <c r="G231" s="113"/>
      <c r="H231" s="1" t="s">
        <v>5</v>
      </c>
      <c r="I231" s="36">
        <f>I237+I232</f>
        <v>89.81</v>
      </c>
      <c r="J231" s="36">
        <f t="shared" ref="J231" si="117">J237+J232</f>
        <v>55.7</v>
      </c>
      <c r="K231" s="36">
        <v>235.09</v>
      </c>
      <c r="L231" s="43">
        <f>L232+L236+L237</f>
        <v>72.59</v>
      </c>
      <c r="M231" s="43">
        <f t="shared" ref="M231:W231" si="118">M232+M236+M237</f>
        <v>579.02571913999998</v>
      </c>
      <c r="N231" s="43">
        <f t="shared" si="118"/>
        <v>0</v>
      </c>
      <c r="O231" s="43">
        <f t="shared" si="118"/>
        <v>0</v>
      </c>
      <c r="P231" s="43">
        <f t="shared" si="118"/>
        <v>100</v>
      </c>
      <c r="Q231" s="43">
        <f t="shared" si="118"/>
        <v>100</v>
      </c>
      <c r="R231" s="43">
        <f t="shared" si="118"/>
        <v>0</v>
      </c>
      <c r="S231" s="43">
        <f t="shared" si="118"/>
        <v>0</v>
      </c>
      <c r="T231" s="43">
        <f t="shared" si="118"/>
        <v>0</v>
      </c>
      <c r="U231" s="43">
        <f t="shared" si="118"/>
        <v>0</v>
      </c>
      <c r="V231" s="43">
        <f t="shared" si="118"/>
        <v>172.59</v>
      </c>
      <c r="W231" s="43">
        <f t="shared" si="118"/>
        <v>679.02571913999998</v>
      </c>
    </row>
    <row r="232" spans="1:23" s="3" customFormat="1" ht="8.1" customHeight="1" x14ac:dyDescent="0.2">
      <c r="A232" s="80" t="s">
        <v>349</v>
      </c>
      <c r="B232" s="81"/>
      <c r="C232" s="85" t="s">
        <v>678</v>
      </c>
      <c r="D232" s="86"/>
      <c r="E232" s="86"/>
      <c r="F232" s="86"/>
      <c r="G232" s="87"/>
      <c r="H232" s="1" t="s">
        <v>5</v>
      </c>
      <c r="I232" s="36">
        <f>I234+I233</f>
        <v>49.519999999999996</v>
      </c>
      <c r="J232" s="36">
        <f t="shared" ref="J232" si="119">J234+J233</f>
        <v>55.7</v>
      </c>
      <c r="K232" s="36">
        <v>166.24</v>
      </c>
      <c r="L232" s="43">
        <f>SUM(L233:L235)</f>
        <v>72.59</v>
      </c>
      <c r="M232" s="43">
        <f t="shared" ref="M232:U232" si="120">SUM(M233:M235)</f>
        <v>578.35529250000002</v>
      </c>
      <c r="N232" s="43">
        <f t="shared" si="120"/>
        <v>0</v>
      </c>
      <c r="O232" s="43">
        <f t="shared" si="120"/>
        <v>0</v>
      </c>
      <c r="P232" s="43">
        <f t="shared" si="120"/>
        <v>100</v>
      </c>
      <c r="Q232" s="43">
        <f t="shared" si="120"/>
        <v>100</v>
      </c>
      <c r="R232" s="43">
        <f t="shared" si="120"/>
        <v>0</v>
      </c>
      <c r="S232" s="43">
        <f t="shared" si="120"/>
        <v>0</v>
      </c>
      <c r="T232" s="43">
        <f t="shared" si="120"/>
        <v>0</v>
      </c>
      <c r="U232" s="43">
        <f t="shared" si="120"/>
        <v>0</v>
      </c>
      <c r="V232" s="43">
        <f t="shared" ref="V232:W232" si="121">L232+N232+P232+R232+T232</f>
        <v>172.59</v>
      </c>
      <c r="W232" s="48">
        <f t="shared" si="121"/>
        <v>678.35529250000002</v>
      </c>
    </row>
    <row r="233" spans="1:23" s="3" customFormat="1" ht="8.1" customHeight="1" x14ac:dyDescent="0.2">
      <c r="A233" s="80" t="s">
        <v>350</v>
      </c>
      <c r="B233" s="81"/>
      <c r="C233" s="77" t="s">
        <v>339</v>
      </c>
      <c r="D233" s="78"/>
      <c r="E233" s="78"/>
      <c r="F233" s="78"/>
      <c r="G233" s="79"/>
      <c r="H233" s="1" t="s">
        <v>5</v>
      </c>
      <c r="I233" s="36">
        <v>28.52</v>
      </c>
      <c r="J233" s="36"/>
      <c r="K233" s="36">
        <v>127.04</v>
      </c>
      <c r="L233" s="43">
        <v>11.79</v>
      </c>
      <c r="M233" s="43">
        <f>[6]БДДС!$J$220</f>
        <v>337.32529250000005</v>
      </c>
      <c r="N233" s="43">
        <v>0</v>
      </c>
      <c r="O233" s="43">
        <v>0</v>
      </c>
      <c r="P233" s="43">
        <v>100</v>
      </c>
      <c r="Q233" s="43">
        <v>100</v>
      </c>
      <c r="R233" s="43"/>
      <c r="S233" s="43"/>
      <c r="T233" s="43"/>
      <c r="U233" s="43"/>
      <c r="V233" s="43">
        <f>L233+N233+P233+R233+T233</f>
        <v>111.78999999999999</v>
      </c>
      <c r="W233" s="48">
        <f t="shared" si="116"/>
        <v>437.32529250000005</v>
      </c>
    </row>
    <row r="234" spans="1:23" s="3" customFormat="1" ht="8.1" customHeight="1" x14ac:dyDescent="0.2">
      <c r="A234" s="80" t="s">
        <v>351</v>
      </c>
      <c r="B234" s="81"/>
      <c r="C234" s="77" t="s">
        <v>340</v>
      </c>
      <c r="D234" s="78"/>
      <c r="E234" s="78"/>
      <c r="F234" s="78"/>
      <c r="G234" s="79"/>
      <c r="H234" s="1" t="s">
        <v>5</v>
      </c>
      <c r="I234" s="36">
        <v>21</v>
      </c>
      <c r="J234" s="36">
        <v>55.7</v>
      </c>
      <c r="K234" s="36">
        <v>39.200000000000003</v>
      </c>
      <c r="L234" s="43">
        <v>60.8</v>
      </c>
      <c r="M234" s="43">
        <f>[6]БДДС!$J$244</f>
        <v>241.02999999999997</v>
      </c>
      <c r="N234" s="43"/>
      <c r="O234" s="43"/>
      <c r="P234" s="43">
        <v>0</v>
      </c>
      <c r="Q234" s="43">
        <v>0</v>
      </c>
      <c r="R234" s="43"/>
      <c r="S234" s="43"/>
      <c r="T234" s="43"/>
      <c r="U234" s="43"/>
      <c r="V234" s="43">
        <f t="shared" si="114"/>
        <v>60.8</v>
      </c>
      <c r="W234" s="48">
        <f t="shared" si="116"/>
        <v>241.02999999999997</v>
      </c>
    </row>
    <row r="235" spans="1:23" s="3" customFormat="1" ht="8.1" customHeight="1" x14ac:dyDescent="0.2">
      <c r="A235" s="80" t="s">
        <v>352</v>
      </c>
      <c r="B235" s="81"/>
      <c r="C235" s="77" t="s">
        <v>341</v>
      </c>
      <c r="D235" s="78"/>
      <c r="E235" s="78"/>
      <c r="F235" s="78"/>
      <c r="G235" s="79"/>
      <c r="H235" s="1" t="s">
        <v>5</v>
      </c>
      <c r="I235" s="36"/>
      <c r="J235" s="36"/>
      <c r="K235" s="36"/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  <c r="R235" s="43">
        <v>0</v>
      </c>
      <c r="S235" s="43">
        <v>0</v>
      </c>
      <c r="T235" s="43">
        <v>0</v>
      </c>
      <c r="U235" s="43">
        <v>0</v>
      </c>
      <c r="V235" s="43">
        <f t="shared" si="114"/>
        <v>0</v>
      </c>
      <c r="W235" s="48">
        <f t="shared" si="116"/>
        <v>0</v>
      </c>
    </row>
    <row r="236" spans="1:23" s="3" customFormat="1" ht="8.1" customHeight="1" x14ac:dyDescent="0.2">
      <c r="A236" s="80" t="s">
        <v>353</v>
      </c>
      <c r="B236" s="81"/>
      <c r="C236" s="85" t="s">
        <v>211</v>
      </c>
      <c r="D236" s="86"/>
      <c r="E236" s="86"/>
      <c r="F236" s="86"/>
      <c r="G236" s="87"/>
      <c r="H236" s="1" t="s">
        <v>5</v>
      </c>
      <c r="I236" s="36"/>
      <c r="J236" s="36"/>
      <c r="K236" s="36"/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3">
        <v>0</v>
      </c>
      <c r="V236" s="43">
        <f t="shared" si="114"/>
        <v>0</v>
      </c>
      <c r="W236" s="48">
        <f t="shared" si="116"/>
        <v>0</v>
      </c>
    </row>
    <row r="237" spans="1:23" s="3" customFormat="1" ht="8.1" customHeight="1" x14ac:dyDescent="0.2">
      <c r="A237" s="80" t="s">
        <v>354</v>
      </c>
      <c r="B237" s="81"/>
      <c r="C237" s="85" t="s">
        <v>356</v>
      </c>
      <c r="D237" s="86"/>
      <c r="E237" s="86"/>
      <c r="F237" s="86"/>
      <c r="G237" s="87"/>
      <c r="H237" s="1" t="s">
        <v>5</v>
      </c>
      <c r="I237" s="36">
        <v>40.29</v>
      </c>
      <c r="J237" s="36"/>
      <c r="K237" s="36">
        <v>68.849999999999994</v>
      </c>
      <c r="L237" s="43">
        <v>0</v>
      </c>
      <c r="M237" s="43">
        <f>[6]БДДС!$J$248</f>
        <v>0.67042663999999996</v>
      </c>
      <c r="N237" s="43">
        <v>0</v>
      </c>
      <c r="O237" s="43">
        <v>0</v>
      </c>
      <c r="P237" s="43">
        <v>0</v>
      </c>
      <c r="Q237" s="43">
        <v>0</v>
      </c>
      <c r="R237" s="43">
        <v>0</v>
      </c>
      <c r="S237" s="43">
        <v>0</v>
      </c>
      <c r="T237" s="43">
        <v>0</v>
      </c>
      <c r="U237" s="43">
        <v>0</v>
      </c>
      <c r="V237" s="43">
        <f t="shared" si="116"/>
        <v>0</v>
      </c>
      <c r="W237" s="48">
        <f t="shared" si="116"/>
        <v>0.67042663999999996</v>
      </c>
    </row>
    <row r="238" spans="1:23" s="3" customFormat="1" ht="16.5" customHeight="1" x14ac:dyDescent="0.2">
      <c r="A238" s="80" t="s">
        <v>355</v>
      </c>
      <c r="B238" s="81"/>
      <c r="C238" s="111" t="s">
        <v>357</v>
      </c>
      <c r="D238" s="112"/>
      <c r="E238" s="112"/>
      <c r="F238" s="112"/>
      <c r="G238" s="113"/>
      <c r="H238" s="1" t="s">
        <v>5</v>
      </c>
      <c r="I238" s="36">
        <f>I163-I181</f>
        <v>90.180000000000064</v>
      </c>
      <c r="J238" s="36">
        <f t="shared" ref="J238:W238" si="122">J163-J181</f>
        <v>32.239999999999952</v>
      </c>
      <c r="K238" s="36">
        <f t="shared" si="122"/>
        <v>155.52999999999997</v>
      </c>
      <c r="L238" s="43">
        <f t="shared" si="122"/>
        <v>136.01</v>
      </c>
      <c r="M238" s="43">
        <f t="shared" si="122"/>
        <v>167.3515340400001</v>
      </c>
      <c r="N238" s="43">
        <f t="shared" si="122"/>
        <v>347.18000000000006</v>
      </c>
      <c r="O238" s="43">
        <f t="shared" si="122"/>
        <v>347.18000000000006</v>
      </c>
      <c r="P238" s="43">
        <f t="shared" si="122"/>
        <v>256.78999999999996</v>
      </c>
      <c r="Q238" s="43">
        <f t="shared" si="122"/>
        <v>213.19799999999998</v>
      </c>
      <c r="R238" s="43">
        <f t="shared" si="122"/>
        <v>178.95999999999992</v>
      </c>
      <c r="S238" s="43">
        <f t="shared" si="122"/>
        <v>149.91700000000003</v>
      </c>
      <c r="T238" s="43">
        <f t="shared" si="122"/>
        <v>83.759999999999991</v>
      </c>
      <c r="U238" s="43">
        <f t="shared" si="122"/>
        <v>306.20999999999992</v>
      </c>
      <c r="V238" s="43">
        <f t="shared" si="122"/>
        <v>1002.6999999999998</v>
      </c>
      <c r="W238" s="43">
        <f t="shared" si="122"/>
        <v>1781.4216724438886</v>
      </c>
    </row>
    <row r="239" spans="1:23" s="3" customFormat="1" ht="17.25" customHeight="1" x14ac:dyDescent="0.2">
      <c r="A239" s="80" t="s">
        <v>358</v>
      </c>
      <c r="B239" s="81"/>
      <c r="C239" s="111" t="s">
        <v>679</v>
      </c>
      <c r="D239" s="112"/>
      <c r="E239" s="112"/>
      <c r="F239" s="112"/>
      <c r="G239" s="113"/>
      <c r="H239" s="1" t="s">
        <v>5</v>
      </c>
      <c r="I239" s="36">
        <f>I199-I206</f>
        <v>-96.34</v>
      </c>
      <c r="J239" s="36">
        <f t="shared" ref="J239:K239" si="123">J199-J206</f>
        <v>-210</v>
      </c>
      <c r="K239" s="36">
        <f t="shared" si="123"/>
        <v>-306.61</v>
      </c>
      <c r="L239" s="43">
        <f>L199-L206</f>
        <v>-433.71746917092099</v>
      </c>
      <c r="M239" s="43">
        <f t="shared" ref="M239:W239" si="124">M199-M206</f>
        <v>-400.16839964999991</v>
      </c>
      <c r="N239" s="43">
        <f t="shared" si="124"/>
        <v>-421.76041073558025</v>
      </c>
      <c r="O239" s="43">
        <f t="shared" si="124"/>
        <v>-421.76041073558025</v>
      </c>
      <c r="P239" s="43">
        <f t="shared" si="124"/>
        <v>-180.21542454650233</v>
      </c>
      <c r="Q239" s="43">
        <f t="shared" si="124"/>
        <v>-180.21542454650233</v>
      </c>
      <c r="R239" s="43">
        <f t="shared" si="124"/>
        <v>-174.34445020133174</v>
      </c>
      <c r="S239" s="43">
        <f t="shared" si="124"/>
        <v>-174.34445020133174</v>
      </c>
      <c r="T239" s="43">
        <f t="shared" si="124"/>
        <v>-100.78</v>
      </c>
      <c r="U239" s="43">
        <f t="shared" si="124"/>
        <v>-100.78</v>
      </c>
      <c r="V239" s="43">
        <f t="shared" si="124"/>
        <v>-1221.9777546543353</v>
      </c>
      <c r="W239" s="43">
        <f t="shared" si="124"/>
        <v>-1277.2686851334142</v>
      </c>
    </row>
    <row r="240" spans="1:23" s="3" customFormat="1" ht="10.5" customHeight="1" x14ac:dyDescent="0.2">
      <c r="A240" s="80" t="s">
        <v>359</v>
      </c>
      <c r="B240" s="81"/>
      <c r="C240" s="85" t="s">
        <v>406</v>
      </c>
      <c r="D240" s="86"/>
      <c r="E240" s="86"/>
      <c r="F240" s="86"/>
      <c r="G240" s="87"/>
      <c r="H240" s="1" t="s">
        <v>5</v>
      </c>
      <c r="I240" s="36">
        <f>I201-I207</f>
        <v>-96.34</v>
      </c>
      <c r="J240" s="36">
        <f t="shared" ref="J240:K240" si="125">J201-J207</f>
        <v>-210</v>
      </c>
      <c r="K240" s="36">
        <f t="shared" si="125"/>
        <v>-299.45</v>
      </c>
      <c r="L240" s="43">
        <f>L199-L206</f>
        <v>-433.71746917092099</v>
      </c>
      <c r="M240" s="43">
        <f t="shared" ref="M240:W240" si="126">M199-M206</f>
        <v>-400.16839964999991</v>
      </c>
      <c r="N240" s="43">
        <f t="shared" si="126"/>
        <v>-421.76041073558025</v>
      </c>
      <c r="O240" s="43">
        <f t="shared" si="126"/>
        <v>-421.76041073558025</v>
      </c>
      <c r="P240" s="43">
        <f t="shared" si="126"/>
        <v>-180.21542454650233</v>
      </c>
      <c r="Q240" s="43">
        <f t="shared" si="126"/>
        <v>-180.21542454650233</v>
      </c>
      <c r="R240" s="43">
        <f t="shared" si="126"/>
        <v>-174.34445020133174</v>
      </c>
      <c r="S240" s="43">
        <f t="shared" si="126"/>
        <v>-174.34445020133174</v>
      </c>
      <c r="T240" s="43">
        <f t="shared" si="126"/>
        <v>-100.78</v>
      </c>
      <c r="U240" s="43">
        <f t="shared" si="126"/>
        <v>-100.78</v>
      </c>
      <c r="V240" s="43">
        <f t="shared" si="126"/>
        <v>-1221.9777546543353</v>
      </c>
      <c r="W240" s="43">
        <f t="shared" si="126"/>
        <v>-1277.2686851334142</v>
      </c>
    </row>
    <row r="241" spans="1:23" s="3" customFormat="1" ht="8.4499999999999993" customHeight="1" x14ac:dyDescent="0.2">
      <c r="A241" s="80" t="s">
        <v>360</v>
      </c>
      <c r="B241" s="81"/>
      <c r="C241" s="85" t="s">
        <v>407</v>
      </c>
      <c r="D241" s="86"/>
      <c r="E241" s="86"/>
      <c r="F241" s="86"/>
      <c r="G241" s="87"/>
      <c r="H241" s="1" t="s">
        <v>5</v>
      </c>
      <c r="I241" s="36"/>
      <c r="J241" s="36"/>
      <c r="K241" s="36"/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8">
        <f t="shared" ref="V241:W300" si="127">M241+O241+Q241+S241+U241</f>
        <v>0</v>
      </c>
    </row>
    <row r="242" spans="1:23" s="3" customFormat="1" ht="24.75" customHeight="1" x14ac:dyDescent="0.2">
      <c r="A242" s="80" t="s">
        <v>361</v>
      </c>
      <c r="B242" s="81"/>
      <c r="C242" s="111" t="s">
        <v>408</v>
      </c>
      <c r="D242" s="112"/>
      <c r="E242" s="112"/>
      <c r="F242" s="112"/>
      <c r="G242" s="113"/>
      <c r="H242" s="1" t="s">
        <v>5</v>
      </c>
      <c r="I242" s="36">
        <f>I218-I231</f>
        <v>13.359999999999985</v>
      </c>
      <c r="J242" s="36">
        <f t="shared" ref="J242:W242" si="128">J218-J231</f>
        <v>179.3</v>
      </c>
      <c r="K242" s="36">
        <f t="shared" si="128"/>
        <v>150.71</v>
      </c>
      <c r="L242" s="43">
        <f t="shared" si="128"/>
        <v>303.06999999999994</v>
      </c>
      <c r="M242" s="43">
        <f t="shared" si="128"/>
        <v>250.08052516999999</v>
      </c>
      <c r="N242" s="43">
        <f t="shared" si="128"/>
        <v>25</v>
      </c>
      <c r="O242" s="43">
        <f t="shared" si="128"/>
        <v>25</v>
      </c>
      <c r="P242" s="43">
        <f t="shared" si="128"/>
        <v>-82</v>
      </c>
      <c r="Q242" s="43">
        <f t="shared" si="128"/>
        <v>-82</v>
      </c>
      <c r="R242" s="43">
        <f t="shared" si="128"/>
        <v>0</v>
      </c>
      <c r="S242" s="43">
        <f t="shared" si="128"/>
        <v>0</v>
      </c>
      <c r="T242" s="43">
        <f t="shared" si="128"/>
        <v>20</v>
      </c>
      <c r="U242" s="43">
        <f t="shared" si="128"/>
        <v>20</v>
      </c>
      <c r="V242" s="43">
        <f t="shared" si="128"/>
        <v>266.06999999999994</v>
      </c>
      <c r="W242" s="43">
        <f t="shared" si="128"/>
        <v>213.08052516999999</v>
      </c>
    </row>
    <row r="243" spans="1:23" s="3" customFormat="1" ht="9.75" customHeight="1" x14ac:dyDescent="0.2">
      <c r="A243" s="80" t="s">
        <v>362</v>
      </c>
      <c r="B243" s="81"/>
      <c r="C243" s="85" t="s">
        <v>409</v>
      </c>
      <c r="D243" s="86"/>
      <c r="E243" s="86"/>
      <c r="F243" s="86"/>
      <c r="G243" s="87"/>
      <c r="H243" s="1" t="s">
        <v>5</v>
      </c>
      <c r="I243" s="36">
        <f>I220+I228-I232</f>
        <v>19.159999999999997</v>
      </c>
      <c r="J243" s="36">
        <f t="shared" ref="J243:K243" si="129">J220+J228-J232</f>
        <v>44.3</v>
      </c>
      <c r="K243" s="36">
        <f t="shared" si="129"/>
        <v>168.17999999999995</v>
      </c>
      <c r="L243" s="43">
        <f>L219+L220+L228+L229-L232</f>
        <v>198.04999999999998</v>
      </c>
      <c r="M243" s="43">
        <f t="shared" ref="M243:U243" si="130">M219+M220+M228+M229-M232</f>
        <v>222.93379911</v>
      </c>
      <c r="N243" s="43">
        <f t="shared" si="130"/>
        <v>0</v>
      </c>
      <c r="O243" s="43">
        <f t="shared" si="130"/>
        <v>0</v>
      </c>
      <c r="P243" s="43">
        <f t="shared" si="130"/>
        <v>-100</v>
      </c>
      <c r="Q243" s="43">
        <f t="shared" si="130"/>
        <v>-100</v>
      </c>
      <c r="R243" s="43">
        <f t="shared" si="130"/>
        <v>0</v>
      </c>
      <c r="S243" s="43">
        <f t="shared" si="130"/>
        <v>0</v>
      </c>
      <c r="T243" s="43">
        <f t="shared" si="130"/>
        <v>0</v>
      </c>
      <c r="U243" s="43">
        <f t="shared" si="130"/>
        <v>0</v>
      </c>
      <c r="V243" s="43">
        <f t="shared" ref="V243:W246" si="131">L243+N243+P243+R243+T243</f>
        <v>98.049999999999983</v>
      </c>
      <c r="W243" s="48">
        <f t="shared" si="131"/>
        <v>122.93379911</v>
      </c>
    </row>
    <row r="244" spans="1:23" s="3" customFormat="1" ht="8.4499999999999993" customHeight="1" x14ac:dyDescent="0.2">
      <c r="A244" s="80" t="s">
        <v>363</v>
      </c>
      <c r="B244" s="81"/>
      <c r="C244" s="85" t="s">
        <v>410</v>
      </c>
      <c r="D244" s="86"/>
      <c r="E244" s="86"/>
      <c r="F244" s="86"/>
      <c r="G244" s="87"/>
      <c r="H244" s="1" t="s">
        <v>5</v>
      </c>
      <c r="I244" s="36">
        <f>I230-I237</f>
        <v>-5.7999999999999972</v>
      </c>
      <c r="J244" s="36">
        <f>J230-J237</f>
        <v>135</v>
      </c>
      <c r="K244" s="36">
        <f>K230-K237</f>
        <v>-46.269999999999996</v>
      </c>
      <c r="L244" s="43">
        <f>L224+L225+L230-L236-L237</f>
        <v>105.02</v>
      </c>
      <c r="M244" s="43">
        <f t="shared" ref="M244:U244" si="132">M224+M225+M230-M236-M237</f>
        <v>27.146726060000002</v>
      </c>
      <c r="N244" s="43">
        <f t="shared" si="132"/>
        <v>25</v>
      </c>
      <c r="O244" s="43">
        <f t="shared" si="132"/>
        <v>25</v>
      </c>
      <c r="P244" s="43">
        <f t="shared" si="132"/>
        <v>18</v>
      </c>
      <c r="Q244" s="43">
        <f t="shared" si="132"/>
        <v>18</v>
      </c>
      <c r="R244" s="43">
        <f t="shared" si="132"/>
        <v>0</v>
      </c>
      <c r="S244" s="43">
        <f t="shared" si="132"/>
        <v>0</v>
      </c>
      <c r="T244" s="43">
        <f t="shared" si="132"/>
        <v>20</v>
      </c>
      <c r="U244" s="43">
        <f t="shared" si="132"/>
        <v>20</v>
      </c>
      <c r="V244" s="43">
        <f t="shared" si="131"/>
        <v>168.01999999999998</v>
      </c>
      <c r="W244" s="48">
        <f t="shared" si="131"/>
        <v>90.146726060000006</v>
      </c>
    </row>
    <row r="245" spans="1:23" s="3" customFormat="1" ht="9" customHeight="1" x14ac:dyDescent="0.2">
      <c r="A245" s="80" t="s">
        <v>364</v>
      </c>
      <c r="B245" s="81"/>
      <c r="C245" s="111" t="s">
        <v>411</v>
      </c>
      <c r="D245" s="112"/>
      <c r="E245" s="112"/>
      <c r="F245" s="112"/>
      <c r="G245" s="113"/>
      <c r="H245" s="1" t="s">
        <v>5</v>
      </c>
      <c r="I245" s="36"/>
      <c r="J245" s="36"/>
      <c r="K245" s="36"/>
      <c r="L245" s="43">
        <v>0</v>
      </c>
      <c r="M245" s="43">
        <v>0</v>
      </c>
      <c r="N245" s="43">
        <v>0</v>
      </c>
      <c r="O245" s="43">
        <v>0</v>
      </c>
      <c r="P245" s="43">
        <v>0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f t="shared" si="131"/>
        <v>0</v>
      </c>
      <c r="W245" s="48">
        <f t="shared" si="131"/>
        <v>0</v>
      </c>
    </row>
    <row r="246" spans="1:23" s="3" customFormat="1" ht="9" customHeight="1" x14ac:dyDescent="0.2">
      <c r="A246" s="80" t="s">
        <v>365</v>
      </c>
      <c r="B246" s="81"/>
      <c r="C246" s="111" t="s">
        <v>412</v>
      </c>
      <c r="D246" s="112"/>
      <c r="E246" s="112"/>
      <c r="F246" s="112"/>
      <c r="G246" s="113"/>
      <c r="H246" s="1" t="s">
        <v>5</v>
      </c>
      <c r="I246" s="36">
        <f>I238+I239+I242+I245</f>
        <v>7.2000000000000455</v>
      </c>
      <c r="J246" s="36">
        <f>J238+J239+J242+J245</f>
        <v>1.5399999999999636</v>
      </c>
      <c r="K246" s="36">
        <f>K238+K239+K242+K245</f>
        <v>-0.37000000000003297</v>
      </c>
      <c r="L246" s="43">
        <f t="shared" ref="L246:U246" si="133">L238+L239+L242+L245</f>
        <v>5.3625308290789349</v>
      </c>
      <c r="M246" s="43">
        <f t="shared" si="133"/>
        <v>17.263659560000178</v>
      </c>
      <c r="N246" s="43">
        <f t="shared" si="133"/>
        <v>-49.580410735580188</v>
      </c>
      <c r="O246" s="43">
        <f t="shared" si="133"/>
        <v>-49.580410735580188</v>
      </c>
      <c r="P246" s="43">
        <f t="shared" si="133"/>
        <v>-5.42542454650237</v>
      </c>
      <c r="Q246" s="43">
        <f t="shared" si="133"/>
        <v>-49.017424546502355</v>
      </c>
      <c r="R246" s="43">
        <f t="shared" si="133"/>
        <v>4.6155497986681837</v>
      </c>
      <c r="S246" s="43">
        <f t="shared" si="133"/>
        <v>-24.427450201331709</v>
      </c>
      <c r="T246" s="43">
        <f t="shared" si="133"/>
        <v>2.9799999999999898</v>
      </c>
      <c r="U246" s="43">
        <f t="shared" si="133"/>
        <v>225.42999999999992</v>
      </c>
      <c r="V246" s="43">
        <f t="shared" si="131"/>
        <v>-42.047754654335449</v>
      </c>
      <c r="W246" s="48">
        <f t="shared" si="131"/>
        <v>119.66837407658585</v>
      </c>
    </row>
    <row r="247" spans="1:23" s="3" customFormat="1" ht="9" customHeight="1" x14ac:dyDescent="0.2">
      <c r="A247" s="80" t="s">
        <v>366</v>
      </c>
      <c r="B247" s="81"/>
      <c r="C247" s="111" t="s">
        <v>413</v>
      </c>
      <c r="D247" s="112"/>
      <c r="E247" s="112"/>
      <c r="F247" s="112"/>
      <c r="G247" s="113"/>
      <c r="H247" s="1" t="s">
        <v>5</v>
      </c>
      <c r="I247" s="36">
        <v>0.39</v>
      </c>
      <c r="J247" s="36">
        <v>0.61</v>
      </c>
      <c r="K247" s="36">
        <v>0.61</v>
      </c>
      <c r="L247" s="43">
        <v>0.24</v>
      </c>
      <c r="M247" s="43">
        <v>0.24</v>
      </c>
      <c r="N247" s="43">
        <v>0.5</v>
      </c>
      <c r="O247" s="43">
        <v>0.5</v>
      </c>
      <c r="P247" s="43">
        <v>2.0499999999999998</v>
      </c>
      <c r="Q247" s="43">
        <v>2.0499999999999998</v>
      </c>
      <c r="R247" s="43">
        <v>3.48</v>
      </c>
      <c r="S247" s="43">
        <v>3.48</v>
      </c>
      <c r="T247" s="43">
        <v>8.5</v>
      </c>
      <c r="U247" s="43">
        <v>8.5</v>
      </c>
      <c r="V247" s="43">
        <f t="shared" si="127"/>
        <v>14.77</v>
      </c>
      <c r="W247" s="48">
        <f t="shared" si="127"/>
        <v>14.77</v>
      </c>
    </row>
    <row r="248" spans="1:23" s="3" customFormat="1" ht="9" customHeight="1" thickBot="1" x14ac:dyDescent="0.25">
      <c r="A248" s="91" t="s">
        <v>367</v>
      </c>
      <c r="B248" s="92"/>
      <c r="C248" s="185" t="s">
        <v>414</v>
      </c>
      <c r="D248" s="186"/>
      <c r="E248" s="186"/>
      <c r="F248" s="186"/>
      <c r="G248" s="187"/>
      <c r="H248" s="23" t="s">
        <v>5</v>
      </c>
      <c r="I248" s="39">
        <v>0.61</v>
      </c>
      <c r="J248" s="39">
        <v>2.15</v>
      </c>
      <c r="K248" s="39">
        <v>0.24</v>
      </c>
      <c r="L248" s="45">
        <v>0.5</v>
      </c>
      <c r="M248" s="45">
        <v>0.5</v>
      </c>
      <c r="N248" s="45">
        <v>2.0499999999999998</v>
      </c>
      <c r="O248" s="45">
        <v>2.0499999999999998</v>
      </c>
      <c r="P248" s="45">
        <v>3.48</v>
      </c>
      <c r="Q248" s="45">
        <v>3.48</v>
      </c>
      <c r="R248" s="45">
        <v>8.5</v>
      </c>
      <c r="S248" s="45">
        <v>8.5</v>
      </c>
      <c r="T248" s="45">
        <v>11.48</v>
      </c>
      <c r="U248" s="45">
        <v>11.48</v>
      </c>
      <c r="V248" s="45">
        <f t="shared" si="127"/>
        <v>26.009999999999998</v>
      </c>
      <c r="W248" s="45">
        <f t="shared" si="127"/>
        <v>26.009999999999998</v>
      </c>
    </row>
    <row r="249" spans="1:23" s="3" customFormat="1" ht="9" customHeight="1" x14ac:dyDescent="0.2">
      <c r="A249" s="161" t="s">
        <v>368</v>
      </c>
      <c r="B249" s="162"/>
      <c r="C249" s="163" t="s">
        <v>110</v>
      </c>
      <c r="D249" s="164"/>
      <c r="E249" s="164"/>
      <c r="F249" s="164"/>
      <c r="G249" s="165"/>
      <c r="H249" s="24" t="s">
        <v>475</v>
      </c>
      <c r="I249" s="181"/>
      <c r="J249" s="181"/>
      <c r="K249" s="181"/>
      <c r="L249" s="188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>
        <v>0</v>
      </c>
      <c r="W249" s="48">
        <f t="shared" si="127"/>
        <v>0</v>
      </c>
    </row>
    <row r="250" spans="1:23" s="3" customFormat="1" ht="8.4499999999999993" customHeight="1" x14ac:dyDescent="0.2">
      <c r="A250" s="80" t="s">
        <v>369</v>
      </c>
      <c r="B250" s="81"/>
      <c r="C250" s="85" t="s">
        <v>415</v>
      </c>
      <c r="D250" s="86"/>
      <c r="E250" s="86"/>
      <c r="F250" s="86"/>
      <c r="G250" s="87"/>
      <c r="H250" s="1" t="s">
        <v>5</v>
      </c>
      <c r="I250" s="36">
        <v>77.47</v>
      </c>
      <c r="J250" s="36">
        <f>J267</f>
        <v>91.62</v>
      </c>
      <c r="K250" s="36">
        <v>197.27</v>
      </c>
      <c r="L250" s="43">
        <f>L251+L259+L261+L263+L265+L267+L269+L271+L277</f>
        <v>68.2</v>
      </c>
      <c r="M250" s="43">
        <f t="shared" ref="M250:W250" si="134">M251+M259+M261+M263+M265+M267+M269+M271+M277</f>
        <v>164.99792693000001</v>
      </c>
      <c r="N250" s="43">
        <f t="shared" si="134"/>
        <v>56.379999999999995</v>
      </c>
      <c r="O250" s="43">
        <f t="shared" si="134"/>
        <v>56.379999999999995</v>
      </c>
      <c r="P250" s="43">
        <f t="shared" si="134"/>
        <v>50</v>
      </c>
      <c r="Q250" s="43">
        <f t="shared" si="134"/>
        <v>50</v>
      </c>
      <c r="R250" s="43">
        <f t="shared" si="134"/>
        <v>50</v>
      </c>
      <c r="S250" s="43">
        <f t="shared" si="134"/>
        <v>50</v>
      </c>
      <c r="T250" s="43">
        <f t="shared" si="134"/>
        <v>261.52999999999997</v>
      </c>
      <c r="U250" s="43">
        <f t="shared" si="134"/>
        <v>261.52999999999997</v>
      </c>
      <c r="V250" s="43">
        <f t="shared" si="134"/>
        <v>486.11</v>
      </c>
      <c r="W250" s="43">
        <f t="shared" si="134"/>
        <v>582.90792693000003</v>
      </c>
    </row>
    <row r="251" spans="1:23" s="3" customFormat="1" ht="8.1" customHeight="1" x14ac:dyDescent="0.2">
      <c r="A251" s="80" t="s">
        <v>370</v>
      </c>
      <c r="B251" s="81"/>
      <c r="C251" s="77" t="s">
        <v>416</v>
      </c>
      <c r="D251" s="78"/>
      <c r="E251" s="78"/>
      <c r="F251" s="78"/>
      <c r="G251" s="79"/>
      <c r="H251" s="1" t="s">
        <v>5</v>
      </c>
      <c r="I251" s="36"/>
      <c r="J251" s="36"/>
      <c r="K251" s="36"/>
      <c r="L251" s="43">
        <f>L253+L255+L257</f>
        <v>0</v>
      </c>
      <c r="M251" s="43">
        <f t="shared" ref="M251:U252" si="135">M253+M255+M257</f>
        <v>0</v>
      </c>
      <c r="N251" s="43">
        <f t="shared" si="135"/>
        <v>0</v>
      </c>
      <c r="O251" s="43">
        <f t="shared" si="135"/>
        <v>0</v>
      </c>
      <c r="P251" s="43">
        <f t="shared" si="135"/>
        <v>0</v>
      </c>
      <c r="Q251" s="43">
        <f t="shared" si="135"/>
        <v>0</v>
      </c>
      <c r="R251" s="43">
        <f t="shared" si="135"/>
        <v>0</v>
      </c>
      <c r="S251" s="43">
        <f t="shared" si="135"/>
        <v>0</v>
      </c>
      <c r="T251" s="43">
        <f t="shared" si="135"/>
        <v>0</v>
      </c>
      <c r="U251" s="43">
        <f t="shared" si="135"/>
        <v>0</v>
      </c>
      <c r="V251" s="43">
        <f t="shared" ref="V251:W260" si="136">L251+N251+P251+R251+T251</f>
        <v>0</v>
      </c>
      <c r="W251" s="48">
        <f t="shared" si="136"/>
        <v>0</v>
      </c>
    </row>
    <row r="252" spans="1:23" s="3" customFormat="1" ht="8.1" customHeight="1" x14ac:dyDescent="0.2">
      <c r="A252" s="80" t="s">
        <v>371</v>
      </c>
      <c r="B252" s="81"/>
      <c r="C252" s="96" t="s">
        <v>417</v>
      </c>
      <c r="D252" s="97"/>
      <c r="E252" s="97"/>
      <c r="F252" s="97"/>
      <c r="G252" s="98"/>
      <c r="H252" s="1" t="s">
        <v>5</v>
      </c>
      <c r="I252" s="36"/>
      <c r="J252" s="36"/>
      <c r="K252" s="36"/>
      <c r="L252" s="43">
        <f>L254+L256+L258</f>
        <v>0</v>
      </c>
      <c r="M252" s="43">
        <f t="shared" si="135"/>
        <v>0</v>
      </c>
      <c r="N252" s="43">
        <f t="shared" si="135"/>
        <v>0</v>
      </c>
      <c r="O252" s="43">
        <f t="shared" si="135"/>
        <v>0</v>
      </c>
      <c r="P252" s="43">
        <f t="shared" si="135"/>
        <v>0</v>
      </c>
      <c r="Q252" s="43">
        <f t="shared" si="135"/>
        <v>0</v>
      </c>
      <c r="R252" s="43">
        <f t="shared" si="135"/>
        <v>0</v>
      </c>
      <c r="S252" s="43">
        <f t="shared" si="135"/>
        <v>0</v>
      </c>
      <c r="T252" s="43">
        <f t="shared" si="135"/>
        <v>0</v>
      </c>
      <c r="U252" s="43">
        <f t="shared" si="135"/>
        <v>0</v>
      </c>
      <c r="V252" s="43">
        <f t="shared" si="136"/>
        <v>0</v>
      </c>
      <c r="W252" s="48">
        <f t="shared" si="136"/>
        <v>0</v>
      </c>
    </row>
    <row r="253" spans="1:23" s="3" customFormat="1" ht="16.5" customHeight="1" x14ac:dyDescent="0.2">
      <c r="A253" s="80" t="s">
        <v>372</v>
      </c>
      <c r="B253" s="81"/>
      <c r="C253" s="96" t="s">
        <v>47</v>
      </c>
      <c r="D253" s="97"/>
      <c r="E253" s="97"/>
      <c r="F253" s="97"/>
      <c r="G253" s="98"/>
      <c r="H253" s="1" t="s">
        <v>5</v>
      </c>
      <c r="I253" s="36"/>
      <c r="J253" s="36"/>
      <c r="K253" s="36"/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v>0</v>
      </c>
      <c r="T253" s="43">
        <v>0</v>
      </c>
      <c r="U253" s="43">
        <v>0</v>
      </c>
      <c r="V253" s="43">
        <f t="shared" si="136"/>
        <v>0</v>
      </c>
      <c r="W253" s="48">
        <f t="shared" si="136"/>
        <v>0</v>
      </c>
    </row>
    <row r="254" spans="1:23" s="3" customFormat="1" ht="8.1" customHeight="1" x14ac:dyDescent="0.2">
      <c r="A254" s="80" t="s">
        <v>373</v>
      </c>
      <c r="B254" s="81"/>
      <c r="C254" s="99" t="s">
        <v>417</v>
      </c>
      <c r="D254" s="100"/>
      <c r="E254" s="100"/>
      <c r="F254" s="100"/>
      <c r="G254" s="101"/>
      <c r="H254" s="1" t="s">
        <v>5</v>
      </c>
      <c r="I254" s="36"/>
      <c r="J254" s="36"/>
      <c r="K254" s="36"/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  <c r="R254" s="43">
        <v>0</v>
      </c>
      <c r="S254" s="43">
        <v>0</v>
      </c>
      <c r="T254" s="43">
        <v>0</v>
      </c>
      <c r="U254" s="43">
        <v>0</v>
      </c>
      <c r="V254" s="43">
        <f t="shared" si="136"/>
        <v>0</v>
      </c>
      <c r="W254" s="48">
        <f t="shared" si="136"/>
        <v>0</v>
      </c>
    </row>
    <row r="255" spans="1:23" s="3" customFormat="1" ht="16.5" customHeight="1" x14ac:dyDescent="0.2">
      <c r="A255" s="80" t="s">
        <v>374</v>
      </c>
      <c r="B255" s="81"/>
      <c r="C255" s="96" t="s">
        <v>52</v>
      </c>
      <c r="D255" s="97"/>
      <c r="E255" s="97"/>
      <c r="F255" s="97"/>
      <c r="G255" s="98"/>
      <c r="H255" s="1" t="s">
        <v>5</v>
      </c>
      <c r="I255" s="36"/>
      <c r="J255" s="36"/>
      <c r="K255" s="36"/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f t="shared" si="136"/>
        <v>0</v>
      </c>
      <c r="W255" s="48">
        <f t="shared" si="136"/>
        <v>0</v>
      </c>
    </row>
    <row r="256" spans="1:23" s="3" customFormat="1" ht="8.1" customHeight="1" x14ac:dyDescent="0.2">
      <c r="A256" s="80" t="s">
        <v>375</v>
      </c>
      <c r="B256" s="81"/>
      <c r="C256" s="99" t="s">
        <v>417</v>
      </c>
      <c r="D256" s="100"/>
      <c r="E256" s="100"/>
      <c r="F256" s="100"/>
      <c r="G256" s="101"/>
      <c r="H256" s="1" t="s">
        <v>5</v>
      </c>
      <c r="I256" s="36"/>
      <c r="J256" s="36"/>
      <c r="K256" s="36"/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f t="shared" si="136"/>
        <v>0</v>
      </c>
      <c r="W256" s="48">
        <f t="shared" si="136"/>
        <v>0</v>
      </c>
    </row>
    <row r="257" spans="1:23" s="3" customFormat="1" ht="16.5" customHeight="1" x14ac:dyDescent="0.2">
      <c r="A257" s="80" t="s">
        <v>376</v>
      </c>
      <c r="B257" s="81"/>
      <c r="C257" s="96" t="s">
        <v>53</v>
      </c>
      <c r="D257" s="97"/>
      <c r="E257" s="97"/>
      <c r="F257" s="97"/>
      <c r="G257" s="98"/>
      <c r="H257" s="1" t="s">
        <v>5</v>
      </c>
      <c r="I257" s="36"/>
      <c r="J257" s="36"/>
      <c r="K257" s="36"/>
      <c r="L257" s="43">
        <v>0</v>
      </c>
      <c r="M257" s="43">
        <v>0</v>
      </c>
      <c r="N257" s="43">
        <v>0</v>
      </c>
      <c r="O257" s="43">
        <v>0</v>
      </c>
      <c r="P257" s="43">
        <v>0</v>
      </c>
      <c r="Q257" s="43">
        <v>0</v>
      </c>
      <c r="R257" s="43">
        <v>0</v>
      </c>
      <c r="S257" s="43">
        <v>0</v>
      </c>
      <c r="T257" s="43">
        <v>0</v>
      </c>
      <c r="U257" s="43">
        <v>0</v>
      </c>
      <c r="V257" s="43">
        <f t="shared" si="136"/>
        <v>0</v>
      </c>
      <c r="W257" s="48">
        <f t="shared" si="136"/>
        <v>0</v>
      </c>
    </row>
    <row r="258" spans="1:23" s="3" customFormat="1" ht="8.1" customHeight="1" x14ac:dyDescent="0.2">
      <c r="A258" s="80" t="s">
        <v>377</v>
      </c>
      <c r="B258" s="81"/>
      <c r="C258" s="99" t="s">
        <v>417</v>
      </c>
      <c r="D258" s="100"/>
      <c r="E258" s="100"/>
      <c r="F258" s="100"/>
      <c r="G258" s="101"/>
      <c r="H258" s="1" t="s">
        <v>5</v>
      </c>
      <c r="I258" s="36"/>
      <c r="J258" s="36"/>
      <c r="K258" s="36"/>
      <c r="L258" s="43">
        <v>0</v>
      </c>
      <c r="M258" s="43">
        <v>0</v>
      </c>
      <c r="N258" s="43">
        <v>0</v>
      </c>
      <c r="O258" s="43">
        <v>0</v>
      </c>
      <c r="P258" s="43">
        <v>0</v>
      </c>
      <c r="Q258" s="43">
        <v>0</v>
      </c>
      <c r="R258" s="43">
        <v>0</v>
      </c>
      <c r="S258" s="43">
        <v>0</v>
      </c>
      <c r="T258" s="43">
        <v>0</v>
      </c>
      <c r="U258" s="43">
        <v>0</v>
      </c>
      <c r="V258" s="43">
        <f t="shared" si="136"/>
        <v>0</v>
      </c>
      <c r="W258" s="48">
        <f t="shared" si="136"/>
        <v>0</v>
      </c>
    </row>
    <row r="259" spans="1:23" s="3" customFormat="1" ht="8.1" customHeight="1" x14ac:dyDescent="0.2">
      <c r="A259" s="80" t="s">
        <v>378</v>
      </c>
      <c r="B259" s="81"/>
      <c r="C259" s="77" t="s">
        <v>418</v>
      </c>
      <c r="D259" s="78"/>
      <c r="E259" s="78"/>
      <c r="F259" s="78"/>
      <c r="G259" s="79"/>
      <c r="H259" s="1" t="s">
        <v>5</v>
      </c>
      <c r="I259" s="36"/>
      <c r="J259" s="36"/>
      <c r="K259" s="36"/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  <c r="R259" s="43">
        <v>0</v>
      </c>
      <c r="S259" s="43">
        <v>0</v>
      </c>
      <c r="T259" s="43">
        <v>0</v>
      </c>
      <c r="U259" s="43">
        <v>0</v>
      </c>
      <c r="V259" s="43">
        <f t="shared" si="136"/>
        <v>0</v>
      </c>
      <c r="W259" s="48">
        <f t="shared" si="136"/>
        <v>0</v>
      </c>
    </row>
    <row r="260" spans="1:23" s="3" customFormat="1" ht="8.1" customHeight="1" x14ac:dyDescent="0.2">
      <c r="A260" s="80" t="s">
        <v>379</v>
      </c>
      <c r="B260" s="81"/>
      <c r="C260" s="96" t="s">
        <v>417</v>
      </c>
      <c r="D260" s="97"/>
      <c r="E260" s="97"/>
      <c r="F260" s="97"/>
      <c r="G260" s="98"/>
      <c r="H260" s="1" t="s">
        <v>5</v>
      </c>
      <c r="I260" s="36"/>
      <c r="J260" s="36"/>
      <c r="K260" s="36"/>
      <c r="L260" s="43">
        <v>0</v>
      </c>
      <c r="M260" s="43">
        <v>0</v>
      </c>
      <c r="N260" s="43">
        <v>0</v>
      </c>
      <c r="O260" s="43">
        <v>0</v>
      </c>
      <c r="P260" s="43">
        <v>0</v>
      </c>
      <c r="Q260" s="43">
        <v>0</v>
      </c>
      <c r="R260" s="43">
        <v>0</v>
      </c>
      <c r="S260" s="43">
        <v>0</v>
      </c>
      <c r="T260" s="43">
        <v>0</v>
      </c>
      <c r="U260" s="43">
        <v>0</v>
      </c>
      <c r="V260" s="43">
        <f t="shared" si="136"/>
        <v>0</v>
      </c>
      <c r="W260" s="48">
        <f t="shared" si="136"/>
        <v>0</v>
      </c>
    </row>
    <row r="261" spans="1:23" s="3" customFormat="1" ht="8.1" customHeight="1" x14ac:dyDescent="0.2">
      <c r="A261" s="80" t="s">
        <v>380</v>
      </c>
      <c r="B261" s="81"/>
      <c r="C261" s="77" t="s">
        <v>419</v>
      </c>
      <c r="D261" s="78"/>
      <c r="E261" s="78"/>
      <c r="F261" s="78"/>
      <c r="G261" s="79"/>
      <c r="H261" s="1" t="s">
        <v>5</v>
      </c>
      <c r="I261" s="36"/>
      <c r="J261" s="36"/>
      <c r="K261" s="36">
        <v>17.59</v>
      </c>
      <c r="L261" s="43">
        <v>20</v>
      </c>
      <c r="M261" s="43">
        <f>[6]ДЗ_КЗ!$H$10+[6]ДЗ_КЗ!$H$11</f>
        <v>2.11400962</v>
      </c>
      <c r="N261" s="43">
        <v>20</v>
      </c>
      <c r="O261" s="43">
        <v>20</v>
      </c>
      <c r="P261" s="43">
        <v>20</v>
      </c>
      <c r="Q261" s="43">
        <v>20</v>
      </c>
      <c r="R261" s="43">
        <v>20</v>
      </c>
      <c r="S261" s="43">
        <v>20</v>
      </c>
      <c r="T261" s="43">
        <v>20</v>
      </c>
      <c r="U261" s="43">
        <v>20</v>
      </c>
      <c r="V261" s="43">
        <f t="shared" si="127"/>
        <v>100</v>
      </c>
      <c r="W261" s="48">
        <f t="shared" si="127"/>
        <v>82.114009620000004</v>
      </c>
    </row>
    <row r="262" spans="1:23" s="3" customFormat="1" ht="8.1" customHeight="1" x14ac:dyDescent="0.2">
      <c r="A262" s="80" t="s">
        <v>381</v>
      </c>
      <c r="B262" s="81"/>
      <c r="C262" s="96" t="s">
        <v>417</v>
      </c>
      <c r="D262" s="97"/>
      <c r="E262" s="97"/>
      <c r="F262" s="97"/>
      <c r="G262" s="98"/>
      <c r="H262" s="1" t="s">
        <v>5</v>
      </c>
      <c r="I262" s="36"/>
      <c r="J262" s="36"/>
      <c r="K262" s="36"/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8">
        <f t="shared" si="127"/>
        <v>0</v>
      </c>
    </row>
    <row r="263" spans="1:23" s="3" customFormat="1" ht="8.1" customHeight="1" x14ac:dyDescent="0.2">
      <c r="A263" s="80" t="s">
        <v>382</v>
      </c>
      <c r="B263" s="81"/>
      <c r="C263" s="77" t="s">
        <v>420</v>
      </c>
      <c r="D263" s="78"/>
      <c r="E263" s="78"/>
      <c r="F263" s="78"/>
      <c r="G263" s="79"/>
      <c r="H263" s="1" t="s">
        <v>5</v>
      </c>
      <c r="I263" s="36"/>
      <c r="J263" s="36"/>
      <c r="K263" s="36"/>
      <c r="L263" s="43">
        <v>0</v>
      </c>
      <c r="M263" s="43">
        <v>0</v>
      </c>
      <c r="N263" s="43">
        <v>0</v>
      </c>
      <c r="O263" s="43">
        <v>0</v>
      </c>
      <c r="P263" s="43">
        <v>0</v>
      </c>
      <c r="Q263" s="43">
        <v>0</v>
      </c>
      <c r="R263" s="43">
        <v>0</v>
      </c>
      <c r="S263" s="43">
        <v>0</v>
      </c>
      <c r="T263" s="43">
        <v>0</v>
      </c>
      <c r="U263" s="43">
        <v>0</v>
      </c>
      <c r="V263" s="43">
        <v>0</v>
      </c>
      <c r="W263" s="48">
        <f t="shared" si="127"/>
        <v>0</v>
      </c>
    </row>
    <row r="264" spans="1:23" s="3" customFormat="1" ht="8.1" customHeight="1" x14ac:dyDescent="0.2">
      <c r="A264" s="80" t="s">
        <v>383</v>
      </c>
      <c r="B264" s="81"/>
      <c r="C264" s="96" t="s">
        <v>417</v>
      </c>
      <c r="D264" s="97"/>
      <c r="E264" s="97"/>
      <c r="F264" s="97"/>
      <c r="G264" s="98"/>
      <c r="H264" s="1" t="s">
        <v>5</v>
      </c>
      <c r="I264" s="36"/>
      <c r="J264" s="36"/>
      <c r="K264" s="36"/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  <c r="R264" s="43">
        <v>0</v>
      </c>
      <c r="S264" s="43">
        <v>0</v>
      </c>
      <c r="T264" s="43">
        <v>0</v>
      </c>
      <c r="U264" s="43">
        <v>0</v>
      </c>
      <c r="V264" s="43">
        <v>0</v>
      </c>
      <c r="W264" s="48">
        <f t="shared" si="127"/>
        <v>0</v>
      </c>
    </row>
    <row r="265" spans="1:23" s="3" customFormat="1" ht="8.1" customHeight="1" x14ac:dyDescent="0.2">
      <c r="A265" s="80" t="s">
        <v>384</v>
      </c>
      <c r="B265" s="81"/>
      <c r="C265" s="77" t="s">
        <v>421</v>
      </c>
      <c r="D265" s="78"/>
      <c r="E265" s="78"/>
      <c r="F265" s="78"/>
      <c r="G265" s="79"/>
      <c r="H265" s="1" t="s">
        <v>5</v>
      </c>
      <c r="I265" s="36">
        <v>30</v>
      </c>
      <c r="J265" s="36"/>
      <c r="K265" s="36">
        <v>18.2</v>
      </c>
      <c r="L265" s="43">
        <v>18.2</v>
      </c>
      <c r="M265" s="43">
        <f>[6]ДЗ_КЗ!$H$14</f>
        <v>92.691355560000005</v>
      </c>
      <c r="N265" s="43">
        <v>6.38</v>
      </c>
      <c r="O265" s="43">
        <v>6.38</v>
      </c>
      <c r="P265" s="43"/>
      <c r="Q265" s="43"/>
      <c r="R265" s="43"/>
      <c r="S265" s="43"/>
      <c r="T265" s="43">
        <v>211.53</v>
      </c>
      <c r="U265" s="43">
        <v>211.53</v>
      </c>
      <c r="V265" s="43">
        <f>L265+N265+P265+R265+T265</f>
        <v>236.11</v>
      </c>
      <c r="W265" s="48">
        <f t="shared" si="127"/>
        <v>310.60135556</v>
      </c>
    </row>
    <row r="266" spans="1:23" s="3" customFormat="1" ht="8.1" customHeight="1" x14ac:dyDescent="0.2">
      <c r="A266" s="80" t="s">
        <v>385</v>
      </c>
      <c r="B266" s="81"/>
      <c r="C266" s="96" t="s">
        <v>417</v>
      </c>
      <c r="D266" s="97"/>
      <c r="E266" s="97"/>
      <c r="F266" s="97"/>
      <c r="G266" s="98"/>
      <c r="H266" s="1" t="s">
        <v>5</v>
      </c>
      <c r="I266" s="36"/>
      <c r="J266" s="36"/>
      <c r="K266" s="36"/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  <c r="R266" s="43">
        <v>0</v>
      </c>
      <c r="S266" s="43">
        <v>0</v>
      </c>
      <c r="T266" s="43">
        <v>0</v>
      </c>
      <c r="U266" s="43">
        <v>0</v>
      </c>
      <c r="V266" s="43">
        <v>0</v>
      </c>
      <c r="W266" s="48">
        <f t="shared" si="127"/>
        <v>0</v>
      </c>
    </row>
    <row r="267" spans="1:23" s="3" customFormat="1" ht="8.1" customHeight="1" x14ac:dyDescent="0.2">
      <c r="A267" s="80" t="s">
        <v>386</v>
      </c>
      <c r="B267" s="81"/>
      <c r="C267" s="77" t="s">
        <v>422</v>
      </c>
      <c r="D267" s="78"/>
      <c r="E267" s="78"/>
      <c r="F267" s="78"/>
      <c r="G267" s="79"/>
      <c r="H267" s="1" t="s">
        <v>5</v>
      </c>
      <c r="I267" s="36">
        <v>21.82</v>
      </c>
      <c r="J267" s="36">
        <v>91.62</v>
      </c>
      <c r="K267" s="36">
        <v>27.62</v>
      </c>
      <c r="L267" s="43">
        <v>30</v>
      </c>
      <c r="M267" s="43">
        <f>[6]ДЗ_КЗ!$H$17+[6]ДЗ_КЗ!$H$18</f>
        <v>38.011773499999997</v>
      </c>
      <c r="N267" s="43">
        <v>30</v>
      </c>
      <c r="O267" s="43">
        <v>30</v>
      </c>
      <c r="P267" s="43">
        <v>30</v>
      </c>
      <c r="Q267" s="43">
        <v>30</v>
      </c>
      <c r="R267" s="43">
        <v>30</v>
      </c>
      <c r="S267" s="43">
        <v>30</v>
      </c>
      <c r="T267" s="43">
        <v>30</v>
      </c>
      <c r="U267" s="43">
        <v>30</v>
      </c>
      <c r="V267" s="43">
        <f t="shared" si="127"/>
        <v>150</v>
      </c>
      <c r="W267" s="48">
        <f t="shared" si="127"/>
        <v>158.0117735</v>
      </c>
    </row>
    <row r="268" spans="1:23" s="3" customFormat="1" ht="8.1" customHeight="1" x14ac:dyDescent="0.2">
      <c r="A268" s="80" t="s">
        <v>387</v>
      </c>
      <c r="B268" s="81"/>
      <c r="C268" s="96" t="s">
        <v>417</v>
      </c>
      <c r="D268" s="97"/>
      <c r="E268" s="97"/>
      <c r="F268" s="97"/>
      <c r="G268" s="98"/>
      <c r="H268" s="1" t="s">
        <v>5</v>
      </c>
      <c r="I268" s="36">
        <v>18.79</v>
      </c>
      <c r="J268" s="36"/>
      <c r="K268" s="36"/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3">
        <v>0</v>
      </c>
      <c r="S268" s="43">
        <v>0</v>
      </c>
      <c r="T268" s="43">
        <v>0</v>
      </c>
      <c r="U268" s="43">
        <v>0</v>
      </c>
      <c r="V268" s="43">
        <v>0</v>
      </c>
      <c r="W268" s="48">
        <f t="shared" si="127"/>
        <v>0</v>
      </c>
    </row>
    <row r="269" spans="1:23" s="3" customFormat="1" ht="8.1" customHeight="1" x14ac:dyDescent="0.2">
      <c r="A269" s="80" t="s">
        <v>386</v>
      </c>
      <c r="B269" s="81"/>
      <c r="C269" s="77" t="s">
        <v>423</v>
      </c>
      <c r="D269" s="78"/>
      <c r="E269" s="78"/>
      <c r="F269" s="78"/>
      <c r="G269" s="79"/>
      <c r="H269" s="1" t="s">
        <v>5</v>
      </c>
      <c r="I269" s="36"/>
      <c r="J269" s="36"/>
      <c r="K269" s="36"/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8">
        <f t="shared" si="127"/>
        <v>0</v>
      </c>
    </row>
    <row r="270" spans="1:23" s="3" customFormat="1" ht="8.1" customHeight="1" x14ac:dyDescent="0.2">
      <c r="A270" s="80" t="s">
        <v>388</v>
      </c>
      <c r="B270" s="81"/>
      <c r="C270" s="96" t="s">
        <v>417</v>
      </c>
      <c r="D270" s="97"/>
      <c r="E270" s="97"/>
      <c r="F270" s="97"/>
      <c r="G270" s="98"/>
      <c r="H270" s="1" t="s">
        <v>5</v>
      </c>
      <c r="I270" s="36"/>
      <c r="J270" s="36"/>
      <c r="K270" s="36"/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8">
        <f t="shared" si="127"/>
        <v>0</v>
      </c>
    </row>
    <row r="271" spans="1:23" s="3" customFormat="1" ht="16.5" customHeight="1" x14ac:dyDescent="0.2">
      <c r="A271" s="80" t="s">
        <v>389</v>
      </c>
      <c r="B271" s="81"/>
      <c r="C271" s="77" t="s">
        <v>669</v>
      </c>
      <c r="D271" s="78"/>
      <c r="E271" s="78"/>
      <c r="F271" s="78"/>
      <c r="G271" s="79"/>
      <c r="H271" s="1" t="s">
        <v>5</v>
      </c>
      <c r="I271" s="36"/>
      <c r="J271" s="36"/>
      <c r="K271" s="36"/>
      <c r="L271" s="43">
        <f>L273+L275</f>
        <v>0</v>
      </c>
      <c r="M271" s="43">
        <f t="shared" ref="M271:U272" si="137">M273+M275</f>
        <v>0</v>
      </c>
      <c r="N271" s="43">
        <f t="shared" si="137"/>
        <v>0</v>
      </c>
      <c r="O271" s="43">
        <f t="shared" si="137"/>
        <v>0</v>
      </c>
      <c r="P271" s="43">
        <f t="shared" si="137"/>
        <v>0</v>
      </c>
      <c r="Q271" s="43">
        <f t="shared" si="137"/>
        <v>0</v>
      </c>
      <c r="R271" s="43">
        <f t="shared" si="137"/>
        <v>0</v>
      </c>
      <c r="S271" s="43">
        <f t="shared" si="137"/>
        <v>0</v>
      </c>
      <c r="T271" s="43">
        <f t="shared" si="137"/>
        <v>0</v>
      </c>
      <c r="U271" s="43">
        <f t="shared" si="137"/>
        <v>0</v>
      </c>
      <c r="V271" s="43">
        <v>0</v>
      </c>
      <c r="W271" s="48">
        <f t="shared" si="127"/>
        <v>0</v>
      </c>
    </row>
    <row r="272" spans="1:23" s="3" customFormat="1" ht="8.1" customHeight="1" x14ac:dyDescent="0.2">
      <c r="A272" s="80" t="s">
        <v>390</v>
      </c>
      <c r="B272" s="81"/>
      <c r="C272" s="96" t="s">
        <v>417</v>
      </c>
      <c r="D272" s="97"/>
      <c r="E272" s="97"/>
      <c r="F272" s="97"/>
      <c r="G272" s="98"/>
      <c r="H272" s="1" t="s">
        <v>5</v>
      </c>
      <c r="I272" s="36"/>
      <c r="J272" s="36"/>
      <c r="K272" s="36"/>
      <c r="L272" s="43">
        <f>L274+L276</f>
        <v>0</v>
      </c>
      <c r="M272" s="43">
        <f t="shared" si="137"/>
        <v>0</v>
      </c>
      <c r="N272" s="43">
        <f t="shared" si="137"/>
        <v>0</v>
      </c>
      <c r="O272" s="43">
        <f t="shared" si="137"/>
        <v>0</v>
      </c>
      <c r="P272" s="43">
        <f t="shared" si="137"/>
        <v>0</v>
      </c>
      <c r="Q272" s="43">
        <f t="shared" si="137"/>
        <v>0</v>
      </c>
      <c r="R272" s="43">
        <f t="shared" si="137"/>
        <v>0</v>
      </c>
      <c r="S272" s="43">
        <f t="shared" si="137"/>
        <v>0</v>
      </c>
      <c r="T272" s="43">
        <f t="shared" si="137"/>
        <v>0</v>
      </c>
      <c r="U272" s="43">
        <f t="shared" si="137"/>
        <v>0</v>
      </c>
      <c r="V272" s="43">
        <v>0</v>
      </c>
      <c r="W272" s="48">
        <f t="shared" si="127"/>
        <v>0</v>
      </c>
    </row>
    <row r="273" spans="1:23" s="3" customFormat="1" ht="8.1" customHeight="1" x14ac:dyDescent="0.2">
      <c r="A273" s="80" t="s">
        <v>391</v>
      </c>
      <c r="B273" s="81"/>
      <c r="C273" s="96" t="s">
        <v>82</v>
      </c>
      <c r="D273" s="97"/>
      <c r="E273" s="97"/>
      <c r="F273" s="97"/>
      <c r="G273" s="98"/>
      <c r="H273" s="1" t="s">
        <v>5</v>
      </c>
      <c r="I273" s="36"/>
      <c r="J273" s="36"/>
      <c r="K273" s="36"/>
      <c r="L273" s="43">
        <v>0</v>
      </c>
      <c r="M273" s="43">
        <v>0</v>
      </c>
      <c r="N273" s="43">
        <v>0</v>
      </c>
      <c r="O273" s="43">
        <v>0</v>
      </c>
      <c r="P273" s="43">
        <v>0</v>
      </c>
      <c r="Q273" s="43">
        <v>0</v>
      </c>
      <c r="R273" s="43">
        <v>0</v>
      </c>
      <c r="S273" s="43">
        <v>0</v>
      </c>
      <c r="T273" s="43">
        <v>0</v>
      </c>
      <c r="U273" s="43">
        <v>0</v>
      </c>
      <c r="V273" s="43">
        <v>0</v>
      </c>
      <c r="W273" s="48">
        <f t="shared" si="127"/>
        <v>0</v>
      </c>
    </row>
    <row r="274" spans="1:23" s="3" customFormat="1" ht="8.1" customHeight="1" x14ac:dyDescent="0.2">
      <c r="A274" s="80" t="s">
        <v>392</v>
      </c>
      <c r="B274" s="81"/>
      <c r="C274" s="99" t="s">
        <v>417</v>
      </c>
      <c r="D274" s="100"/>
      <c r="E274" s="100"/>
      <c r="F274" s="100"/>
      <c r="G274" s="101"/>
      <c r="H274" s="1" t="s">
        <v>5</v>
      </c>
      <c r="I274" s="36"/>
      <c r="J274" s="36"/>
      <c r="K274" s="36"/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  <c r="R274" s="43">
        <v>0</v>
      </c>
      <c r="S274" s="43">
        <v>0</v>
      </c>
      <c r="T274" s="43">
        <v>0</v>
      </c>
      <c r="U274" s="43">
        <v>0</v>
      </c>
      <c r="V274" s="43">
        <v>0</v>
      </c>
      <c r="W274" s="48">
        <f t="shared" si="127"/>
        <v>0</v>
      </c>
    </row>
    <row r="275" spans="1:23" s="3" customFormat="1" ht="8.1" customHeight="1" x14ac:dyDescent="0.2">
      <c r="A275" s="80" t="s">
        <v>393</v>
      </c>
      <c r="B275" s="81"/>
      <c r="C275" s="96" t="s">
        <v>83</v>
      </c>
      <c r="D275" s="97"/>
      <c r="E275" s="97"/>
      <c r="F275" s="97"/>
      <c r="G275" s="98"/>
      <c r="H275" s="1" t="s">
        <v>5</v>
      </c>
      <c r="I275" s="36"/>
      <c r="J275" s="36"/>
      <c r="K275" s="36"/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43">
        <v>0</v>
      </c>
      <c r="R275" s="43">
        <v>0</v>
      </c>
      <c r="S275" s="43">
        <v>0</v>
      </c>
      <c r="T275" s="43">
        <v>0</v>
      </c>
      <c r="U275" s="43">
        <v>0</v>
      </c>
      <c r="V275" s="43">
        <v>0</v>
      </c>
      <c r="W275" s="48">
        <f t="shared" si="127"/>
        <v>0</v>
      </c>
    </row>
    <row r="276" spans="1:23" s="3" customFormat="1" ht="8.1" customHeight="1" x14ac:dyDescent="0.2">
      <c r="A276" s="80" t="s">
        <v>394</v>
      </c>
      <c r="B276" s="81"/>
      <c r="C276" s="99" t="s">
        <v>417</v>
      </c>
      <c r="D276" s="100"/>
      <c r="E276" s="100"/>
      <c r="F276" s="100"/>
      <c r="G276" s="101"/>
      <c r="H276" s="1" t="s">
        <v>5</v>
      </c>
      <c r="I276" s="36"/>
      <c r="J276" s="36"/>
      <c r="K276" s="36"/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3">
        <v>0</v>
      </c>
      <c r="S276" s="43">
        <v>0</v>
      </c>
      <c r="T276" s="43">
        <v>0</v>
      </c>
      <c r="U276" s="43">
        <v>0</v>
      </c>
      <c r="V276" s="43">
        <v>0</v>
      </c>
      <c r="W276" s="48">
        <f t="shared" si="127"/>
        <v>0</v>
      </c>
    </row>
    <row r="277" spans="1:23" s="3" customFormat="1" ht="8.1" customHeight="1" x14ac:dyDescent="0.2">
      <c r="A277" s="80" t="s">
        <v>395</v>
      </c>
      <c r="B277" s="81"/>
      <c r="C277" s="77" t="s">
        <v>425</v>
      </c>
      <c r="D277" s="78"/>
      <c r="E277" s="78"/>
      <c r="F277" s="78"/>
      <c r="G277" s="79"/>
      <c r="H277" s="1" t="s">
        <v>5</v>
      </c>
      <c r="I277" s="36">
        <v>25.65</v>
      </c>
      <c r="J277" s="36"/>
      <c r="K277" s="36">
        <v>133.86000000000001</v>
      </c>
      <c r="L277" s="43">
        <v>0</v>
      </c>
      <c r="M277" s="43">
        <f>[6]ДЗ_КЗ!$H$21+[6]ДЗ_КЗ!$H$22+[6]ДЗ_КЗ!$H$23-10.925</f>
        <v>32.180788249999992</v>
      </c>
      <c r="N277" s="43">
        <v>0</v>
      </c>
      <c r="O277" s="43">
        <v>0</v>
      </c>
      <c r="P277" s="43">
        <v>0</v>
      </c>
      <c r="Q277" s="43">
        <v>0</v>
      </c>
      <c r="R277" s="43">
        <v>0</v>
      </c>
      <c r="S277" s="43">
        <v>0</v>
      </c>
      <c r="T277" s="43">
        <v>0</v>
      </c>
      <c r="U277" s="43">
        <v>0</v>
      </c>
      <c r="V277" s="43">
        <f t="shared" si="127"/>
        <v>0</v>
      </c>
      <c r="W277" s="48">
        <f t="shared" si="127"/>
        <v>32.180788249999992</v>
      </c>
    </row>
    <row r="278" spans="1:23" s="3" customFormat="1" ht="8.1" customHeight="1" x14ac:dyDescent="0.2">
      <c r="A278" s="80" t="s">
        <v>396</v>
      </c>
      <c r="B278" s="81"/>
      <c r="C278" s="96" t="s">
        <v>417</v>
      </c>
      <c r="D278" s="97"/>
      <c r="E278" s="97"/>
      <c r="F278" s="97"/>
      <c r="G278" s="98"/>
      <c r="H278" s="1" t="s">
        <v>5</v>
      </c>
      <c r="I278" s="36"/>
      <c r="J278" s="36"/>
      <c r="K278" s="36"/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3">
        <v>0</v>
      </c>
      <c r="S278" s="43">
        <v>0</v>
      </c>
      <c r="T278" s="43">
        <v>0</v>
      </c>
      <c r="U278" s="43">
        <v>0</v>
      </c>
      <c r="V278" s="43">
        <v>0</v>
      </c>
      <c r="W278" s="48">
        <f t="shared" si="127"/>
        <v>0</v>
      </c>
    </row>
    <row r="279" spans="1:23" s="3" customFormat="1" ht="8.1" customHeight="1" x14ac:dyDescent="0.2">
      <c r="A279" s="80" t="s">
        <v>397</v>
      </c>
      <c r="B279" s="81"/>
      <c r="C279" s="85" t="s">
        <v>426</v>
      </c>
      <c r="D279" s="86"/>
      <c r="E279" s="86"/>
      <c r="F279" s="86"/>
      <c r="G279" s="87"/>
      <c r="H279" s="1" t="s">
        <v>5</v>
      </c>
      <c r="I279" s="36">
        <v>460.14</v>
      </c>
      <c r="J279" s="36">
        <f>J280+J282+J289+J295+J297+J299</f>
        <v>372.03999999999996</v>
      </c>
      <c r="K279" s="36">
        <v>523.79999999999995</v>
      </c>
      <c r="L279" s="43">
        <v>529.53</v>
      </c>
      <c r="M279" s="43">
        <f>M282+M289+M293+M295+M297+M299</f>
        <v>440.67368974000004</v>
      </c>
      <c r="N279" s="43">
        <v>0</v>
      </c>
      <c r="O279" s="43">
        <v>0</v>
      </c>
      <c r="P279" s="43">
        <v>570.02</v>
      </c>
      <c r="Q279" s="43">
        <v>570.02</v>
      </c>
      <c r="R279" s="43">
        <v>625.34</v>
      </c>
      <c r="S279" s="43">
        <v>625.34</v>
      </c>
      <c r="T279" s="43">
        <v>124.43</v>
      </c>
      <c r="U279" s="43">
        <v>124.43</v>
      </c>
      <c r="V279" s="43">
        <f t="shared" ref="V279" si="138">V280+V282+V289+V295+V297+V299</f>
        <v>1884.5200000000002</v>
      </c>
      <c r="W279" s="48">
        <f t="shared" ref="W279" si="139">W280+W282+W289+W295+W297+W299</f>
        <v>1793.03856236</v>
      </c>
    </row>
    <row r="280" spans="1:23" s="3" customFormat="1" ht="8.1" customHeight="1" x14ac:dyDescent="0.2">
      <c r="A280" s="80" t="s">
        <v>398</v>
      </c>
      <c r="B280" s="81"/>
      <c r="C280" s="77" t="s">
        <v>427</v>
      </c>
      <c r="D280" s="78"/>
      <c r="E280" s="78"/>
      <c r="F280" s="78"/>
      <c r="G280" s="79"/>
      <c r="H280" s="1" t="s">
        <v>5</v>
      </c>
      <c r="I280" s="36">
        <v>8.7899999999999991</v>
      </c>
      <c r="J280" s="36">
        <v>10</v>
      </c>
      <c r="K280" s="36"/>
      <c r="L280" s="43">
        <v>0</v>
      </c>
      <c r="M280" s="43">
        <v>0</v>
      </c>
      <c r="N280" s="43">
        <v>0</v>
      </c>
      <c r="O280" s="43">
        <v>0</v>
      </c>
      <c r="P280" s="43">
        <v>1</v>
      </c>
      <c r="Q280" s="43">
        <v>1</v>
      </c>
      <c r="R280" s="43">
        <v>1</v>
      </c>
      <c r="S280" s="43">
        <v>1</v>
      </c>
      <c r="T280" s="43">
        <v>1</v>
      </c>
      <c r="U280" s="43">
        <v>1</v>
      </c>
      <c r="V280" s="43">
        <f t="shared" si="127"/>
        <v>3</v>
      </c>
      <c r="W280" s="48">
        <f t="shared" si="127"/>
        <v>3</v>
      </c>
    </row>
    <row r="281" spans="1:23" s="3" customFormat="1" ht="8.1" customHeight="1" x14ac:dyDescent="0.2">
      <c r="A281" s="80" t="s">
        <v>399</v>
      </c>
      <c r="B281" s="81"/>
      <c r="C281" s="96" t="s">
        <v>417</v>
      </c>
      <c r="D281" s="97"/>
      <c r="E281" s="97"/>
      <c r="F281" s="97"/>
      <c r="G281" s="98"/>
      <c r="H281" s="1" t="s">
        <v>5</v>
      </c>
      <c r="I281" s="36"/>
      <c r="J281" s="36"/>
      <c r="K281" s="36"/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  <c r="R281" s="43">
        <v>0</v>
      </c>
      <c r="S281" s="43">
        <v>0</v>
      </c>
      <c r="T281" s="43">
        <v>0</v>
      </c>
      <c r="U281" s="43">
        <v>0</v>
      </c>
      <c r="V281" s="43">
        <f t="shared" si="127"/>
        <v>0</v>
      </c>
      <c r="W281" s="48">
        <f t="shared" si="127"/>
        <v>0</v>
      </c>
    </row>
    <row r="282" spans="1:23" s="3" customFormat="1" ht="8.1" customHeight="1" x14ac:dyDescent="0.2">
      <c r="A282" s="80" t="s">
        <v>400</v>
      </c>
      <c r="B282" s="81"/>
      <c r="C282" s="77" t="s">
        <v>428</v>
      </c>
      <c r="D282" s="78"/>
      <c r="E282" s="78"/>
      <c r="F282" s="78"/>
      <c r="G282" s="79"/>
      <c r="H282" s="1" t="s">
        <v>5</v>
      </c>
      <c r="I282" s="36">
        <v>95.93</v>
      </c>
      <c r="J282" s="36">
        <v>46.54</v>
      </c>
      <c r="K282" s="36">
        <v>159.43</v>
      </c>
      <c r="L282" s="43">
        <v>60</v>
      </c>
      <c r="M282" s="43">
        <f>M285</f>
        <v>0</v>
      </c>
      <c r="N282" s="43">
        <v>60</v>
      </c>
      <c r="O282" s="43">
        <v>60</v>
      </c>
      <c r="P282" s="43">
        <v>60</v>
      </c>
      <c r="Q282" s="43">
        <v>60</v>
      </c>
      <c r="R282" s="43">
        <v>60</v>
      </c>
      <c r="S282" s="43">
        <v>60</v>
      </c>
      <c r="T282" s="43">
        <v>60</v>
      </c>
      <c r="U282" s="43">
        <v>60</v>
      </c>
      <c r="V282" s="43">
        <f t="shared" si="127"/>
        <v>300</v>
      </c>
      <c r="W282" s="48">
        <f t="shared" si="127"/>
        <v>240</v>
      </c>
    </row>
    <row r="283" spans="1:23" s="3" customFormat="1" ht="8.1" customHeight="1" x14ac:dyDescent="0.2">
      <c r="A283" s="80" t="s">
        <v>401</v>
      </c>
      <c r="B283" s="81"/>
      <c r="C283" s="96" t="s">
        <v>271</v>
      </c>
      <c r="D283" s="97"/>
      <c r="E283" s="97"/>
      <c r="F283" s="97"/>
      <c r="G283" s="98"/>
      <c r="H283" s="1" t="s">
        <v>5</v>
      </c>
      <c r="I283" s="36"/>
      <c r="J283" s="36"/>
      <c r="K283" s="36"/>
      <c r="L283" s="43">
        <v>0</v>
      </c>
      <c r="M283" s="43">
        <v>0</v>
      </c>
      <c r="N283" s="43">
        <v>0</v>
      </c>
      <c r="O283" s="43">
        <v>0</v>
      </c>
      <c r="P283" s="43">
        <v>0</v>
      </c>
      <c r="Q283" s="43">
        <v>0</v>
      </c>
      <c r="R283" s="43">
        <v>0</v>
      </c>
      <c r="S283" s="43">
        <v>0</v>
      </c>
      <c r="T283" s="43">
        <v>0</v>
      </c>
      <c r="U283" s="43">
        <v>0</v>
      </c>
      <c r="V283" s="43">
        <f t="shared" si="127"/>
        <v>0</v>
      </c>
      <c r="W283" s="48">
        <f t="shared" si="127"/>
        <v>0</v>
      </c>
    </row>
    <row r="284" spans="1:23" s="3" customFormat="1" ht="8.1" customHeight="1" x14ac:dyDescent="0.2">
      <c r="A284" s="80" t="s">
        <v>402</v>
      </c>
      <c r="B284" s="81"/>
      <c r="C284" s="99" t="s">
        <v>417</v>
      </c>
      <c r="D284" s="100"/>
      <c r="E284" s="100"/>
      <c r="F284" s="100"/>
      <c r="G284" s="101"/>
      <c r="H284" s="1" t="s">
        <v>5</v>
      </c>
      <c r="I284" s="36"/>
      <c r="J284" s="36"/>
      <c r="K284" s="36"/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f t="shared" si="127"/>
        <v>0</v>
      </c>
      <c r="W284" s="48">
        <f t="shared" si="127"/>
        <v>0</v>
      </c>
    </row>
    <row r="285" spans="1:23" s="3" customFormat="1" ht="8.1" customHeight="1" x14ac:dyDescent="0.2">
      <c r="A285" s="80" t="s">
        <v>403</v>
      </c>
      <c r="B285" s="81"/>
      <c r="C285" s="96" t="s">
        <v>429</v>
      </c>
      <c r="D285" s="97"/>
      <c r="E285" s="97"/>
      <c r="F285" s="97"/>
      <c r="G285" s="98"/>
      <c r="H285" s="1" t="s">
        <v>5</v>
      </c>
      <c r="I285" s="36">
        <v>95.93</v>
      </c>
      <c r="J285" s="36">
        <v>46.54</v>
      </c>
      <c r="K285" s="36">
        <v>159.43</v>
      </c>
      <c r="L285" s="43">
        <v>60</v>
      </c>
      <c r="M285" s="43">
        <f>[6]ДЗ_КЗ!$H$27+[6]ДЗ_КЗ!$H$28-[7]ДЗ_КЗ!$H$27-[7]ДЗ_КЗ!$H$28</f>
        <v>0</v>
      </c>
      <c r="N285" s="43">
        <v>60</v>
      </c>
      <c r="O285" s="43">
        <v>60</v>
      </c>
      <c r="P285" s="43">
        <v>60</v>
      </c>
      <c r="Q285" s="43">
        <v>60</v>
      </c>
      <c r="R285" s="43">
        <v>60</v>
      </c>
      <c r="S285" s="43">
        <v>60</v>
      </c>
      <c r="T285" s="43">
        <v>60</v>
      </c>
      <c r="U285" s="43">
        <v>60</v>
      </c>
      <c r="V285" s="43">
        <f t="shared" si="127"/>
        <v>300</v>
      </c>
      <c r="W285" s="48">
        <f t="shared" si="127"/>
        <v>240</v>
      </c>
    </row>
    <row r="286" spans="1:23" s="3" customFormat="1" ht="8.1" customHeight="1" x14ac:dyDescent="0.2">
      <c r="A286" s="80" t="s">
        <v>404</v>
      </c>
      <c r="B286" s="81"/>
      <c r="C286" s="99" t="s">
        <v>417</v>
      </c>
      <c r="D286" s="100"/>
      <c r="E286" s="100"/>
      <c r="F286" s="100"/>
      <c r="G286" s="101"/>
      <c r="H286" s="1" t="s">
        <v>5</v>
      </c>
      <c r="I286" s="36"/>
      <c r="J286" s="36"/>
      <c r="K286" s="36"/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v>0</v>
      </c>
      <c r="R286" s="43">
        <v>0</v>
      </c>
      <c r="S286" s="43">
        <v>0</v>
      </c>
      <c r="T286" s="43">
        <v>0</v>
      </c>
      <c r="U286" s="43">
        <v>0</v>
      </c>
      <c r="V286" s="43">
        <v>0</v>
      </c>
      <c r="W286" s="48">
        <f t="shared" si="127"/>
        <v>0</v>
      </c>
    </row>
    <row r="287" spans="1:23" s="3" customFormat="1" ht="16.5" customHeight="1" x14ac:dyDescent="0.2">
      <c r="A287" s="80" t="s">
        <v>405</v>
      </c>
      <c r="B287" s="81"/>
      <c r="C287" s="77" t="s">
        <v>430</v>
      </c>
      <c r="D287" s="78"/>
      <c r="E287" s="78"/>
      <c r="F287" s="78"/>
      <c r="G287" s="79"/>
      <c r="H287" s="1" t="s">
        <v>5</v>
      </c>
      <c r="I287" s="36"/>
      <c r="J287" s="36"/>
      <c r="K287" s="36"/>
      <c r="L287" s="43">
        <v>0</v>
      </c>
      <c r="M287" s="43">
        <v>0</v>
      </c>
      <c r="N287" s="43">
        <v>0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8">
        <f t="shared" si="127"/>
        <v>0</v>
      </c>
    </row>
    <row r="288" spans="1:23" s="3" customFormat="1" ht="8.1" customHeight="1" x14ac:dyDescent="0.2">
      <c r="A288" s="80" t="s">
        <v>431</v>
      </c>
      <c r="B288" s="81"/>
      <c r="C288" s="96" t="s">
        <v>417</v>
      </c>
      <c r="D288" s="97"/>
      <c r="E288" s="97"/>
      <c r="F288" s="97"/>
      <c r="G288" s="98"/>
      <c r="H288" s="1" t="s">
        <v>5</v>
      </c>
      <c r="I288" s="36"/>
      <c r="J288" s="36"/>
      <c r="K288" s="36"/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8">
        <f t="shared" si="127"/>
        <v>0</v>
      </c>
    </row>
    <row r="289" spans="1:23" s="3" customFormat="1" ht="8.1" customHeight="1" x14ac:dyDescent="0.2">
      <c r="A289" s="80" t="s">
        <v>432</v>
      </c>
      <c r="B289" s="81"/>
      <c r="C289" s="77" t="s">
        <v>444</v>
      </c>
      <c r="D289" s="78"/>
      <c r="E289" s="78"/>
      <c r="F289" s="78"/>
      <c r="G289" s="79"/>
      <c r="H289" s="1" t="s">
        <v>5</v>
      </c>
      <c r="I289" s="36">
        <v>126.5</v>
      </c>
      <c r="J289" s="36">
        <v>86.4</v>
      </c>
      <c r="K289" s="36">
        <v>115.53</v>
      </c>
      <c r="L289" s="43">
        <v>65</v>
      </c>
      <c r="M289" s="43">
        <f>[6]ДЗ_КЗ!$H$31+[6]ДЗ_КЗ!$H$32</f>
        <v>4.5655099999999997</v>
      </c>
      <c r="N289" s="43">
        <v>65</v>
      </c>
      <c r="O289" s="43">
        <v>65</v>
      </c>
      <c r="P289" s="43">
        <v>65</v>
      </c>
      <c r="Q289" s="43">
        <v>65</v>
      </c>
      <c r="R289" s="43">
        <v>65</v>
      </c>
      <c r="S289" s="43">
        <v>65</v>
      </c>
      <c r="T289" s="43">
        <v>65</v>
      </c>
      <c r="U289" s="43">
        <v>65</v>
      </c>
      <c r="V289" s="43">
        <f t="shared" si="127"/>
        <v>325</v>
      </c>
      <c r="W289" s="48">
        <f t="shared" si="127"/>
        <v>264.56551000000002</v>
      </c>
    </row>
    <row r="290" spans="1:23" s="3" customFormat="1" ht="8.1" customHeight="1" x14ac:dyDescent="0.2">
      <c r="A290" s="80" t="s">
        <v>433</v>
      </c>
      <c r="B290" s="81"/>
      <c r="C290" s="96" t="s">
        <v>417</v>
      </c>
      <c r="D290" s="97"/>
      <c r="E290" s="97"/>
      <c r="F290" s="97"/>
      <c r="G290" s="98"/>
      <c r="H290" s="1" t="s">
        <v>5</v>
      </c>
      <c r="I290" s="36"/>
      <c r="J290" s="36"/>
      <c r="K290" s="36"/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f t="shared" si="127"/>
        <v>0</v>
      </c>
      <c r="W290" s="48">
        <f t="shared" si="127"/>
        <v>0</v>
      </c>
    </row>
    <row r="291" spans="1:23" s="3" customFormat="1" ht="8.1" customHeight="1" x14ac:dyDescent="0.2">
      <c r="A291" s="80" t="s">
        <v>434</v>
      </c>
      <c r="B291" s="81"/>
      <c r="C291" s="77" t="s">
        <v>445</v>
      </c>
      <c r="D291" s="78"/>
      <c r="E291" s="78"/>
      <c r="F291" s="78"/>
      <c r="G291" s="79"/>
      <c r="H291" s="1" t="s">
        <v>5</v>
      </c>
      <c r="I291" s="36"/>
      <c r="J291" s="36"/>
      <c r="K291" s="36"/>
      <c r="L291" s="43">
        <v>0</v>
      </c>
      <c r="M291" s="43">
        <v>0</v>
      </c>
      <c r="N291" s="43">
        <v>0</v>
      </c>
      <c r="O291" s="43">
        <v>0</v>
      </c>
      <c r="P291" s="43">
        <v>0</v>
      </c>
      <c r="Q291" s="43">
        <v>0</v>
      </c>
      <c r="R291" s="43">
        <v>0</v>
      </c>
      <c r="S291" s="43">
        <v>0</v>
      </c>
      <c r="T291" s="43">
        <v>0</v>
      </c>
      <c r="U291" s="43">
        <v>0</v>
      </c>
      <c r="V291" s="43">
        <f t="shared" si="127"/>
        <v>0</v>
      </c>
      <c r="W291" s="48">
        <f t="shared" si="127"/>
        <v>0</v>
      </c>
    </row>
    <row r="292" spans="1:23" s="3" customFormat="1" ht="8.1" customHeight="1" x14ac:dyDescent="0.2">
      <c r="A292" s="80" t="s">
        <v>435</v>
      </c>
      <c r="B292" s="81"/>
      <c r="C292" s="96" t="s">
        <v>417</v>
      </c>
      <c r="D292" s="97"/>
      <c r="E292" s="97"/>
      <c r="F292" s="97"/>
      <c r="G292" s="98"/>
      <c r="H292" s="1" t="s">
        <v>5</v>
      </c>
      <c r="I292" s="36"/>
      <c r="J292" s="36"/>
      <c r="K292" s="36"/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  <c r="R292" s="43">
        <v>0</v>
      </c>
      <c r="S292" s="43">
        <v>0</v>
      </c>
      <c r="T292" s="43">
        <v>0</v>
      </c>
      <c r="U292" s="43">
        <v>0</v>
      </c>
      <c r="V292" s="43">
        <f t="shared" si="127"/>
        <v>0</v>
      </c>
      <c r="W292" s="48">
        <f t="shared" si="127"/>
        <v>0</v>
      </c>
    </row>
    <row r="293" spans="1:23" s="3" customFormat="1" ht="8.1" customHeight="1" x14ac:dyDescent="0.2">
      <c r="A293" s="80" t="s">
        <v>436</v>
      </c>
      <c r="B293" s="81"/>
      <c r="C293" s="77" t="s">
        <v>446</v>
      </c>
      <c r="D293" s="78"/>
      <c r="E293" s="78"/>
      <c r="F293" s="78"/>
      <c r="G293" s="79"/>
      <c r="H293" s="1" t="s">
        <v>5</v>
      </c>
      <c r="I293" s="36">
        <v>11.16</v>
      </c>
      <c r="J293" s="36">
        <v>20</v>
      </c>
      <c r="K293" s="36">
        <v>3.09</v>
      </c>
      <c r="L293" s="43">
        <v>10</v>
      </c>
      <c r="M293" s="43">
        <f>[6]ДЗ_КЗ!$H$34</f>
        <v>12.62512738</v>
      </c>
      <c r="N293" s="43">
        <v>10</v>
      </c>
      <c r="O293" s="43">
        <v>10</v>
      </c>
      <c r="P293" s="43">
        <v>10</v>
      </c>
      <c r="Q293" s="43">
        <v>10</v>
      </c>
      <c r="R293" s="43">
        <v>10</v>
      </c>
      <c r="S293" s="43">
        <v>10</v>
      </c>
      <c r="T293" s="43">
        <v>10</v>
      </c>
      <c r="U293" s="43">
        <v>10</v>
      </c>
      <c r="V293" s="43">
        <f t="shared" si="127"/>
        <v>50</v>
      </c>
      <c r="W293" s="48">
        <f t="shared" si="127"/>
        <v>52.625127380000002</v>
      </c>
    </row>
    <row r="294" spans="1:23" s="3" customFormat="1" ht="8.1" customHeight="1" x14ac:dyDescent="0.2">
      <c r="A294" s="80" t="s">
        <v>437</v>
      </c>
      <c r="B294" s="81"/>
      <c r="C294" s="96" t="s">
        <v>417</v>
      </c>
      <c r="D294" s="97"/>
      <c r="E294" s="97"/>
      <c r="F294" s="97"/>
      <c r="G294" s="98"/>
      <c r="H294" s="1" t="s">
        <v>5</v>
      </c>
      <c r="I294" s="36"/>
      <c r="J294" s="36"/>
      <c r="K294" s="36"/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f t="shared" si="127"/>
        <v>0</v>
      </c>
      <c r="W294" s="48">
        <f t="shared" si="127"/>
        <v>0</v>
      </c>
    </row>
    <row r="295" spans="1:23" s="3" customFormat="1" ht="8.1" customHeight="1" x14ac:dyDescent="0.2">
      <c r="A295" s="80" t="s">
        <v>438</v>
      </c>
      <c r="B295" s="81"/>
      <c r="C295" s="77" t="s">
        <v>447</v>
      </c>
      <c r="D295" s="78"/>
      <c r="E295" s="78"/>
      <c r="F295" s="78"/>
      <c r="G295" s="79"/>
      <c r="H295" s="1" t="s">
        <v>5</v>
      </c>
      <c r="I295" s="36">
        <v>82.15</v>
      </c>
      <c r="J295" s="36">
        <v>6.6</v>
      </c>
      <c r="K295" s="36">
        <v>18.8</v>
      </c>
      <c r="L295" s="43">
        <v>180</v>
      </c>
      <c r="M295" s="43">
        <f>[6]ДЗ_КЗ!$H$38+[7]ДЗ_КЗ!$H$27+[7]ДЗ_КЗ!$H$28</f>
        <v>172.91430156000001</v>
      </c>
      <c r="N295" s="43">
        <v>0</v>
      </c>
      <c r="O295" s="43">
        <v>0</v>
      </c>
      <c r="P295" s="43">
        <v>30.6</v>
      </c>
      <c r="Q295" s="43">
        <v>30.6</v>
      </c>
      <c r="R295" s="43">
        <v>59.07</v>
      </c>
      <c r="S295" s="43">
        <v>59.07</v>
      </c>
      <c r="T295" s="43"/>
      <c r="U295" s="43"/>
      <c r="V295" s="43">
        <f t="shared" si="127"/>
        <v>269.67</v>
      </c>
      <c r="W295" s="48">
        <f t="shared" si="127"/>
        <v>262.58430156000003</v>
      </c>
    </row>
    <row r="296" spans="1:23" s="3" customFormat="1" ht="8.1" customHeight="1" x14ac:dyDescent="0.2">
      <c r="A296" s="80" t="s">
        <v>439</v>
      </c>
      <c r="B296" s="81"/>
      <c r="C296" s="96" t="s">
        <v>417</v>
      </c>
      <c r="D296" s="97"/>
      <c r="E296" s="97"/>
      <c r="F296" s="97"/>
      <c r="G296" s="98"/>
      <c r="H296" s="1" t="s">
        <v>5</v>
      </c>
      <c r="I296" s="36"/>
      <c r="J296" s="36"/>
      <c r="K296" s="36"/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f t="shared" si="127"/>
        <v>0</v>
      </c>
      <c r="W296" s="48">
        <f t="shared" si="127"/>
        <v>0</v>
      </c>
    </row>
    <row r="297" spans="1:23" s="3" customFormat="1" ht="16.5" customHeight="1" x14ac:dyDescent="0.2">
      <c r="A297" s="80" t="s">
        <v>440</v>
      </c>
      <c r="B297" s="81"/>
      <c r="C297" s="77" t="s">
        <v>448</v>
      </c>
      <c r="D297" s="78"/>
      <c r="E297" s="78"/>
      <c r="F297" s="78"/>
      <c r="G297" s="79"/>
      <c r="H297" s="1" t="s">
        <v>5</v>
      </c>
      <c r="I297" s="36">
        <v>97.28</v>
      </c>
      <c r="J297" s="36">
        <v>102.5</v>
      </c>
      <c r="K297" s="36">
        <v>162.38</v>
      </c>
      <c r="L297" s="43">
        <v>149.53</v>
      </c>
      <c r="M297" s="43">
        <f>[6]ДЗ_КЗ!$H$41+[6]ДЗ_КЗ!$H$42+[6]ДЗ_КЗ!$H$43</f>
        <v>215.86480001000001</v>
      </c>
      <c r="N297" s="43">
        <v>149.58000000000001</v>
      </c>
      <c r="O297" s="43">
        <v>149.58000000000001</v>
      </c>
      <c r="P297" s="43">
        <v>149.58000000000001</v>
      </c>
      <c r="Q297" s="43">
        <v>149.58000000000001</v>
      </c>
      <c r="R297" s="43">
        <v>149.58000000000001</v>
      </c>
      <c r="S297" s="43">
        <v>149.58000000000001</v>
      </c>
      <c r="T297" s="43">
        <v>149.58000000000001</v>
      </c>
      <c r="U297" s="43">
        <v>149.58000000000001</v>
      </c>
      <c r="V297" s="43">
        <f t="shared" si="127"/>
        <v>747.85000000000014</v>
      </c>
      <c r="W297" s="48">
        <f t="shared" si="127"/>
        <v>814.18480001000012</v>
      </c>
    </row>
    <row r="298" spans="1:23" s="3" customFormat="1" ht="8.1" customHeight="1" x14ac:dyDescent="0.2">
      <c r="A298" s="80" t="s">
        <v>441</v>
      </c>
      <c r="B298" s="81"/>
      <c r="C298" s="96" t="s">
        <v>417</v>
      </c>
      <c r="D298" s="97"/>
      <c r="E298" s="97"/>
      <c r="F298" s="97"/>
      <c r="G298" s="98"/>
      <c r="H298" s="1" t="s">
        <v>5</v>
      </c>
      <c r="I298" s="36"/>
      <c r="J298" s="36"/>
      <c r="K298" s="36"/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8">
        <f t="shared" si="127"/>
        <v>0</v>
      </c>
    </row>
    <row r="299" spans="1:23" s="3" customFormat="1" ht="8.1" customHeight="1" x14ac:dyDescent="0.2">
      <c r="A299" s="80" t="s">
        <v>442</v>
      </c>
      <c r="B299" s="81"/>
      <c r="C299" s="77" t="s">
        <v>449</v>
      </c>
      <c r="D299" s="78"/>
      <c r="E299" s="78"/>
      <c r="F299" s="78"/>
      <c r="G299" s="79"/>
      <c r="H299" s="1" t="s">
        <v>5</v>
      </c>
      <c r="I299" s="36"/>
      <c r="J299" s="36">
        <v>120</v>
      </c>
      <c r="K299" s="36">
        <v>64.569999999999993</v>
      </c>
      <c r="L299" s="43">
        <v>65</v>
      </c>
      <c r="M299" s="43">
        <f>[6]ДЗ_КЗ!$H$46-10.995</f>
        <v>34.703950790000022</v>
      </c>
      <c r="N299" s="43">
        <v>25</v>
      </c>
      <c r="O299" s="43">
        <v>25</v>
      </c>
      <c r="P299" s="43">
        <v>43</v>
      </c>
      <c r="Q299" s="43">
        <v>43</v>
      </c>
      <c r="R299" s="43">
        <v>43</v>
      </c>
      <c r="S299" s="43">
        <v>43</v>
      </c>
      <c r="T299" s="43">
        <v>63</v>
      </c>
      <c r="U299" s="43">
        <v>63</v>
      </c>
      <c r="V299" s="43">
        <f t="shared" si="127"/>
        <v>239</v>
      </c>
      <c r="W299" s="48">
        <f t="shared" si="127"/>
        <v>208.70395079000002</v>
      </c>
    </row>
    <row r="300" spans="1:23" s="3" customFormat="1" ht="8.1" customHeight="1" x14ac:dyDescent="0.2">
      <c r="A300" s="80" t="s">
        <v>443</v>
      </c>
      <c r="B300" s="81"/>
      <c r="C300" s="96" t="s">
        <v>417</v>
      </c>
      <c r="D300" s="97"/>
      <c r="E300" s="97"/>
      <c r="F300" s="97"/>
      <c r="G300" s="98"/>
      <c r="H300" s="1" t="s">
        <v>5</v>
      </c>
      <c r="I300" s="36"/>
      <c r="J300" s="36"/>
      <c r="K300" s="36"/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8">
        <f t="shared" si="127"/>
        <v>0</v>
      </c>
    </row>
    <row r="301" spans="1:23" s="3" customFormat="1" ht="17.100000000000001" customHeight="1" x14ac:dyDescent="0.2">
      <c r="A301" s="80" t="s">
        <v>450</v>
      </c>
      <c r="B301" s="81"/>
      <c r="C301" s="85" t="s">
        <v>463</v>
      </c>
      <c r="D301" s="86"/>
      <c r="E301" s="86"/>
      <c r="F301" s="86"/>
      <c r="G301" s="87"/>
      <c r="H301" s="1" t="s">
        <v>474</v>
      </c>
      <c r="I301" s="36"/>
      <c r="J301" s="36"/>
      <c r="K301" s="36"/>
      <c r="L301" s="189">
        <f t="shared" ref="L301:W301" si="140">L163/(L19*1.2)</f>
        <v>0.83450772434500464</v>
      </c>
      <c r="M301" s="189">
        <f t="shared" si="140"/>
        <v>0.622225197290321</v>
      </c>
      <c r="N301" s="189">
        <f t="shared" si="140"/>
        <v>0.67379526359230502</v>
      </c>
      <c r="O301" s="189">
        <f t="shared" si="140"/>
        <v>0.67839171888001193</v>
      </c>
      <c r="P301" s="189">
        <f t="shared" si="140"/>
        <v>0.63597937588405373</v>
      </c>
      <c r="Q301" s="189">
        <f t="shared" si="140"/>
        <v>0.51846510797154188</v>
      </c>
      <c r="R301" s="189">
        <f t="shared" si="140"/>
        <v>0.56709374384216638</v>
      </c>
      <c r="S301" s="189">
        <f t="shared" si="140"/>
        <v>0.50762976986841735</v>
      </c>
      <c r="T301" s="189">
        <f t="shared" si="140"/>
        <v>0.46293453825663472</v>
      </c>
      <c r="U301" s="189">
        <f t="shared" si="140"/>
        <v>0.60044851660684284</v>
      </c>
      <c r="V301" s="189">
        <f t="shared" si="140"/>
        <v>0.62086978522302871</v>
      </c>
      <c r="W301" s="189">
        <f t="shared" si="140"/>
        <v>0.58598242394181899</v>
      </c>
    </row>
    <row r="302" spans="1:23" s="3" customFormat="1" ht="8.1" customHeight="1" x14ac:dyDescent="0.2">
      <c r="A302" s="80" t="s">
        <v>451</v>
      </c>
      <c r="B302" s="81"/>
      <c r="C302" s="77" t="s">
        <v>464</v>
      </c>
      <c r="D302" s="78"/>
      <c r="E302" s="78"/>
      <c r="F302" s="78"/>
      <c r="G302" s="79"/>
      <c r="H302" s="1" t="s">
        <v>474</v>
      </c>
      <c r="I302" s="36"/>
      <c r="J302" s="36"/>
      <c r="K302" s="36"/>
      <c r="L302" s="189">
        <v>0</v>
      </c>
      <c r="M302" s="189">
        <v>0</v>
      </c>
      <c r="N302" s="189">
        <v>0</v>
      </c>
      <c r="O302" s="189">
        <v>0</v>
      </c>
      <c r="P302" s="189">
        <v>0</v>
      </c>
      <c r="Q302" s="189">
        <v>0</v>
      </c>
      <c r="R302" s="189">
        <v>0</v>
      </c>
      <c r="S302" s="189">
        <v>0</v>
      </c>
      <c r="T302" s="189">
        <v>0</v>
      </c>
      <c r="U302" s="189">
        <v>0</v>
      </c>
      <c r="V302" s="189">
        <v>0</v>
      </c>
      <c r="W302" s="189">
        <v>0</v>
      </c>
    </row>
    <row r="303" spans="1:23" s="3" customFormat="1" ht="17.100000000000001" customHeight="1" x14ac:dyDescent="0.2">
      <c r="A303" s="80" t="s">
        <v>452</v>
      </c>
      <c r="B303" s="81"/>
      <c r="C303" s="77" t="s">
        <v>465</v>
      </c>
      <c r="D303" s="78"/>
      <c r="E303" s="78"/>
      <c r="F303" s="78"/>
      <c r="G303" s="79"/>
      <c r="H303" s="1" t="s">
        <v>474</v>
      </c>
      <c r="I303" s="36"/>
      <c r="J303" s="36"/>
      <c r="K303" s="36"/>
      <c r="L303" s="189">
        <v>0</v>
      </c>
      <c r="M303" s="189">
        <v>0</v>
      </c>
      <c r="N303" s="189">
        <v>0</v>
      </c>
      <c r="O303" s="189">
        <v>0</v>
      </c>
      <c r="P303" s="189">
        <v>0</v>
      </c>
      <c r="Q303" s="189">
        <v>0</v>
      </c>
      <c r="R303" s="189">
        <v>0</v>
      </c>
      <c r="S303" s="189">
        <v>0</v>
      </c>
      <c r="T303" s="189">
        <v>0</v>
      </c>
      <c r="U303" s="189">
        <v>0</v>
      </c>
      <c r="V303" s="189">
        <v>0</v>
      </c>
      <c r="W303" s="189">
        <v>0</v>
      </c>
    </row>
    <row r="304" spans="1:23" s="3" customFormat="1" ht="17.100000000000001" customHeight="1" x14ac:dyDescent="0.2">
      <c r="A304" s="80" t="s">
        <v>453</v>
      </c>
      <c r="B304" s="81"/>
      <c r="C304" s="77" t="s">
        <v>466</v>
      </c>
      <c r="D304" s="78"/>
      <c r="E304" s="78"/>
      <c r="F304" s="78"/>
      <c r="G304" s="79"/>
      <c r="H304" s="1" t="s">
        <v>474</v>
      </c>
      <c r="I304" s="36"/>
      <c r="J304" s="36"/>
      <c r="K304" s="36"/>
      <c r="L304" s="189">
        <v>0</v>
      </c>
      <c r="M304" s="189">
        <v>0</v>
      </c>
      <c r="N304" s="189">
        <v>0</v>
      </c>
      <c r="O304" s="189">
        <v>0</v>
      </c>
      <c r="P304" s="189">
        <v>0</v>
      </c>
      <c r="Q304" s="189">
        <v>0</v>
      </c>
      <c r="R304" s="189">
        <v>0</v>
      </c>
      <c r="S304" s="189">
        <v>0</v>
      </c>
      <c r="T304" s="189">
        <v>0</v>
      </c>
      <c r="U304" s="189">
        <v>0</v>
      </c>
      <c r="V304" s="189">
        <v>0</v>
      </c>
      <c r="W304" s="189">
        <v>0</v>
      </c>
    </row>
    <row r="305" spans="1:23" s="3" customFormat="1" ht="17.100000000000001" customHeight="1" x14ac:dyDescent="0.2">
      <c r="A305" s="80" t="s">
        <v>454</v>
      </c>
      <c r="B305" s="81"/>
      <c r="C305" s="77" t="s">
        <v>467</v>
      </c>
      <c r="D305" s="78"/>
      <c r="E305" s="78"/>
      <c r="F305" s="78"/>
      <c r="G305" s="79"/>
      <c r="H305" s="1" t="s">
        <v>474</v>
      </c>
      <c r="I305" s="36"/>
      <c r="J305" s="36"/>
      <c r="K305" s="36"/>
      <c r="L305" s="189">
        <v>0</v>
      </c>
      <c r="M305" s="189">
        <v>0</v>
      </c>
      <c r="N305" s="189">
        <v>0</v>
      </c>
      <c r="O305" s="189">
        <v>0</v>
      </c>
      <c r="P305" s="189">
        <v>0</v>
      </c>
      <c r="Q305" s="189">
        <v>0</v>
      </c>
      <c r="R305" s="189">
        <v>0</v>
      </c>
      <c r="S305" s="189">
        <v>0</v>
      </c>
      <c r="T305" s="189">
        <v>0</v>
      </c>
      <c r="U305" s="189">
        <v>0</v>
      </c>
      <c r="V305" s="189">
        <v>0</v>
      </c>
      <c r="W305" s="189">
        <v>0</v>
      </c>
    </row>
    <row r="306" spans="1:23" s="3" customFormat="1" ht="8.1" customHeight="1" x14ac:dyDescent="0.2">
      <c r="A306" s="80" t="s">
        <v>455</v>
      </c>
      <c r="B306" s="81"/>
      <c r="C306" s="77" t="s">
        <v>468</v>
      </c>
      <c r="D306" s="78"/>
      <c r="E306" s="78"/>
      <c r="F306" s="78"/>
      <c r="G306" s="79"/>
      <c r="H306" s="1" t="s">
        <v>474</v>
      </c>
      <c r="I306" s="36"/>
      <c r="J306" s="36"/>
      <c r="K306" s="36"/>
      <c r="L306" s="189">
        <v>0</v>
      </c>
      <c r="M306" s="189">
        <v>0</v>
      </c>
      <c r="N306" s="189">
        <v>0</v>
      </c>
      <c r="O306" s="189">
        <v>0</v>
      </c>
      <c r="P306" s="189">
        <v>0</v>
      </c>
      <c r="Q306" s="189">
        <v>0</v>
      </c>
      <c r="R306" s="189">
        <v>0</v>
      </c>
      <c r="S306" s="189">
        <v>0</v>
      </c>
      <c r="T306" s="189">
        <v>0</v>
      </c>
      <c r="U306" s="189">
        <v>0</v>
      </c>
      <c r="V306" s="189">
        <v>0</v>
      </c>
      <c r="W306" s="189">
        <v>0</v>
      </c>
    </row>
    <row r="307" spans="1:23" s="3" customFormat="1" ht="8.1" customHeight="1" x14ac:dyDescent="0.2">
      <c r="A307" s="80" t="s">
        <v>456</v>
      </c>
      <c r="B307" s="81"/>
      <c r="C307" s="77" t="s">
        <v>469</v>
      </c>
      <c r="D307" s="78"/>
      <c r="E307" s="78"/>
      <c r="F307" s="78"/>
      <c r="G307" s="79"/>
      <c r="H307" s="1" t="s">
        <v>474</v>
      </c>
      <c r="I307" s="36"/>
      <c r="J307" s="36"/>
      <c r="K307" s="36"/>
      <c r="L307" s="189">
        <f t="shared" ref="L307:W307" si="141">L169/(L25*1.2)</f>
        <v>0</v>
      </c>
      <c r="M307" s="189">
        <f t="shared" si="141"/>
        <v>0</v>
      </c>
      <c r="N307" s="189">
        <f t="shared" si="141"/>
        <v>0</v>
      </c>
      <c r="O307" s="189">
        <f t="shared" si="141"/>
        <v>0</v>
      </c>
      <c r="P307" s="189">
        <f t="shared" si="141"/>
        <v>0</v>
      </c>
      <c r="Q307" s="189">
        <f t="shared" si="141"/>
        <v>0</v>
      </c>
      <c r="R307" s="189">
        <f t="shared" si="141"/>
        <v>0</v>
      </c>
      <c r="S307" s="189">
        <f t="shared" si="141"/>
        <v>0</v>
      </c>
      <c r="T307" s="189">
        <f t="shared" si="141"/>
        <v>0</v>
      </c>
      <c r="U307" s="189">
        <f t="shared" si="141"/>
        <v>0</v>
      </c>
      <c r="V307" s="189">
        <f t="shared" si="141"/>
        <v>0</v>
      </c>
      <c r="W307" s="189">
        <f t="shared" si="141"/>
        <v>0</v>
      </c>
    </row>
    <row r="308" spans="1:23" s="3" customFormat="1" ht="8.1" customHeight="1" x14ac:dyDescent="0.2">
      <c r="A308" s="80" t="s">
        <v>457</v>
      </c>
      <c r="B308" s="81"/>
      <c r="C308" s="77" t="s">
        <v>470</v>
      </c>
      <c r="D308" s="78"/>
      <c r="E308" s="78"/>
      <c r="F308" s="78"/>
      <c r="G308" s="79"/>
      <c r="H308" s="1" t="s">
        <v>474</v>
      </c>
      <c r="I308" s="36"/>
      <c r="J308" s="36"/>
      <c r="K308" s="36"/>
      <c r="L308" s="189">
        <v>0</v>
      </c>
      <c r="M308" s="189">
        <v>0</v>
      </c>
      <c r="N308" s="189">
        <v>0</v>
      </c>
      <c r="O308" s="189">
        <v>0</v>
      </c>
      <c r="P308" s="189">
        <v>0</v>
      </c>
      <c r="Q308" s="189">
        <v>0</v>
      </c>
      <c r="R308" s="189">
        <v>0</v>
      </c>
      <c r="S308" s="189">
        <v>0</v>
      </c>
      <c r="T308" s="189">
        <v>0</v>
      </c>
      <c r="U308" s="189">
        <v>0</v>
      </c>
      <c r="V308" s="189">
        <v>0</v>
      </c>
      <c r="W308" s="189">
        <v>0</v>
      </c>
    </row>
    <row r="309" spans="1:23" s="3" customFormat="1" ht="8.1" customHeight="1" x14ac:dyDescent="0.2">
      <c r="A309" s="80" t="s">
        <v>458</v>
      </c>
      <c r="B309" s="81"/>
      <c r="C309" s="77" t="s">
        <v>471</v>
      </c>
      <c r="D309" s="78"/>
      <c r="E309" s="78"/>
      <c r="F309" s="78"/>
      <c r="G309" s="79"/>
      <c r="H309" s="1" t="s">
        <v>474</v>
      </c>
      <c r="I309" s="36">
        <v>93.25</v>
      </c>
      <c r="J309" s="36">
        <v>83.5</v>
      </c>
      <c r="K309" s="36">
        <v>63.34</v>
      </c>
      <c r="L309" s="189">
        <f t="shared" ref="L309:W309" si="142">L171/(L27*1.2)</f>
        <v>3.5880303030303029</v>
      </c>
      <c r="M309" s="189">
        <f t="shared" si="142"/>
        <v>0.51866151507318958</v>
      </c>
      <c r="N309" s="189">
        <f t="shared" si="142"/>
        <v>1.0432017543859651</v>
      </c>
      <c r="O309" s="189">
        <f t="shared" si="142"/>
        <v>1.0432017543859651</v>
      </c>
      <c r="P309" s="189">
        <f t="shared" si="142"/>
        <v>1.5136111111111112</v>
      </c>
      <c r="Q309" s="189">
        <f t="shared" si="142"/>
        <v>0.90816666666666679</v>
      </c>
      <c r="R309" s="189">
        <f t="shared" si="142"/>
        <v>1.4153508771929826</v>
      </c>
      <c r="S309" s="189">
        <f t="shared" si="142"/>
        <v>0.99074561403508776</v>
      </c>
      <c r="T309" s="189">
        <f t="shared" si="142"/>
        <v>6.3535567459823097E-2</v>
      </c>
      <c r="U309" s="189">
        <f t="shared" si="142"/>
        <v>0.83333333333333337</v>
      </c>
      <c r="V309" s="189">
        <f t="shared" si="142"/>
        <v>0.97062051674183214</v>
      </c>
      <c r="W309" s="189">
        <f t="shared" si="142"/>
        <v>0.87061435907417406</v>
      </c>
    </row>
    <row r="310" spans="1:23" s="3" customFormat="1" ht="8.1" customHeight="1" x14ac:dyDescent="0.2">
      <c r="A310" s="80" t="s">
        <v>459</v>
      </c>
      <c r="B310" s="81"/>
      <c r="C310" s="77" t="s">
        <v>472</v>
      </c>
      <c r="D310" s="78"/>
      <c r="E310" s="78"/>
      <c r="F310" s="78"/>
      <c r="G310" s="79"/>
      <c r="H310" s="1" t="s">
        <v>474</v>
      </c>
      <c r="I310" s="36"/>
      <c r="J310" s="36"/>
      <c r="K310" s="36"/>
      <c r="L310" s="189">
        <f t="shared" ref="L310:W310" si="143">L172/(L28*1.2)</f>
        <v>0.99477613909189255</v>
      </c>
      <c r="M310" s="189">
        <f t="shared" si="143"/>
        <v>1.0454393383622342</v>
      </c>
      <c r="N310" s="189">
        <f t="shared" si="143"/>
        <v>1.0000000000000002</v>
      </c>
      <c r="O310" s="189">
        <f t="shared" si="143"/>
        <v>1.0163135004853541</v>
      </c>
      <c r="P310" s="189">
        <f t="shared" si="143"/>
        <v>1.0000000000000002</v>
      </c>
      <c r="Q310" s="189">
        <f t="shared" si="143"/>
        <v>0.93713725152822369</v>
      </c>
      <c r="R310" s="189">
        <f t="shared" si="143"/>
        <v>0.87869145943343729</v>
      </c>
      <c r="S310" s="189">
        <f t="shared" si="143"/>
        <v>0.87869145943343729</v>
      </c>
      <c r="T310" s="189">
        <f t="shared" si="143"/>
        <v>0.99999643310647901</v>
      </c>
      <c r="U310" s="189">
        <f t="shared" si="143"/>
        <v>0.99999643310647901</v>
      </c>
      <c r="V310" s="189">
        <f t="shared" si="143"/>
        <v>0.97356593853051188</v>
      </c>
      <c r="W310" s="189">
        <f t="shared" si="143"/>
        <v>0.97325691780147983</v>
      </c>
    </row>
    <row r="311" spans="1:23" s="3" customFormat="1" ht="16.5" customHeight="1" x14ac:dyDescent="0.2">
      <c r="A311" s="80" t="s">
        <v>460</v>
      </c>
      <c r="B311" s="81"/>
      <c r="C311" s="77" t="s">
        <v>670</v>
      </c>
      <c r="D311" s="78"/>
      <c r="E311" s="78"/>
      <c r="F311" s="78"/>
      <c r="G311" s="79"/>
      <c r="H311" s="1" t="s">
        <v>474</v>
      </c>
      <c r="I311" s="36"/>
      <c r="J311" s="36"/>
      <c r="K311" s="36"/>
      <c r="L311" s="189">
        <v>0</v>
      </c>
      <c r="M311" s="189">
        <v>0</v>
      </c>
      <c r="N311" s="189">
        <v>0</v>
      </c>
      <c r="O311" s="189">
        <v>0</v>
      </c>
      <c r="P311" s="189">
        <v>0</v>
      </c>
      <c r="Q311" s="189">
        <v>0</v>
      </c>
      <c r="R311" s="189">
        <v>0</v>
      </c>
      <c r="S311" s="189">
        <v>0</v>
      </c>
      <c r="T311" s="189">
        <v>0</v>
      </c>
      <c r="U311" s="189">
        <v>0</v>
      </c>
      <c r="V311" s="189">
        <v>0</v>
      </c>
      <c r="W311" s="189">
        <v>0</v>
      </c>
    </row>
    <row r="312" spans="1:23" s="3" customFormat="1" ht="8.1" customHeight="1" x14ac:dyDescent="0.2">
      <c r="A312" s="80" t="s">
        <v>461</v>
      </c>
      <c r="B312" s="81"/>
      <c r="C312" s="96" t="s">
        <v>82</v>
      </c>
      <c r="D312" s="97"/>
      <c r="E312" s="97"/>
      <c r="F312" s="97"/>
      <c r="G312" s="98"/>
      <c r="H312" s="1" t="s">
        <v>474</v>
      </c>
      <c r="I312" s="36"/>
      <c r="J312" s="36"/>
      <c r="K312" s="36"/>
      <c r="L312" s="189">
        <v>0</v>
      </c>
      <c r="M312" s="189">
        <v>0</v>
      </c>
      <c r="N312" s="189">
        <v>0</v>
      </c>
      <c r="O312" s="189">
        <v>0</v>
      </c>
      <c r="P312" s="189">
        <v>0</v>
      </c>
      <c r="Q312" s="189">
        <v>0</v>
      </c>
      <c r="R312" s="189">
        <v>0</v>
      </c>
      <c r="S312" s="189">
        <v>0</v>
      </c>
      <c r="T312" s="189">
        <v>0</v>
      </c>
      <c r="U312" s="189">
        <v>0</v>
      </c>
      <c r="V312" s="189">
        <v>0</v>
      </c>
      <c r="W312" s="189">
        <v>0</v>
      </c>
    </row>
    <row r="313" spans="1:23" s="3" customFormat="1" ht="9" customHeight="1" thickBot="1" x14ac:dyDescent="0.25">
      <c r="A313" s="91" t="s">
        <v>462</v>
      </c>
      <c r="B313" s="92"/>
      <c r="C313" s="114" t="s">
        <v>83</v>
      </c>
      <c r="D313" s="115"/>
      <c r="E313" s="115"/>
      <c r="F313" s="115"/>
      <c r="G313" s="116"/>
      <c r="H313" s="23" t="s">
        <v>474</v>
      </c>
      <c r="I313" s="39"/>
      <c r="J313" s="39"/>
      <c r="K313" s="39"/>
      <c r="L313" s="189">
        <v>0</v>
      </c>
      <c r="M313" s="189">
        <v>0</v>
      </c>
      <c r="N313" s="189">
        <v>0</v>
      </c>
      <c r="O313" s="189">
        <v>0</v>
      </c>
      <c r="P313" s="189">
        <v>0</v>
      </c>
      <c r="Q313" s="189">
        <v>0</v>
      </c>
      <c r="R313" s="189">
        <v>0</v>
      </c>
      <c r="S313" s="189">
        <v>0</v>
      </c>
      <c r="T313" s="189">
        <v>0</v>
      </c>
      <c r="U313" s="189">
        <v>0</v>
      </c>
      <c r="V313" s="189">
        <v>0</v>
      </c>
      <c r="W313" s="189">
        <v>0</v>
      </c>
    </row>
    <row r="314" spans="1:23" s="3" customFormat="1" ht="10.5" customHeight="1" thickBot="1" x14ac:dyDescent="0.25">
      <c r="A314" s="108" t="s">
        <v>473</v>
      </c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10"/>
    </row>
    <row r="315" spans="1:23" s="3" customFormat="1" ht="23.25" customHeight="1" x14ac:dyDescent="0.2">
      <c r="A315" s="80" t="s">
        <v>478</v>
      </c>
      <c r="B315" s="81"/>
      <c r="C315" s="111" t="s">
        <v>479</v>
      </c>
      <c r="D315" s="112"/>
      <c r="E315" s="112"/>
      <c r="F315" s="112"/>
      <c r="G315" s="113"/>
      <c r="H315" s="1" t="s">
        <v>475</v>
      </c>
      <c r="I315" s="2" t="s">
        <v>480</v>
      </c>
      <c r="J315" s="2" t="s">
        <v>480</v>
      </c>
      <c r="K315" s="2"/>
      <c r="L315" s="43">
        <v>0</v>
      </c>
      <c r="M315" s="43">
        <v>0</v>
      </c>
      <c r="N315" s="43">
        <v>0</v>
      </c>
      <c r="O315" s="43">
        <v>0</v>
      </c>
      <c r="P315" s="43">
        <v>0</v>
      </c>
      <c r="Q315" s="43">
        <v>0</v>
      </c>
      <c r="R315" s="43">
        <v>0</v>
      </c>
      <c r="S315" s="43">
        <v>0</v>
      </c>
      <c r="T315" s="43">
        <v>0</v>
      </c>
      <c r="U315" s="43">
        <v>0</v>
      </c>
      <c r="V315" s="43">
        <v>0</v>
      </c>
      <c r="W315" s="43">
        <v>0</v>
      </c>
    </row>
    <row r="316" spans="1:23" s="3" customFormat="1" ht="8.25" customHeight="1" x14ac:dyDescent="0.2">
      <c r="A316" s="80" t="s">
        <v>481</v>
      </c>
      <c r="B316" s="81"/>
      <c r="C316" s="85" t="s">
        <v>487</v>
      </c>
      <c r="D316" s="86"/>
      <c r="E316" s="86"/>
      <c r="F316" s="86"/>
      <c r="G316" s="87"/>
      <c r="H316" s="1" t="s">
        <v>476</v>
      </c>
      <c r="I316" s="2"/>
      <c r="J316" s="2"/>
      <c r="K316" s="2"/>
      <c r="L316" s="43">
        <v>0</v>
      </c>
      <c r="M316" s="43">
        <v>0</v>
      </c>
      <c r="N316" s="43">
        <v>0</v>
      </c>
      <c r="O316" s="43">
        <v>0</v>
      </c>
      <c r="P316" s="43">
        <v>0</v>
      </c>
      <c r="Q316" s="43">
        <v>0</v>
      </c>
      <c r="R316" s="43">
        <v>0</v>
      </c>
      <c r="S316" s="43">
        <v>0</v>
      </c>
      <c r="T316" s="43">
        <v>0</v>
      </c>
      <c r="U316" s="43">
        <v>0</v>
      </c>
      <c r="V316" s="43">
        <v>0</v>
      </c>
      <c r="W316" s="43">
        <v>0</v>
      </c>
    </row>
    <row r="317" spans="1:23" s="3" customFormat="1" ht="8.25" customHeight="1" x14ac:dyDescent="0.2">
      <c r="A317" s="80" t="s">
        <v>482</v>
      </c>
      <c r="B317" s="81"/>
      <c r="C317" s="85" t="s">
        <v>488</v>
      </c>
      <c r="D317" s="86"/>
      <c r="E317" s="86"/>
      <c r="F317" s="86"/>
      <c r="G317" s="87"/>
      <c r="H317" s="1" t="s">
        <v>477</v>
      </c>
      <c r="I317" s="2"/>
      <c r="J317" s="2"/>
      <c r="K317" s="2"/>
      <c r="L317" s="43">
        <v>0</v>
      </c>
      <c r="M317" s="43">
        <v>0</v>
      </c>
      <c r="N317" s="43">
        <v>0</v>
      </c>
      <c r="O317" s="43">
        <v>0</v>
      </c>
      <c r="P317" s="43">
        <v>0</v>
      </c>
      <c r="Q317" s="43">
        <v>0</v>
      </c>
      <c r="R317" s="43">
        <v>0</v>
      </c>
      <c r="S317" s="43">
        <v>0</v>
      </c>
      <c r="T317" s="43">
        <v>0</v>
      </c>
      <c r="U317" s="43">
        <v>0</v>
      </c>
      <c r="V317" s="43">
        <v>0</v>
      </c>
      <c r="W317" s="43">
        <v>0</v>
      </c>
    </row>
    <row r="318" spans="1:23" s="3" customFormat="1" ht="8.25" customHeight="1" x14ac:dyDescent="0.2">
      <c r="A318" s="80" t="s">
        <v>483</v>
      </c>
      <c r="B318" s="81"/>
      <c r="C318" s="85" t="s">
        <v>489</v>
      </c>
      <c r="D318" s="86"/>
      <c r="E318" s="86"/>
      <c r="F318" s="86"/>
      <c r="G318" s="87"/>
      <c r="H318" s="1" t="s">
        <v>476</v>
      </c>
      <c r="I318" s="2"/>
      <c r="J318" s="2"/>
      <c r="K318" s="2"/>
      <c r="L318" s="43">
        <v>0</v>
      </c>
      <c r="M318" s="43">
        <v>0</v>
      </c>
      <c r="N318" s="43">
        <v>0</v>
      </c>
      <c r="O318" s="43">
        <v>0</v>
      </c>
      <c r="P318" s="43">
        <v>0</v>
      </c>
      <c r="Q318" s="43">
        <v>0</v>
      </c>
      <c r="R318" s="43">
        <v>0</v>
      </c>
      <c r="S318" s="43">
        <v>0</v>
      </c>
      <c r="T318" s="43">
        <v>0</v>
      </c>
      <c r="U318" s="43">
        <v>0</v>
      </c>
      <c r="V318" s="43">
        <v>0</v>
      </c>
      <c r="W318" s="43">
        <v>0</v>
      </c>
    </row>
    <row r="319" spans="1:23" s="3" customFormat="1" ht="8.25" customHeight="1" x14ac:dyDescent="0.2">
      <c r="A319" s="80" t="s">
        <v>484</v>
      </c>
      <c r="B319" s="81"/>
      <c r="C319" s="85" t="s">
        <v>490</v>
      </c>
      <c r="D319" s="86"/>
      <c r="E319" s="86"/>
      <c r="F319" s="86"/>
      <c r="G319" s="87"/>
      <c r="H319" s="1" t="s">
        <v>477</v>
      </c>
      <c r="I319" s="2"/>
      <c r="J319" s="2"/>
      <c r="K319" s="2"/>
      <c r="L319" s="43">
        <v>0</v>
      </c>
      <c r="M319" s="43">
        <v>0</v>
      </c>
      <c r="N319" s="43">
        <v>0</v>
      </c>
      <c r="O319" s="43">
        <v>0</v>
      </c>
      <c r="P319" s="43">
        <v>0</v>
      </c>
      <c r="Q319" s="43">
        <v>0</v>
      </c>
      <c r="R319" s="43">
        <v>0</v>
      </c>
      <c r="S319" s="43">
        <v>0</v>
      </c>
      <c r="T319" s="43">
        <v>0</v>
      </c>
      <c r="U319" s="43">
        <v>0</v>
      </c>
      <c r="V319" s="43">
        <v>0</v>
      </c>
      <c r="W319" s="43">
        <v>0</v>
      </c>
    </row>
    <row r="320" spans="1:23" s="3" customFormat="1" ht="8.25" customHeight="1" x14ac:dyDescent="0.2">
      <c r="A320" s="80" t="s">
        <v>485</v>
      </c>
      <c r="B320" s="81"/>
      <c r="C320" s="85" t="s">
        <v>491</v>
      </c>
      <c r="D320" s="86"/>
      <c r="E320" s="86"/>
      <c r="F320" s="86"/>
      <c r="G320" s="87"/>
      <c r="H320" s="1" t="s">
        <v>498</v>
      </c>
      <c r="I320" s="2"/>
      <c r="J320" s="2"/>
      <c r="K320" s="2"/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</row>
    <row r="321" spans="1:23" s="3" customFormat="1" ht="8.25" customHeight="1" x14ac:dyDescent="0.2">
      <c r="A321" s="80" t="s">
        <v>486</v>
      </c>
      <c r="B321" s="81"/>
      <c r="C321" s="85" t="s">
        <v>492</v>
      </c>
      <c r="D321" s="86"/>
      <c r="E321" s="86"/>
      <c r="F321" s="86"/>
      <c r="G321" s="87"/>
      <c r="H321" s="1" t="s">
        <v>475</v>
      </c>
      <c r="I321" s="2" t="s">
        <v>480</v>
      </c>
      <c r="J321" s="2" t="s">
        <v>480</v>
      </c>
      <c r="K321" s="2"/>
      <c r="L321" s="4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  <c r="R321" s="43">
        <v>0</v>
      </c>
      <c r="S321" s="43">
        <v>0</v>
      </c>
      <c r="T321" s="43">
        <v>0</v>
      </c>
      <c r="U321" s="43">
        <v>0</v>
      </c>
      <c r="V321" s="43">
        <v>0</v>
      </c>
      <c r="W321" s="43">
        <v>0</v>
      </c>
    </row>
    <row r="322" spans="1:23" s="3" customFormat="1" ht="8.1" customHeight="1" x14ac:dyDescent="0.2">
      <c r="A322" s="80" t="s">
        <v>493</v>
      </c>
      <c r="B322" s="81"/>
      <c r="C322" s="77" t="s">
        <v>495</v>
      </c>
      <c r="D322" s="78"/>
      <c r="E322" s="78"/>
      <c r="F322" s="78"/>
      <c r="G322" s="79"/>
      <c r="H322" s="1" t="s">
        <v>498</v>
      </c>
      <c r="I322" s="2"/>
      <c r="J322" s="2"/>
      <c r="K322" s="2"/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</row>
    <row r="323" spans="1:23" s="3" customFormat="1" ht="8.1" customHeight="1" x14ac:dyDescent="0.2">
      <c r="A323" s="80" t="s">
        <v>494</v>
      </c>
      <c r="B323" s="81"/>
      <c r="C323" s="77" t="s">
        <v>496</v>
      </c>
      <c r="D323" s="78"/>
      <c r="E323" s="78"/>
      <c r="F323" s="78"/>
      <c r="G323" s="79"/>
      <c r="H323" s="1" t="s">
        <v>497</v>
      </c>
      <c r="I323" s="2"/>
      <c r="J323" s="2"/>
      <c r="K323" s="2"/>
      <c r="L323" s="43">
        <v>0</v>
      </c>
      <c r="M323" s="43">
        <v>0</v>
      </c>
      <c r="N323" s="43">
        <v>0</v>
      </c>
      <c r="O323" s="43">
        <v>0</v>
      </c>
      <c r="P323" s="43">
        <v>0</v>
      </c>
      <c r="Q323" s="43">
        <v>0</v>
      </c>
      <c r="R323" s="43">
        <v>0</v>
      </c>
      <c r="S323" s="43">
        <v>0</v>
      </c>
      <c r="T323" s="43">
        <v>0</v>
      </c>
      <c r="U323" s="43">
        <v>0</v>
      </c>
      <c r="V323" s="43">
        <v>0</v>
      </c>
      <c r="W323" s="43">
        <v>0</v>
      </c>
    </row>
    <row r="324" spans="1:23" s="3" customFormat="1" ht="8.25" customHeight="1" x14ac:dyDescent="0.2">
      <c r="A324" s="80" t="s">
        <v>499</v>
      </c>
      <c r="B324" s="81"/>
      <c r="C324" s="85" t="s">
        <v>503</v>
      </c>
      <c r="D324" s="86"/>
      <c r="E324" s="86"/>
      <c r="F324" s="86"/>
      <c r="G324" s="87"/>
      <c r="H324" s="1" t="s">
        <v>475</v>
      </c>
      <c r="I324" s="2" t="s">
        <v>480</v>
      </c>
      <c r="J324" s="2" t="s">
        <v>480</v>
      </c>
      <c r="K324" s="2"/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</row>
    <row r="325" spans="1:23" s="3" customFormat="1" ht="8.1" customHeight="1" x14ac:dyDescent="0.2">
      <c r="A325" s="80" t="s">
        <v>500</v>
      </c>
      <c r="B325" s="81"/>
      <c r="C325" s="77" t="s">
        <v>495</v>
      </c>
      <c r="D325" s="78"/>
      <c r="E325" s="78"/>
      <c r="F325" s="78"/>
      <c r="G325" s="79"/>
      <c r="H325" s="1" t="s">
        <v>498</v>
      </c>
      <c r="I325" s="2"/>
      <c r="J325" s="2"/>
      <c r="K325" s="2"/>
      <c r="L325" s="43">
        <v>0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  <c r="R325" s="43">
        <v>0</v>
      </c>
      <c r="S325" s="43">
        <v>0</v>
      </c>
      <c r="T325" s="43">
        <v>0</v>
      </c>
      <c r="U325" s="43">
        <v>0</v>
      </c>
      <c r="V325" s="43">
        <v>0</v>
      </c>
      <c r="W325" s="43">
        <v>0</v>
      </c>
    </row>
    <row r="326" spans="1:23" s="3" customFormat="1" ht="8.1" customHeight="1" x14ac:dyDescent="0.2">
      <c r="A326" s="80" t="s">
        <v>501</v>
      </c>
      <c r="B326" s="81"/>
      <c r="C326" s="77" t="s">
        <v>504</v>
      </c>
      <c r="D326" s="78"/>
      <c r="E326" s="78"/>
      <c r="F326" s="78"/>
      <c r="G326" s="79"/>
      <c r="H326" s="1" t="s">
        <v>476</v>
      </c>
      <c r="I326" s="2"/>
      <c r="J326" s="2"/>
      <c r="K326" s="2"/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</row>
    <row r="327" spans="1:23" s="3" customFormat="1" ht="8.1" customHeight="1" x14ac:dyDescent="0.2">
      <c r="A327" s="80" t="s">
        <v>502</v>
      </c>
      <c r="B327" s="81"/>
      <c r="C327" s="77" t="s">
        <v>496</v>
      </c>
      <c r="D327" s="78"/>
      <c r="E327" s="78"/>
      <c r="F327" s="78"/>
      <c r="G327" s="79"/>
      <c r="H327" s="1" t="s">
        <v>497</v>
      </c>
      <c r="I327" s="2"/>
      <c r="J327" s="2"/>
      <c r="K327" s="2"/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0</v>
      </c>
      <c r="S327" s="43">
        <v>0</v>
      </c>
      <c r="T327" s="43">
        <v>0</v>
      </c>
      <c r="U327" s="43">
        <v>0</v>
      </c>
      <c r="V327" s="43">
        <v>0</v>
      </c>
      <c r="W327" s="43">
        <v>0</v>
      </c>
    </row>
    <row r="328" spans="1:23" s="3" customFormat="1" ht="8.25" customHeight="1" x14ac:dyDescent="0.2">
      <c r="A328" s="80" t="s">
        <v>505</v>
      </c>
      <c r="B328" s="81"/>
      <c r="C328" s="85" t="s">
        <v>508</v>
      </c>
      <c r="D328" s="86"/>
      <c r="E328" s="86"/>
      <c r="F328" s="86"/>
      <c r="G328" s="87"/>
      <c r="H328" s="1" t="s">
        <v>475</v>
      </c>
      <c r="I328" s="2" t="s">
        <v>480</v>
      </c>
      <c r="J328" s="2" t="s">
        <v>480</v>
      </c>
      <c r="K328" s="2"/>
      <c r="L328" s="4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  <c r="R328" s="43">
        <v>0</v>
      </c>
      <c r="S328" s="43">
        <v>0</v>
      </c>
      <c r="T328" s="43">
        <v>0</v>
      </c>
      <c r="U328" s="43">
        <v>0</v>
      </c>
      <c r="V328" s="43">
        <v>0</v>
      </c>
      <c r="W328" s="43">
        <v>0</v>
      </c>
    </row>
    <row r="329" spans="1:23" s="3" customFormat="1" ht="8.1" customHeight="1" x14ac:dyDescent="0.2">
      <c r="A329" s="80" t="s">
        <v>506</v>
      </c>
      <c r="B329" s="81"/>
      <c r="C329" s="77" t="s">
        <v>495</v>
      </c>
      <c r="D329" s="78"/>
      <c r="E329" s="78"/>
      <c r="F329" s="78"/>
      <c r="G329" s="79"/>
      <c r="H329" s="1" t="s">
        <v>498</v>
      </c>
      <c r="I329" s="2"/>
      <c r="J329" s="2"/>
      <c r="K329" s="2"/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</row>
    <row r="330" spans="1:23" s="3" customFormat="1" ht="8.1" customHeight="1" x14ac:dyDescent="0.2">
      <c r="A330" s="80" t="s">
        <v>507</v>
      </c>
      <c r="B330" s="81"/>
      <c r="C330" s="77" t="s">
        <v>496</v>
      </c>
      <c r="D330" s="78"/>
      <c r="E330" s="78"/>
      <c r="F330" s="78"/>
      <c r="G330" s="79"/>
      <c r="H330" s="1" t="s">
        <v>497</v>
      </c>
      <c r="I330" s="2"/>
      <c r="J330" s="2"/>
      <c r="K330" s="2"/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</row>
    <row r="331" spans="1:23" s="3" customFormat="1" ht="8.25" customHeight="1" x14ac:dyDescent="0.2">
      <c r="A331" s="80" t="s">
        <v>509</v>
      </c>
      <c r="B331" s="81"/>
      <c r="C331" s="85" t="s">
        <v>671</v>
      </c>
      <c r="D331" s="86"/>
      <c r="E331" s="86"/>
      <c r="F331" s="86"/>
      <c r="G331" s="87"/>
      <c r="H331" s="1" t="s">
        <v>475</v>
      </c>
      <c r="I331" s="2" t="s">
        <v>480</v>
      </c>
      <c r="J331" s="2" t="s">
        <v>480</v>
      </c>
      <c r="K331" s="2"/>
      <c r="L331" s="43">
        <v>0</v>
      </c>
      <c r="M331" s="43">
        <v>0</v>
      </c>
      <c r="N331" s="43">
        <v>0</v>
      </c>
      <c r="O331" s="43">
        <v>0</v>
      </c>
      <c r="P331" s="43">
        <v>0</v>
      </c>
      <c r="Q331" s="43">
        <v>0</v>
      </c>
      <c r="R331" s="43">
        <v>0</v>
      </c>
      <c r="S331" s="43">
        <v>0</v>
      </c>
      <c r="T331" s="43">
        <v>0</v>
      </c>
      <c r="U331" s="43">
        <v>0</v>
      </c>
      <c r="V331" s="43">
        <v>0</v>
      </c>
      <c r="W331" s="43">
        <v>0</v>
      </c>
    </row>
    <row r="332" spans="1:23" s="3" customFormat="1" ht="8.1" customHeight="1" x14ac:dyDescent="0.2">
      <c r="A332" s="80" t="s">
        <v>510</v>
      </c>
      <c r="B332" s="81"/>
      <c r="C332" s="77" t="s">
        <v>495</v>
      </c>
      <c r="D332" s="78"/>
      <c r="E332" s="78"/>
      <c r="F332" s="78"/>
      <c r="G332" s="79"/>
      <c r="H332" s="1" t="s">
        <v>498</v>
      </c>
      <c r="I332" s="2"/>
      <c r="J332" s="2"/>
      <c r="K332" s="2"/>
      <c r="L332" s="4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3">
        <v>0</v>
      </c>
      <c r="S332" s="43">
        <v>0</v>
      </c>
      <c r="T332" s="43">
        <v>0</v>
      </c>
      <c r="U332" s="43">
        <v>0</v>
      </c>
      <c r="V332" s="43">
        <v>0</v>
      </c>
      <c r="W332" s="43">
        <v>0</v>
      </c>
    </row>
    <row r="333" spans="1:23" s="3" customFormat="1" ht="8.1" customHeight="1" x14ac:dyDescent="0.2">
      <c r="A333" s="80" t="s">
        <v>511</v>
      </c>
      <c r="B333" s="81"/>
      <c r="C333" s="77" t="s">
        <v>504</v>
      </c>
      <c r="D333" s="78"/>
      <c r="E333" s="78"/>
      <c r="F333" s="78"/>
      <c r="G333" s="79"/>
      <c r="H333" s="1" t="s">
        <v>476</v>
      </c>
      <c r="I333" s="2"/>
      <c r="J333" s="2"/>
      <c r="K333" s="2"/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</row>
    <row r="334" spans="1:23" s="3" customFormat="1" ht="8.1" customHeight="1" x14ac:dyDescent="0.2">
      <c r="A334" s="80" t="s">
        <v>512</v>
      </c>
      <c r="B334" s="81"/>
      <c r="C334" s="77" t="s">
        <v>496</v>
      </c>
      <c r="D334" s="78"/>
      <c r="E334" s="78"/>
      <c r="F334" s="78"/>
      <c r="G334" s="79"/>
      <c r="H334" s="1" t="s">
        <v>497</v>
      </c>
      <c r="I334" s="2"/>
      <c r="J334" s="2"/>
      <c r="K334" s="2"/>
      <c r="L334" s="4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3">
        <v>0</v>
      </c>
      <c r="S334" s="43">
        <v>0</v>
      </c>
      <c r="T334" s="43">
        <v>0</v>
      </c>
      <c r="U334" s="43">
        <v>0</v>
      </c>
      <c r="V334" s="43">
        <v>0</v>
      </c>
      <c r="W334" s="43">
        <v>0</v>
      </c>
    </row>
    <row r="335" spans="1:23" s="3" customFormat="1" ht="9" customHeight="1" x14ac:dyDescent="0.2">
      <c r="A335" s="80" t="s">
        <v>513</v>
      </c>
      <c r="B335" s="81"/>
      <c r="C335" s="111" t="s">
        <v>514</v>
      </c>
      <c r="D335" s="112"/>
      <c r="E335" s="112"/>
      <c r="F335" s="112"/>
      <c r="G335" s="113"/>
      <c r="H335" s="1" t="s">
        <v>475</v>
      </c>
      <c r="I335" s="2" t="s">
        <v>480</v>
      </c>
      <c r="J335" s="2" t="s">
        <v>480</v>
      </c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1"/>
    </row>
    <row r="336" spans="1:23" s="3" customFormat="1" ht="8.25" customHeight="1" x14ac:dyDescent="0.2">
      <c r="A336" s="80" t="s">
        <v>515</v>
      </c>
      <c r="B336" s="81"/>
      <c r="C336" s="85" t="s">
        <v>525</v>
      </c>
      <c r="D336" s="86"/>
      <c r="E336" s="86"/>
      <c r="F336" s="86"/>
      <c r="G336" s="87"/>
      <c r="H336" s="1" t="s">
        <v>498</v>
      </c>
      <c r="I336" s="4">
        <f>I338+I339</f>
        <v>376.28814999999997</v>
      </c>
      <c r="J336" s="4">
        <f>J338+J339</f>
        <v>396.49700000000001</v>
      </c>
      <c r="K336" s="4">
        <f>[1]модель!$H$295</f>
        <v>403.48610000000002</v>
      </c>
      <c r="L336" s="46">
        <v>408.56</v>
      </c>
      <c r="M336" s="46">
        <v>366.46300000000002</v>
      </c>
      <c r="N336" s="46">
        <v>419.69</v>
      </c>
      <c r="O336" s="46">
        <v>404.32299999999998</v>
      </c>
      <c r="P336" s="46">
        <v>431.28</v>
      </c>
      <c r="Q336" s="46">
        <v>396.18</v>
      </c>
      <c r="R336" s="46">
        <v>443.36</v>
      </c>
      <c r="S336" s="46">
        <v>443.36</v>
      </c>
      <c r="T336" s="46">
        <v>455.95</v>
      </c>
      <c r="U336" s="46">
        <v>455.95</v>
      </c>
      <c r="V336" s="46">
        <f>L336+N336+P336+R336+T336</f>
        <v>2158.8399999999997</v>
      </c>
      <c r="W336" s="53">
        <f>M336+O336+Q336+S336+U336</f>
        <v>2066.2759999999998</v>
      </c>
    </row>
    <row r="337" spans="1:23" s="3" customFormat="1" ht="16.5" customHeight="1" x14ac:dyDescent="0.2">
      <c r="A337" s="80" t="s">
        <v>516</v>
      </c>
      <c r="B337" s="81"/>
      <c r="C337" s="77" t="s">
        <v>526</v>
      </c>
      <c r="D337" s="78"/>
      <c r="E337" s="78"/>
      <c r="F337" s="78"/>
      <c r="G337" s="79"/>
      <c r="H337" s="1" t="s">
        <v>498</v>
      </c>
      <c r="I337" s="4"/>
      <c r="J337" s="4"/>
      <c r="K337" s="4"/>
      <c r="L337" s="46"/>
      <c r="M337" s="46">
        <v>0</v>
      </c>
      <c r="N337" s="46"/>
      <c r="O337" s="46">
        <v>0</v>
      </c>
      <c r="P337" s="46"/>
      <c r="Q337" s="46">
        <v>0</v>
      </c>
      <c r="R337" s="46"/>
      <c r="S337" s="46"/>
      <c r="T337" s="46"/>
      <c r="U337" s="46"/>
      <c r="V337" s="46">
        <f t="shared" ref="V337:W362" si="144">L337+N337+P337+R337+T337</f>
        <v>0</v>
      </c>
      <c r="W337" s="53">
        <f t="shared" si="144"/>
        <v>0</v>
      </c>
    </row>
    <row r="338" spans="1:23" s="3" customFormat="1" ht="8.1" customHeight="1" x14ac:dyDescent="0.2">
      <c r="A338" s="80" t="s">
        <v>527</v>
      </c>
      <c r="B338" s="81"/>
      <c r="C338" s="96" t="s">
        <v>529</v>
      </c>
      <c r="D338" s="97"/>
      <c r="E338" s="97"/>
      <c r="F338" s="97"/>
      <c r="G338" s="98"/>
      <c r="H338" s="1" t="s">
        <v>498</v>
      </c>
      <c r="I338" s="4">
        <f>230.491891+3.181108</f>
        <v>233.672999</v>
      </c>
      <c r="J338" s="4">
        <f>221.131+2.751</f>
        <v>223.88200000000001</v>
      </c>
      <c r="K338" s="4"/>
      <c r="L338" s="46">
        <v>232.5</v>
      </c>
      <c r="M338" s="46">
        <v>194.37200000000001</v>
      </c>
      <c r="N338" s="46">
        <v>234.82</v>
      </c>
      <c r="O338" s="46">
        <v>223.29300000000001</v>
      </c>
      <c r="P338" s="46">
        <v>237.17</v>
      </c>
      <c r="Q338" s="46">
        <v>219.69499999999999</v>
      </c>
      <c r="R338" s="46">
        <v>239.54</v>
      </c>
      <c r="S338" s="46">
        <v>239.54</v>
      </c>
      <c r="T338" s="46">
        <v>241.94</v>
      </c>
      <c r="U338" s="46">
        <v>241.94</v>
      </c>
      <c r="V338" s="46">
        <f>L338+N338+P338+R338+T338</f>
        <v>1185.97</v>
      </c>
      <c r="W338" s="53">
        <f>M338+O338+Q338+S338+U338</f>
        <v>1118.8399999999999</v>
      </c>
    </row>
    <row r="339" spans="1:23" s="3" customFormat="1" ht="8.1" customHeight="1" x14ac:dyDescent="0.2">
      <c r="A339" s="80" t="s">
        <v>528</v>
      </c>
      <c r="B339" s="81"/>
      <c r="C339" s="96" t="s">
        <v>530</v>
      </c>
      <c r="D339" s="97"/>
      <c r="E339" s="97"/>
      <c r="F339" s="97"/>
      <c r="G339" s="98"/>
      <c r="H339" s="1" t="s">
        <v>498</v>
      </c>
      <c r="I339" s="4">
        <f>376.28815-I338</f>
        <v>142.61515099999997</v>
      </c>
      <c r="J339" s="4">
        <v>172.61500000000001</v>
      </c>
      <c r="K339" s="4"/>
      <c r="L339" s="46">
        <v>176.07</v>
      </c>
      <c r="M339" s="46">
        <v>172.09100000000001</v>
      </c>
      <c r="N339" s="46">
        <v>184.87</v>
      </c>
      <c r="O339" s="46">
        <f>O336-O338</f>
        <v>181.02999999999997</v>
      </c>
      <c r="P339" s="46">
        <v>194.11</v>
      </c>
      <c r="Q339" s="46">
        <f>Q336-Q338</f>
        <v>176.48500000000001</v>
      </c>
      <c r="R339" s="46">
        <v>203.82</v>
      </c>
      <c r="S339" s="46">
        <v>203.82</v>
      </c>
      <c r="T339" s="46">
        <v>214.01</v>
      </c>
      <c r="U339" s="46">
        <v>214.01</v>
      </c>
      <c r="V339" s="46">
        <f t="shared" si="144"/>
        <v>972.87999999999988</v>
      </c>
      <c r="W339" s="53">
        <f t="shared" si="144"/>
        <v>947.43599999999992</v>
      </c>
    </row>
    <row r="340" spans="1:23" s="3" customFormat="1" ht="8.25" customHeight="1" x14ac:dyDescent="0.2">
      <c r="A340" s="80" t="s">
        <v>517</v>
      </c>
      <c r="B340" s="81"/>
      <c r="C340" s="85" t="s">
        <v>531</v>
      </c>
      <c r="D340" s="86"/>
      <c r="E340" s="86"/>
      <c r="F340" s="86"/>
      <c r="G340" s="87"/>
      <c r="H340" s="1" t="s">
        <v>498</v>
      </c>
      <c r="I340" s="4">
        <f>8.150526+0.317588</f>
        <v>8.4681139999999999</v>
      </c>
      <c r="J340" s="4">
        <f>6.982+0.36</f>
        <v>7.3420000000000005</v>
      </c>
      <c r="K340" s="4">
        <f>[1]модель!$H$298</f>
        <v>15.385300000000001</v>
      </c>
      <c r="L340" s="46">
        <v>19.13</v>
      </c>
      <c r="M340" s="46">
        <v>11.15</v>
      </c>
      <c r="N340" s="46">
        <v>19.7</v>
      </c>
      <c r="O340" s="46">
        <v>16.847000000000001</v>
      </c>
      <c r="P340" s="46">
        <v>20.29</v>
      </c>
      <c r="Q340" s="46">
        <v>16.507999999999999</v>
      </c>
      <c r="R340" s="46">
        <v>20.9</v>
      </c>
      <c r="S340" s="46">
        <v>20.9</v>
      </c>
      <c r="T340" s="46">
        <v>21.53</v>
      </c>
      <c r="U340" s="46">
        <v>21.53</v>
      </c>
      <c r="V340" s="46">
        <f t="shared" si="144"/>
        <v>101.55</v>
      </c>
      <c r="W340" s="53">
        <f t="shared" si="144"/>
        <v>86.935000000000002</v>
      </c>
    </row>
    <row r="341" spans="1:23" s="3" customFormat="1" ht="8.25" customHeight="1" x14ac:dyDescent="0.2">
      <c r="A341" s="80" t="s">
        <v>518</v>
      </c>
      <c r="B341" s="81"/>
      <c r="C341" s="85" t="s">
        <v>532</v>
      </c>
      <c r="D341" s="86"/>
      <c r="E341" s="86"/>
      <c r="F341" s="86"/>
      <c r="G341" s="87"/>
      <c r="H341" s="1" t="s">
        <v>476</v>
      </c>
      <c r="I341" s="4">
        <v>50.701999999999998</v>
      </c>
      <c r="J341" s="4">
        <v>52.816000000000003</v>
      </c>
      <c r="K341" s="4">
        <f>[1]модель!$H$314</f>
        <v>56.882899999999999</v>
      </c>
      <c r="L341" s="46">
        <v>58.72</v>
      </c>
      <c r="M341" s="46">
        <v>62.134999999999998</v>
      </c>
      <c r="N341" s="46">
        <v>59.8</v>
      </c>
      <c r="O341" s="46">
        <v>62.003999999999998</v>
      </c>
      <c r="P341" s="46">
        <v>60.9</v>
      </c>
      <c r="Q341" s="46">
        <v>61.259</v>
      </c>
      <c r="R341" s="46">
        <v>62.03</v>
      </c>
      <c r="S341" s="46">
        <v>62.03</v>
      </c>
      <c r="T341" s="46">
        <v>63.18</v>
      </c>
      <c r="U341" s="46">
        <v>63.18</v>
      </c>
      <c r="V341" s="46">
        <f t="shared" si="144"/>
        <v>304.63</v>
      </c>
      <c r="W341" s="53">
        <f t="shared" si="144"/>
        <v>310.608</v>
      </c>
    </row>
    <row r="342" spans="1:23" s="3" customFormat="1" ht="16.5" customHeight="1" x14ac:dyDescent="0.2">
      <c r="A342" s="80" t="s">
        <v>519</v>
      </c>
      <c r="B342" s="81"/>
      <c r="C342" s="77" t="s">
        <v>533</v>
      </c>
      <c r="D342" s="78"/>
      <c r="E342" s="78"/>
      <c r="F342" s="78"/>
      <c r="G342" s="79"/>
      <c r="H342" s="1" t="s">
        <v>476</v>
      </c>
      <c r="I342" s="4"/>
      <c r="J342" s="4"/>
      <c r="K342" s="4"/>
      <c r="L342" s="46"/>
      <c r="M342" s="46">
        <v>0</v>
      </c>
      <c r="N342" s="46"/>
      <c r="O342" s="46"/>
      <c r="P342" s="46"/>
      <c r="Q342" s="46"/>
      <c r="R342" s="46"/>
      <c r="S342" s="46"/>
      <c r="T342" s="46"/>
      <c r="U342" s="46"/>
      <c r="V342" s="46">
        <v>0</v>
      </c>
      <c r="W342" s="53">
        <f t="shared" si="144"/>
        <v>0</v>
      </c>
    </row>
    <row r="343" spans="1:23" s="3" customFormat="1" ht="8.1" customHeight="1" x14ac:dyDescent="0.2">
      <c r="A343" s="80" t="s">
        <v>520</v>
      </c>
      <c r="B343" s="81"/>
      <c r="C343" s="96" t="s">
        <v>529</v>
      </c>
      <c r="D343" s="97"/>
      <c r="E343" s="97"/>
      <c r="F343" s="97"/>
      <c r="G343" s="98"/>
      <c r="H343" s="1" t="s">
        <v>476</v>
      </c>
      <c r="I343" s="4">
        <f>33.715+0.54</f>
        <v>34.255000000000003</v>
      </c>
      <c r="J343" s="4">
        <f>33.444+0.435</f>
        <v>33.879000000000005</v>
      </c>
      <c r="K343" s="4"/>
      <c r="L343" s="46">
        <v>34.22</v>
      </c>
      <c r="M343" s="46">
        <v>36.061</v>
      </c>
      <c r="N343" s="46">
        <v>34.56</v>
      </c>
      <c r="O343" s="46">
        <v>33.466000000000001</v>
      </c>
      <c r="P343" s="46">
        <v>34.909999999999997</v>
      </c>
      <c r="Q343" s="46">
        <v>32.963000000000001</v>
      </c>
      <c r="R343" s="46">
        <v>35.25</v>
      </c>
      <c r="S343" s="46">
        <v>35.25</v>
      </c>
      <c r="T343" s="46">
        <v>35.61</v>
      </c>
      <c r="U343" s="46">
        <v>35.61</v>
      </c>
      <c r="V343" s="46">
        <f t="shared" si="144"/>
        <v>174.55</v>
      </c>
      <c r="W343" s="53">
        <f t="shared" si="144"/>
        <v>173.35000000000002</v>
      </c>
    </row>
    <row r="344" spans="1:23" s="3" customFormat="1" ht="8.1" customHeight="1" x14ac:dyDescent="0.2">
      <c r="A344" s="80" t="s">
        <v>521</v>
      </c>
      <c r="B344" s="81"/>
      <c r="C344" s="96" t="s">
        <v>530</v>
      </c>
      <c r="D344" s="97"/>
      <c r="E344" s="97"/>
      <c r="F344" s="97"/>
      <c r="G344" s="98"/>
      <c r="H344" s="1" t="s">
        <v>476</v>
      </c>
      <c r="I344" s="4">
        <f>I341-I343</f>
        <v>16.446999999999996</v>
      </c>
      <c r="J344" s="4">
        <f>J341-J343</f>
        <v>18.936999999999998</v>
      </c>
      <c r="K344" s="4"/>
      <c r="L344" s="46">
        <v>24.5</v>
      </c>
      <c r="M344" s="46">
        <v>26.073999999999998</v>
      </c>
      <c r="N344" s="46">
        <v>25.24</v>
      </c>
      <c r="O344" s="46">
        <f>O341-O343</f>
        <v>28.537999999999997</v>
      </c>
      <c r="P344" s="46">
        <v>25.99</v>
      </c>
      <c r="Q344" s="46">
        <f>Q341-Q343</f>
        <v>28.295999999999999</v>
      </c>
      <c r="R344" s="46">
        <v>26.77</v>
      </c>
      <c r="S344" s="46">
        <v>26.77</v>
      </c>
      <c r="T344" s="46">
        <v>27.58</v>
      </c>
      <c r="U344" s="46">
        <v>27.58</v>
      </c>
      <c r="V344" s="46">
        <f t="shared" si="144"/>
        <v>130.07999999999998</v>
      </c>
      <c r="W344" s="53">
        <f t="shared" si="144"/>
        <v>137.25799999999998</v>
      </c>
    </row>
    <row r="345" spans="1:23" s="3" customFormat="1" ht="8.25" customHeight="1" x14ac:dyDescent="0.2">
      <c r="A345" s="80" t="s">
        <v>522</v>
      </c>
      <c r="B345" s="81"/>
      <c r="C345" s="85" t="s">
        <v>534</v>
      </c>
      <c r="D345" s="86"/>
      <c r="E345" s="86"/>
      <c r="F345" s="86"/>
      <c r="G345" s="87"/>
      <c r="H345" s="1" t="s">
        <v>524</v>
      </c>
      <c r="I345" s="4">
        <v>2505.48</v>
      </c>
      <c r="J345" s="4">
        <v>3045.41</v>
      </c>
      <c r="K345" s="4">
        <f>[1]модель!$H$10</f>
        <v>2757.3799999999997</v>
      </c>
      <c r="L345" s="46">
        <v>3468.46</v>
      </c>
      <c r="M345" s="46">
        <v>3586.36</v>
      </c>
      <c r="N345" s="46">
        <v>3709.48</v>
      </c>
      <c r="O345" s="46">
        <f>[8]стр.1_9!$BT$61</f>
        <v>3786.5587999999998</v>
      </c>
      <c r="P345" s="46">
        <v>3723.08</v>
      </c>
      <c r="Q345" s="46">
        <f>[8]стр.1_9!$CK$61</f>
        <v>3875.6489999999999</v>
      </c>
      <c r="R345" s="46">
        <v>3951.96</v>
      </c>
      <c r="S345" s="46">
        <v>3951.96</v>
      </c>
      <c r="T345" s="46">
        <v>4007.38</v>
      </c>
      <c r="U345" s="46">
        <v>4007.38</v>
      </c>
      <c r="V345" s="46">
        <f t="shared" si="144"/>
        <v>18860.36</v>
      </c>
      <c r="W345" s="53">
        <f t="shared" si="144"/>
        <v>19207.907800000001</v>
      </c>
    </row>
    <row r="346" spans="1:23" s="3" customFormat="1" ht="16.5" customHeight="1" x14ac:dyDescent="0.2">
      <c r="A346" s="80" t="s">
        <v>523</v>
      </c>
      <c r="B346" s="81"/>
      <c r="C346" s="85" t="s">
        <v>693</v>
      </c>
      <c r="D346" s="86"/>
      <c r="E346" s="86"/>
      <c r="F346" s="86"/>
      <c r="G346" s="87"/>
      <c r="H346" s="1" t="s">
        <v>5</v>
      </c>
      <c r="I346" s="4">
        <f>I25-I59-I53</f>
        <v>194.34</v>
      </c>
      <c r="J346" s="4">
        <f>J25-J59-J53</f>
        <v>243.44</v>
      </c>
      <c r="K346" s="4">
        <f>K40-K59-K60-K53</f>
        <v>187.91133531999998</v>
      </c>
      <c r="L346" s="43">
        <f>L40-L59-L60-L53</f>
        <v>235.24000000000004</v>
      </c>
      <c r="M346" s="43">
        <f>M40-M59-M60-M53</f>
        <v>235.43822678999999</v>
      </c>
      <c r="N346" s="43">
        <f t="shared" ref="N346:U346" si="145">N25-N59-N53</f>
        <v>274.88</v>
      </c>
      <c r="O346" s="43">
        <f t="shared" si="145"/>
        <v>278.40812816341543</v>
      </c>
      <c r="P346" s="43">
        <f t="shared" si="145"/>
        <v>278.38</v>
      </c>
      <c r="Q346" s="43">
        <f t="shared" si="145"/>
        <v>365.9237865788599</v>
      </c>
      <c r="R346" s="43">
        <f t="shared" si="145"/>
        <v>281.99</v>
      </c>
      <c r="S346" s="43">
        <f t="shared" si="145"/>
        <v>335.21671444396651</v>
      </c>
      <c r="T346" s="43">
        <f t="shared" si="145"/>
        <v>285.7</v>
      </c>
      <c r="U346" s="43">
        <f t="shared" si="145"/>
        <v>359.65021940054157</v>
      </c>
      <c r="V346" s="43">
        <f t="shared" si="144"/>
        <v>1356.19</v>
      </c>
      <c r="W346" s="48">
        <f t="shared" si="144"/>
        <v>1574.6370753767833</v>
      </c>
    </row>
    <row r="347" spans="1:23" s="3" customFormat="1" ht="9" customHeight="1" x14ac:dyDescent="0.2">
      <c r="A347" s="80" t="s">
        <v>535</v>
      </c>
      <c r="B347" s="81"/>
      <c r="C347" s="111" t="s">
        <v>539</v>
      </c>
      <c r="D347" s="112"/>
      <c r="E347" s="112"/>
      <c r="F347" s="112"/>
      <c r="G347" s="113"/>
      <c r="H347" s="1" t="s">
        <v>475</v>
      </c>
      <c r="I347" s="4" t="s">
        <v>480</v>
      </c>
      <c r="J347" s="4" t="s">
        <v>480</v>
      </c>
      <c r="K347" s="4"/>
      <c r="L347" s="4"/>
      <c r="M347" s="46"/>
      <c r="N347" s="4"/>
      <c r="O347" s="46"/>
      <c r="P347" s="4"/>
      <c r="Q347" s="46"/>
      <c r="R347" s="4"/>
      <c r="S347" s="46"/>
      <c r="T347" s="4"/>
      <c r="U347" s="46"/>
      <c r="V347" s="46">
        <f t="shared" si="144"/>
        <v>0</v>
      </c>
      <c r="W347" s="53">
        <f t="shared" si="144"/>
        <v>0</v>
      </c>
    </row>
    <row r="348" spans="1:23" s="3" customFormat="1" ht="8.1" customHeight="1" x14ac:dyDescent="0.2">
      <c r="A348" s="80" t="s">
        <v>536</v>
      </c>
      <c r="B348" s="81"/>
      <c r="C348" s="85" t="s">
        <v>540</v>
      </c>
      <c r="D348" s="86"/>
      <c r="E348" s="86"/>
      <c r="F348" s="86"/>
      <c r="G348" s="87"/>
      <c r="H348" s="1" t="s">
        <v>498</v>
      </c>
      <c r="I348" s="4">
        <v>90.205321999999995</v>
      </c>
      <c r="J348" s="4">
        <f>90.205*1.01</f>
        <v>91.107050000000001</v>
      </c>
      <c r="K348" s="4"/>
      <c r="L348" s="46">
        <v>92.02</v>
      </c>
      <c r="M348" s="46">
        <v>86.768000000000001</v>
      </c>
      <c r="N348" s="46">
        <v>92.94</v>
      </c>
      <c r="O348" s="46">
        <v>92.918000000000006</v>
      </c>
      <c r="P348" s="46">
        <v>93.87</v>
      </c>
      <c r="Q348" s="46">
        <v>88.933000000000007</v>
      </c>
      <c r="R348" s="46">
        <v>94.81</v>
      </c>
      <c r="S348" s="46">
        <v>94.81</v>
      </c>
      <c r="T348" s="46">
        <v>95.75</v>
      </c>
      <c r="U348" s="46">
        <v>95.75</v>
      </c>
      <c r="V348" s="46">
        <f t="shared" si="144"/>
        <v>469.39</v>
      </c>
      <c r="W348" s="53">
        <f t="shared" si="144"/>
        <v>459.17900000000003</v>
      </c>
    </row>
    <row r="349" spans="1:23" s="3" customFormat="1" x14ac:dyDescent="0.2">
      <c r="A349" s="80" t="s">
        <v>537</v>
      </c>
      <c r="B349" s="81"/>
      <c r="C349" s="85" t="s">
        <v>542</v>
      </c>
      <c r="D349" s="86"/>
      <c r="E349" s="86"/>
      <c r="F349" s="86"/>
      <c r="G349" s="87"/>
      <c r="H349" s="1" t="s">
        <v>477</v>
      </c>
      <c r="I349" s="4"/>
      <c r="J349" s="4"/>
      <c r="K349" s="4"/>
      <c r="L349" s="43">
        <v>0</v>
      </c>
      <c r="M349" s="43">
        <v>0</v>
      </c>
      <c r="N349" s="43">
        <v>0</v>
      </c>
      <c r="O349" s="43">
        <v>0</v>
      </c>
      <c r="P349" s="43">
        <v>0</v>
      </c>
      <c r="Q349" s="43">
        <v>0</v>
      </c>
      <c r="R349" s="43">
        <v>0</v>
      </c>
      <c r="S349" s="43">
        <v>0</v>
      </c>
      <c r="T349" s="43">
        <v>0</v>
      </c>
      <c r="U349" s="43">
        <v>0</v>
      </c>
      <c r="V349" s="43">
        <v>0</v>
      </c>
      <c r="W349" s="48">
        <f t="shared" si="144"/>
        <v>0</v>
      </c>
    </row>
    <row r="350" spans="1:23" s="3" customFormat="1" ht="24.75" customHeight="1" x14ac:dyDescent="0.2">
      <c r="A350" s="80" t="s">
        <v>538</v>
      </c>
      <c r="B350" s="81"/>
      <c r="C350" s="85" t="s">
        <v>543</v>
      </c>
      <c r="D350" s="86"/>
      <c r="E350" s="86"/>
      <c r="F350" s="86"/>
      <c r="G350" s="87"/>
      <c r="H350" s="1" t="s">
        <v>5</v>
      </c>
      <c r="I350" s="4">
        <f>339.398-330.806</f>
        <v>8.5920000000000414</v>
      </c>
      <c r="J350" s="4">
        <f>J28-J43</f>
        <v>4.8899999999999864</v>
      </c>
      <c r="K350" s="4">
        <f>K28-K43</f>
        <v>4.2926913216666662</v>
      </c>
      <c r="L350" s="43">
        <v>4.6999999999999886</v>
      </c>
      <c r="M350" s="43">
        <v>7.38</v>
      </c>
      <c r="N350" s="43">
        <v>5</v>
      </c>
      <c r="O350" s="43">
        <f>O28-O43</f>
        <v>-53.983978390234824</v>
      </c>
      <c r="P350" s="43">
        <v>5.3799999999999955</v>
      </c>
      <c r="Q350" s="43">
        <f>Q28-Q43</f>
        <v>14.28695249153634</v>
      </c>
      <c r="R350" s="43">
        <v>5.7599999999999909</v>
      </c>
      <c r="S350" s="43">
        <f>S28-S43</f>
        <v>5.7599999999999909</v>
      </c>
      <c r="T350" s="43">
        <v>6.1399999999999864</v>
      </c>
      <c r="U350" s="43">
        <f>U28-U43</f>
        <v>6.1399999999999864</v>
      </c>
      <c r="V350" s="43">
        <f t="shared" si="144"/>
        <v>26.979999999999961</v>
      </c>
      <c r="W350" s="48">
        <f t="shared" si="144"/>
        <v>-20.417025898698505</v>
      </c>
    </row>
    <row r="351" spans="1:23" s="3" customFormat="1" ht="16.5" customHeight="1" x14ac:dyDescent="0.2">
      <c r="A351" s="80" t="s">
        <v>541</v>
      </c>
      <c r="B351" s="81"/>
      <c r="C351" s="85" t="s">
        <v>544</v>
      </c>
      <c r="D351" s="86"/>
      <c r="E351" s="86"/>
      <c r="F351" s="86"/>
      <c r="G351" s="87"/>
      <c r="H351" s="1" t="s">
        <v>5</v>
      </c>
      <c r="I351" s="2"/>
      <c r="J351" s="2"/>
      <c r="K351" s="2"/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3">
        <v>0</v>
      </c>
      <c r="S351" s="43">
        <v>0</v>
      </c>
      <c r="T351" s="43">
        <v>0</v>
      </c>
      <c r="U351" s="43">
        <v>0</v>
      </c>
      <c r="V351" s="46">
        <f t="shared" si="144"/>
        <v>0</v>
      </c>
      <c r="W351" s="53">
        <f t="shared" si="144"/>
        <v>0</v>
      </c>
    </row>
    <row r="352" spans="1:23" s="3" customFormat="1" ht="9" customHeight="1" x14ac:dyDescent="0.2">
      <c r="A352" s="80" t="s">
        <v>545</v>
      </c>
      <c r="B352" s="81"/>
      <c r="C352" s="111" t="s">
        <v>546</v>
      </c>
      <c r="D352" s="112"/>
      <c r="E352" s="112"/>
      <c r="F352" s="112"/>
      <c r="G352" s="113"/>
      <c r="H352" s="1" t="s">
        <v>475</v>
      </c>
      <c r="I352" s="2" t="s">
        <v>480</v>
      </c>
      <c r="J352" s="2" t="s">
        <v>480</v>
      </c>
      <c r="K352" s="2"/>
      <c r="L352" s="190"/>
      <c r="M352" s="190"/>
      <c r="N352" s="190"/>
      <c r="O352" s="190"/>
      <c r="P352" s="190"/>
      <c r="Q352" s="190"/>
      <c r="R352" s="190"/>
      <c r="S352" s="190"/>
      <c r="T352" s="190"/>
      <c r="U352" s="190"/>
      <c r="V352" s="190">
        <f>L352+N352+P352+R352+T352</f>
        <v>0</v>
      </c>
      <c r="W352" s="191">
        <f t="shared" si="144"/>
        <v>0</v>
      </c>
    </row>
    <row r="353" spans="1:23" s="3" customFormat="1" ht="8.25" customHeight="1" x14ac:dyDescent="0.2">
      <c r="A353" s="80" t="s">
        <v>547</v>
      </c>
      <c r="B353" s="81"/>
      <c r="C353" s="85" t="s">
        <v>551</v>
      </c>
      <c r="D353" s="86"/>
      <c r="E353" s="86"/>
      <c r="F353" s="86"/>
      <c r="G353" s="87"/>
      <c r="H353" s="1" t="s">
        <v>476</v>
      </c>
      <c r="I353" s="2"/>
      <c r="J353" s="2"/>
      <c r="K353" s="2"/>
      <c r="L353" s="4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3">
        <v>0</v>
      </c>
      <c r="S353" s="43">
        <v>0</v>
      </c>
      <c r="T353" s="43">
        <v>0</v>
      </c>
      <c r="U353" s="43">
        <v>0</v>
      </c>
      <c r="V353" s="46">
        <f t="shared" ref="V353:V357" si="146">L353+N353+P353+R353+T353</f>
        <v>0</v>
      </c>
      <c r="W353" s="53">
        <f t="shared" si="144"/>
        <v>0</v>
      </c>
    </row>
    <row r="354" spans="1:23" s="3" customFormat="1" ht="24.75" customHeight="1" x14ac:dyDescent="0.2">
      <c r="A354" s="80" t="s">
        <v>548</v>
      </c>
      <c r="B354" s="81"/>
      <c r="C354" s="77" t="s">
        <v>552</v>
      </c>
      <c r="D354" s="78"/>
      <c r="E354" s="78"/>
      <c r="F354" s="78"/>
      <c r="G354" s="79"/>
      <c r="H354" s="1" t="s">
        <v>476</v>
      </c>
      <c r="I354" s="2"/>
      <c r="J354" s="2"/>
      <c r="K354" s="2"/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6">
        <f t="shared" si="146"/>
        <v>0</v>
      </c>
      <c r="W354" s="53">
        <f t="shared" si="144"/>
        <v>0</v>
      </c>
    </row>
    <row r="355" spans="1:23" s="3" customFormat="1" ht="24.75" customHeight="1" x14ac:dyDescent="0.2">
      <c r="A355" s="80" t="s">
        <v>549</v>
      </c>
      <c r="B355" s="81"/>
      <c r="C355" s="77" t="s">
        <v>553</v>
      </c>
      <c r="D355" s="78"/>
      <c r="E355" s="78"/>
      <c r="F355" s="78"/>
      <c r="G355" s="79"/>
      <c r="H355" s="1" t="s">
        <v>476</v>
      </c>
      <c r="I355" s="2"/>
      <c r="J355" s="2"/>
      <c r="K355" s="2"/>
      <c r="L355" s="4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3">
        <v>0</v>
      </c>
      <c r="S355" s="43">
        <v>0</v>
      </c>
      <c r="T355" s="43">
        <v>0</v>
      </c>
      <c r="U355" s="43">
        <v>0</v>
      </c>
      <c r="V355" s="46">
        <f t="shared" si="146"/>
        <v>0</v>
      </c>
      <c r="W355" s="53">
        <f t="shared" si="144"/>
        <v>0</v>
      </c>
    </row>
    <row r="356" spans="1:23" s="3" customFormat="1" ht="16.5" customHeight="1" x14ac:dyDescent="0.2">
      <c r="A356" s="80" t="s">
        <v>550</v>
      </c>
      <c r="B356" s="81"/>
      <c r="C356" s="77" t="s">
        <v>554</v>
      </c>
      <c r="D356" s="78"/>
      <c r="E356" s="78"/>
      <c r="F356" s="78"/>
      <c r="G356" s="79"/>
      <c r="H356" s="1" t="s">
        <v>476</v>
      </c>
      <c r="I356" s="2"/>
      <c r="J356" s="2"/>
      <c r="K356" s="2"/>
      <c r="L356" s="43">
        <v>0</v>
      </c>
      <c r="M356" s="43">
        <v>0</v>
      </c>
      <c r="N356" s="43">
        <v>0</v>
      </c>
      <c r="O356" s="43">
        <v>0</v>
      </c>
      <c r="P356" s="43">
        <v>0</v>
      </c>
      <c r="Q356" s="43">
        <v>0</v>
      </c>
      <c r="R356" s="43">
        <v>0</v>
      </c>
      <c r="S356" s="43">
        <v>0</v>
      </c>
      <c r="T356" s="43">
        <v>0</v>
      </c>
      <c r="U356" s="43">
        <v>0</v>
      </c>
      <c r="V356" s="46">
        <f t="shared" si="146"/>
        <v>0</v>
      </c>
      <c r="W356" s="53">
        <f t="shared" si="144"/>
        <v>0</v>
      </c>
    </row>
    <row r="357" spans="1:23" s="3" customFormat="1" ht="8.25" customHeight="1" x14ac:dyDescent="0.2">
      <c r="A357" s="80" t="s">
        <v>555</v>
      </c>
      <c r="B357" s="81"/>
      <c r="C357" s="85" t="s">
        <v>563</v>
      </c>
      <c r="D357" s="86"/>
      <c r="E357" s="86"/>
      <c r="F357" s="86"/>
      <c r="G357" s="87"/>
      <c r="H357" s="1" t="s">
        <v>498</v>
      </c>
      <c r="I357" s="2"/>
      <c r="J357" s="2"/>
      <c r="K357" s="2"/>
      <c r="L357" s="43">
        <v>0</v>
      </c>
      <c r="M357" s="43">
        <v>0</v>
      </c>
      <c r="N357" s="43">
        <v>0</v>
      </c>
      <c r="O357" s="43">
        <v>0</v>
      </c>
      <c r="P357" s="43">
        <v>0</v>
      </c>
      <c r="Q357" s="43">
        <v>0</v>
      </c>
      <c r="R357" s="43">
        <v>0</v>
      </c>
      <c r="S357" s="43">
        <v>0</v>
      </c>
      <c r="T357" s="43">
        <v>0</v>
      </c>
      <c r="U357" s="43">
        <v>0</v>
      </c>
      <c r="V357" s="46">
        <f t="shared" si="146"/>
        <v>0</v>
      </c>
      <c r="W357" s="53">
        <f t="shared" si="144"/>
        <v>0</v>
      </c>
    </row>
    <row r="358" spans="1:23" s="3" customFormat="1" ht="16.5" customHeight="1" x14ac:dyDescent="0.2">
      <c r="A358" s="80" t="s">
        <v>556</v>
      </c>
      <c r="B358" s="81"/>
      <c r="C358" s="77" t="s">
        <v>672</v>
      </c>
      <c r="D358" s="78"/>
      <c r="E358" s="78"/>
      <c r="F358" s="78"/>
      <c r="G358" s="79"/>
      <c r="H358" s="1" t="s">
        <v>498</v>
      </c>
      <c r="I358" s="2"/>
      <c r="J358" s="2"/>
      <c r="K358" s="2"/>
      <c r="L358" s="43">
        <v>0</v>
      </c>
      <c r="M358" s="43">
        <v>0</v>
      </c>
      <c r="N358" s="43">
        <v>0</v>
      </c>
      <c r="O358" s="43">
        <v>0</v>
      </c>
      <c r="P358" s="43">
        <v>0</v>
      </c>
      <c r="Q358" s="43">
        <v>0</v>
      </c>
      <c r="R358" s="43">
        <v>0</v>
      </c>
      <c r="S358" s="43">
        <v>0</v>
      </c>
      <c r="T358" s="43">
        <v>0</v>
      </c>
      <c r="U358" s="43">
        <v>0</v>
      </c>
      <c r="V358" s="46"/>
      <c r="W358" s="53">
        <f t="shared" si="144"/>
        <v>0</v>
      </c>
    </row>
    <row r="359" spans="1:23" s="3" customFormat="1" ht="8.1" customHeight="1" x14ac:dyDescent="0.2">
      <c r="A359" s="80" t="s">
        <v>557</v>
      </c>
      <c r="B359" s="81"/>
      <c r="C359" s="77" t="s">
        <v>564</v>
      </c>
      <c r="D359" s="78"/>
      <c r="E359" s="78"/>
      <c r="F359" s="78"/>
      <c r="G359" s="79"/>
      <c r="H359" s="1" t="s">
        <v>498</v>
      </c>
      <c r="I359" s="2"/>
      <c r="J359" s="2"/>
      <c r="K359" s="2"/>
      <c r="L359" s="4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v>0</v>
      </c>
      <c r="R359" s="43">
        <v>0</v>
      </c>
      <c r="S359" s="43">
        <v>0</v>
      </c>
      <c r="T359" s="43">
        <v>0</v>
      </c>
      <c r="U359" s="43">
        <v>0</v>
      </c>
      <c r="V359" s="46"/>
      <c r="W359" s="53">
        <f t="shared" si="144"/>
        <v>0</v>
      </c>
    </row>
    <row r="360" spans="1:23" s="3" customFormat="1" ht="16.5" customHeight="1" x14ac:dyDescent="0.2">
      <c r="A360" s="80" t="s">
        <v>558</v>
      </c>
      <c r="B360" s="81"/>
      <c r="C360" s="85" t="s">
        <v>676</v>
      </c>
      <c r="D360" s="86"/>
      <c r="E360" s="86"/>
      <c r="F360" s="86"/>
      <c r="G360" s="87"/>
      <c r="H360" s="1" t="s">
        <v>5</v>
      </c>
      <c r="I360" s="2"/>
      <c r="J360" s="2"/>
      <c r="K360" s="2"/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3">
        <v>0</v>
      </c>
      <c r="S360" s="43">
        <v>0</v>
      </c>
      <c r="T360" s="43">
        <v>0</v>
      </c>
      <c r="U360" s="43">
        <v>0</v>
      </c>
      <c r="V360" s="46"/>
      <c r="W360" s="53">
        <f t="shared" si="144"/>
        <v>0</v>
      </c>
    </row>
    <row r="361" spans="1:23" s="3" customFormat="1" ht="8.1" customHeight="1" x14ac:dyDescent="0.2">
      <c r="A361" s="80" t="s">
        <v>559</v>
      </c>
      <c r="B361" s="81"/>
      <c r="C361" s="77" t="s">
        <v>82</v>
      </c>
      <c r="D361" s="78"/>
      <c r="E361" s="78"/>
      <c r="F361" s="78"/>
      <c r="G361" s="79"/>
      <c r="H361" s="1" t="s">
        <v>5</v>
      </c>
      <c r="I361" s="2"/>
      <c r="J361" s="2"/>
      <c r="K361" s="2"/>
      <c r="L361" s="4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v>0</v>
      </c>
      <c r="R361" s="43">
        <v>0</v>
      </c>
      <c r="S361" s="43">
        <v>0</v>
      </c>
      <c r="T361" s="43">
        <v>0</v>
      </c>
      <c r="U361" s="43">
        <v>0</v>
      </c>
      <c r="V361" s="46"/>
      <c r="W361" s="53">
        <f t="shared" si="144"/>
        <v>0</v>
      </c>
    </row>
    <row r="362" spans="1:23" s="3" customFormat="1" ht="8.1" customHeight="1" x14ac:dyDescent="0.2">
      <c r="A362" s="80" t="s">
        <v>560</v>
      </c>
      <c r="B362" s="81"/>
      <c r="C362" s="77" t="s">
        <v>83</v>
      </c>
      <c r="D362" s="78"/>
      <c r="E362" s="78"/>
      <c r="F362" s="78"/>
      <c r="G362" s="79"/>
      <c r="H362" s="1" t="s">
        <v>5</v>
      </c>
      <c r="I362" s="2"/>
      <c r="J362" s="2"/>
      <c r="K362" s="2"/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3">
        <v>0</v>
      </c>
      <c r="S362" s="43">
        <v>0</v>
      </c>
      <c r="T362" s="43">
        <v>0</v>
      </c>
      <c r="U362" s="43">
        <v>0</v>
      </c>
      <c r="V362" s="46"/>
      <c r="W362" s="53">
        <f t="shared" si="144"/>
        <v>0</v>
      </c>
    </row>
    <row r="363" spans="1:23" s="3" customFormat="1" ht="9" customHeight="1" thickBot="1" x14ac:dyDescent="0.25">
      <c r="A363" s="142" t="s">
        <v>561</v>
      </c>
      <c r="B363" s="143"/>
      <c r="C363" s="123" t="s">
        <v>565</v>
      </c>
      <c r="D363" s="124"/>
      <c r="E363" s="124"/>
      <c r="F363" s="124"/>
      <c r="G363" s="125"/>
      <c r="H363" s="21" t="s">
        <v>562</v>
      </c>
      <c r="I363" s="22"/>
      <c r="J363" s="22">
        <v>53.5</v>
      </c>
      <c r="K363" s="22"/>
      <c r="L363" s="166">
        <v>64</v>
      </c>
      <c r="M363" s="166">
        <f>L363</f>
        <v>64</v>
      </c>
      <c r="N363" s="166">
        <v>67</v>
      </c>
      <c r="O363" s="166">
        <f>N363</f>
        <v>67</v>
      </c>
      <c r="P363" s="166">
        <v>69</v>
      </c>
      <c r="Q363" s="166">
        <f>P363</f>
        <v>69</v>
      </c>
      <c r="R363" s="166">
        <v>71</v>
      </c>
      <c r="S363" s="166">
        <f>R363</f>
        <v>71</v>
      </c>
      <c r="T363" s="166">
        <v>72</v>
      </c>
      <c r="U363" s="166">
        <f>T363</f>
        <v>72</v>
      </c>
      <c r="V363" s="68">
        <f>(L363+N363+P363+R363+T363)/5</f>
        <v>68.599999999999994</v>
      </c>
      <c r="W363" s="69">
        <f>(M363+O363+Q363+S363+U363)/5</f>
        <v>68.599999999999994</v>
      </c>
    </row>
    <row r="364" spans="1:23" s="3" customFormat="1" ht="13.5" customHeight="1" thickBot="1" x14ac:dyDescent="0.25">
      <c r="A364" s="129" t="s">
        <v>566</v>
      </c>
      <c r="B364" s="130"/>
      <c r="C364" s="130"/>
      <c r="D364" s="130"/>
      <c r="E364" s="130"/>
      <c r="F364" s="130"/>
      <c r="G364" s="130"/>
      <c r="H364" s="130"/>
      <c r="I364" s="130"/>
      <c r="J364" s="130"/>
      <c r="K364" s="130"/>
      <c r="L364" s="130"/>
      <c r="M364" s="130"/>
      <c r="N364" s="130"/>
      <c r="O364" s="130"/>
      <c r="P364" s="130"/>
      <c r="Q364" s="130"/>
      <c r="R364" s="130"/>
      <c r="S364" s="130"/>
      <c r="T364" s="130"/>
      <c r="U364" s="130"/>
      <c r="V364" s="130"/>
      <c r="W364" s="131"/>
    </row>
    <row r="365" spans="1:23" s="27" customFormat="1" ht="18" customHeight="1" x14ac:dyDescent="0.15">
      <c r="A365" s="132" t="s">
        <v>7</v>
      </c>
      <c r="B365" s="133"/>
      <c r="C365" s="136" t="s">
        <v>8</v>
      </c>
      <c r="D365" s="137"/>
      <c r="E365" s="137"/>
      <c r="F365" s="137"/>
      <c r="G365" s="133"/>
      <c r="H365" s="140" t="s">
        <v>1</v>
      </c>
      <c r="I365" s="26">
        <v>2018</v>
      </c>
      <c r="J365" s="126">
        <v>2019</v>
      </c>
      <c r="K365" s="127"/>
      <c r="L365" s="126">
        <v>2020</v>
      </c>
      <c r="M365" s="127"/>
      <c r="N365" s="126">
        <v>2021</v>
      </c>
      <c r="O365" s="145"/>
      <c r="P365" s="145">
        <v>2022</v>
      </c>
      <c r="Q365" s="127"/>
      <c r="R365" s="126">
        <v>2023</v>
      </c>
      <c r="S365" s="127"/>
      <c r="T365" s="126">
        <v>2024</v>
      </c>
      <c r="U365" s="127"/>
      <c r="V365" s="126" t="s">
        <v>9</v>
      </c>
      <c r="W365" s="144"/>
    </row>
    <row r="366" spans="1:23" s="27" customFormat="1" ht="48.75" customHeight="1" x14ac:dyDescent="0.15">
      <c r="A366" s="134"/>
      <c r="B366" s="135"/>
      <c r="C366" s="138"/>
      <c r="D366" s="139"/>
      <c r="E366" s="139"/>
      <c r="F366" s="139"/>
      <c r="G366" s="135"/>
      <c r="H366" s="141"/>
      <c r="I366" s="28" t="s">
        <v>2</v>
      </c>
      <c r="J366" s="28" t="s">
        <v>3</v>
      </c>
      <c r="K366" s="28" t="s">
        <v>6</v>
      </c>
      <c r="L366" s="28" t="s">
        <v>4</v>
      </c>
      <c r="M366" s="28" t="s">
        <v>2</v>
      </c>
      <c r="N366" s="28" t="s">
        <v>4</v>
      </c>
      <c r="O366" s="28" t="s">
        <v>10</v>
      </c>
      <c r="P366" s="28" t="s">
        <v>4</v>
      </c>
      <c r="Q366" s="28" t="s">
        <v>10</v>
      </c>
      <c r="R366" s="28" t="s">
        <v>4</v>
      </c>
      <c r="S366" s="28" t="s">
        <v>10</v>
      </c>
      <c r="T366" s="28" t="s">
        <v>4</v>
      </c>
      <c r="U366" s="28" t="s">
        <v>10</v>
      </c>
      <c r="V366" s="28" t="s">
        <v>4</v>
      </c>
      <c r="W366" s="54" t="s">
        <v>10</v>
      </c>
    </row>
    <row r="367" spans="1:23" s="31" customFormat="1" ht="9" thickBot="1" x14ac:dyDescent="0.25">
      <c r="A367" s="128">
        <v>1</v>
      </c>
      <c r="B367" s="122"/>
      <c r="C367" s="120">
        <v>2</v>
      </c>
      <c r="D367" s="121"/>
      <c r="E367" s="121"/>
      <c r="F367" s="121"/>
      <c r="G367" s="122"/>
      <c r="H367" s="29">
        <v>3</v>
      </c>
      <c r="I367" s="30">
        <v>5</v>
      </c>
      <c r="J367" s="30">
        <v>6</v>
      </c>
      <c r="K367" s="30"/>
      <c r="L367" s="30">
        <v>7</v>
      </c>
      <c r="M367" s="30">
        <v>8</v>
      </c>
      <c r="N367" s="30"/>
      <c r="O367" s="30"/>
      <c r="P367" s="30"/>
      <c r="Q367" s="30"/>
      <c r="R367" s="30">
        <v>9</v>
      </c>
      <c r="S367" s="30">
        <v>10</v>
      </c>
      <c r="T367" s="30">
        <v>11</v>
      </c>
      <c r="U367" s="30">
        <v>12</v>
      </c>
      <c r="V367" s="30">
        <v>13</v>
      </c>
      <c r="W367" s="29">
        <v>14</v>
      </c>
    </row>
    <row r="368" spans="1:23" s="31" customFormat="1" ht="9" thickBot="1" x14ac:dyDescent="0.25">
      <c r="A368" s="58"/>
      <c r="B368" s="59"/>
      <c r="C368" s="59"/>
      <c r="D368" s="59"/>
      <c r="E368" s="59"/>
      <c r="F368" s="59"/>
      <c r="G368" s="60"/>
      <c r="H368" s="61"/>
      <c r="I368" s="62"/>
      <c r="J368" s="62"/>
      <c r="K368" s="62"/>
      <c r="L368" s="167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1"/>
    </row>
    <row r="369" spans="1:23" s="3" customFormat="1" ht="21" customHeight="1" x14ac:dyDescent="0.2">
      <c r="A369" s="117" t="s">
        <v>567</v>
      </c>
      <c r="B369" s="118"/>
      <c r="C369" s="118"/>
      <c r="D369" s="118"/>
      <c r="E369" s="118"/>
      <c r="F369" s="118"/>
      <c r="G369" s="119"/>
      <c r="H369" s="1" t="s">
        <v>5</v>
      </c>
      <c r="I369" s="2">
        <v>145.75</v>
      </c>
      <c r="J369" s="2">
        <v>305.22000000000003</v>
      </c>
      <c r="K369" s="4">
        <f>SUM(K370,K427)</f>
        <v>379.90000000000003</v>
      </c>
      <c r="L369" s="43">
        <v>195.10568326092098</v>
      </c>
      <c r="M369" s="47">
        <f>SUM(M370,M427)</f>
        <v>413.07323995600007</v>
      </c>
      <c r="N369" s="43">
        <v>11.034004016439702</v>
      </c>
      <c r="O369" s="43">
        <f>SUM(O370,O427)</f>
        <v>314.37880173558023</v>
      </c>
      <c r="P369" s="43">
        <v>44.378820889211354</v>
      </c>
      <c r="Q369" s="43">
        <f t="shared" ref="Q369" si="147">Q371+Q395</f>
        <v>160.21338454650231</v>
      </c>
      <c r="R369" s="43">
        <v>57.129820233331742</v>
      </c>
      <c r="S369" s="43">
        <f t="shared" ref="S369" si="148">S371+S395</f>
        <v>154.33990908608956</v>
      </c>
      <c r="T369" s="43">
        <v>62.419594921056955</v>
      </c>
      <c r="U369" s="43">
        <f t="shared" ref="U369" si="149">U371+U395</f>
        <v>203.36153310624351</v>
      </c>
      <c r="V369" s="43">
        <f>L369+N369+P369+R369+T369</f>
        <v>370.06792332096074</v>
      </c>
      <c r="W369" s="63">
        <f>M369+O369+Q369+S369+U369</f>
        <v>1245.3668684304157</v>
      </c>
    </row>
    <row r="370" spans="1:23" s="3" customFormat="1" ht="9" customHeight="1" x14ac:dyDescent="0.2">
      <c r="A370" s="80" t="s">
        <v>25</v>
      </c>
      <c r="B370" s="81"/>
      <c r="C370" s="111" t="s">
        <v>580</v>
      </c>
      <c r="D370" s="112"/>
      <c r="E370" s="112"/>
      <c r="F370" s="112"/>
      <c r="G370" s="113"/>
      <c r="H370" s="1" t="s">
        <v>5</v>
      </c>
      <c r="I370" s="36">
        <v>145.75</v>
      </c>
      <c r="J370" s="36">
        <v>305.22000000000003</v>
      </c>
      <c r="K370" s="36">
        <f>K371+K395+K423+K424</f>
        <v>219.93</v>
      </c>
      <c r="L370" s="43">
        <v>24.467469170921003</v>
      </c>
      <c r="M370" s="43">
        <f>M371+M395+M423+M424</f>
        <v>242.43071583000003</v>
      </c>
      <c r="N370" s="43">
        <v>11.034004016439702</v>
      </c>
      <c r="O370" s="43">
        <f>O371+O395+O423+O424</f>
        <v>314.37880173558023</v>
      </c>
      <c r="P370" s="43">
        <v>44.378820889211354</v>
      </c>
      <c r="Q370" s="43">
        <f>Q371+Q395+Q423+Q424</f>
        <v>160.21338454650231</v>
      </c>
      <c r="R370" s="43">
        <v>57.129820233331742</v>
      </c>
      <c r="S370" s="43">
        <f>S371+S395+S423+S424</f>
        <v>154.33990908608956</v>
      </c>
      <c r="T370" s="43">
        <v>80.781470033913408</v>
      </c>
      <c r="U370" s="43">
        <f>U371+U395+U423+U424</f>
        <v>203.36153310624351</v>
      </c>
      <c r="V370" s="43">
        <v>1000.3160195199084</v>
      </c>
      <c r="W370" s="48">
        <f t="shared" ref="W370:W433" si="150">M370+O370+Q370+S370+U370</f>
        <v>1074.7243443044156</v>
      </c>
    </row>
    <row r="371" spans="1:23" s="3" customFormat="1" x14ac:dyDescent="0.2">
      <c r="A371" s="80" t="s">
        <v>11</v>
      </c>
      <c r="B371" s="81"/>
      <c r="C371" s="85" t="s">
        <v>613</v>
      </c>
      <c r="D371" s="86"/>
      <c r="E371" s="86"/>
      <c r="F371" s="86"/>
      <c r="G371" s="87"/>
      <c r="H371" s="1" t="s">
        <v>5</v>
      </c>
      <c r="I371" s="36">
        <v>5</v>
      </c>
      <c r="J371" s="36">
        <v>71.53</v>
      </c>
      <c r="K371" s="36">
        <f>K380</f>
        <v>67.900000000000006</v>
      </c>
      <c r="L371" s="43">
        <v>0</v>
      </c>
      <c r="M371" s="43">
        <f t="shared" ref="M371" si="151">M380</f>
        <v>216.88656800000001</v>
      </c>
      <c r="N371" s="43">
        <v>0</v>
      </c>
      <c r="O371" s="43">
        <f>O378+O380</f>
        <v>198.03839099999996</v>
      </c>
      <c r="P371" s="43">
        <v>0</v>
      </c>
      <c r="Q371" s="43">
        <f t="shared" ref="Q371:V371" si="152">Q378+Q380</f>
        <v>108.97796</v>
      </c>
      <c r="R371" s="43">
        <v>0</v>
      </c>
      <c r="S371" s="43">
        <f t="shared" si="152"/>
        <v>96.805458884757812</v>
      </c>
      <c r="T371" s="43">
        <v>0</v>
      </c>
      <c r="U371" s="43">
        <f>U378+U380</f>
        <v>128.37246056918656</v>
      </c>
      <c r="V371" s="43">
        <f t="shared" si="152"/>
        <v>0</v>
      </c>
      <c r="W371" s="48">
        <f>W378+W380</f>
        <v>749.08083845394435</v>
      </c>
    </row>
    <row r="372" spans="1:23" s="3" customFormat="1" ht="16.5" customHeight="1" x14ac:dyDescent="0.2">
      <c r="A372" s="80" t="s">
        <v>12</v>
      </c>
      <c r="B372" s="81"/>
      <c r="C372" s="77" t="s">
        <v>614</v>
      </c>
      <c r="D372" s="78"/>
      <c r="E372" s="78"/>
      <c r="F372" s="78"/>
      <c r="G372" s="79"/>
      <c r="H372" s="1" t="s">
        <v>5</v>
      </c>
      <c r="I372" s="36">
        <v>0</v>
      </c>
      <c r="J372" s="36">
        <v>0</v>
      </c>
      <c r="K372" s="36">
        <v>0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>
        <v>0</v>
      </c>
      <c r="S372" s="43">
        <v>0</v>
      </c>
      <c r="T372" s="43">
        <v>0</v>
      </c>
      <c r="U372" s="43">
        <v>0</v>
      </c>
      <c r="V372" s="43">
        <v>0</v>
      </c>
      <c r="W372" s="48">
        <f t="shared" si="150"/>
        <v>0</v>
      </c>
    </row>
    <row r="373" spans="1:23" s="3" customFormat="1" x14ac:dyDescent="0.2">
      <c r="A373" s="80" t="s">
        <v>568</v>
      </c>
      <c r="B373" s="81"/>
      <c r="C373" s="96" t="s">
        <v>615</v>
      </c>
      <c r="D373" s="97"/>
      <c r="E373" s="97"/>
      <c r="F373" s="97"/>
      <c r="G373" s="98"/>
      <c r="H373" s="1" t="s">
        <v>5</v>
      </c>
      <c r="I373" s="36">
        <v>0</v>
      </c>
      <c r="J373" s="36">
        <v>0</v>
      </c>
      <c r="K373" s="36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3">
        <v>0</v>
      </c>
      <c r="T373" s="43">
        <v>0</v>
      </c>
      <c r="U373" s="43">
        <v>0</v>
      </c>
      <c r="V373" s="43">
        <v>0</v>
      </c>
      <c r="W373" s="48">
        <f t="shared" si="150"/>
        <v>0</v>
      </c>
    </row>
    <row r="374" spans="1:23" s="3" customFormat="1" ht="16.5" customHeight="1" x14ac:dyDescent="0.2">
      <c r="A374" s="80" t="s">
        <v>569</v>
      </c>
      <c r="B374" s="81"/>
      <c r="C374" s="99" t="s">
        <v>47</v>
      </c>
      <c r="D374" s="100"/>
      <c r="E374" s="100"/>
      <c r="F374" s="100"/>
      <c r="G374" s="101"/>
      <c r="H374" s="1" t="s">
        <v>5</v>
      </c>
      <c r="I374" s="36">
        <v>0</v>
      </c>
      <c r="J374" s="36">
        <v>0</v>
      </c>
      <c r="K374" s="36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3">
        <v>0</v>
      </c>
      <c r="T374" s="43">
        <v>0</v>
      </c>
      <c r="U374" s="43">
        <v>0</v>
      </c>
      <c r="V374" s="43">
        <v>0</v>
      </c>
      <c r="W374" s="48">
        <f t="shared" si="150"/>
        <v>0</v>
      </c>
    </row>
    <row r="375" spans="1:23" s="3" customFormat="1" ht="16.5" customHeight="1" x14ac:dyDescent="0.2">
      <c r="A375" s="80" t="s">
        <v>570</v>
      </c>
      <c r="B375" s="81"/>
      <c r="C375" s="99" t="s">
        <v>52</v>
      </c>
      <c r="D375" s="100"/>
      <c r="E375" s="100"/>
      <c r="F375" s="100"/>
      <c r="G375" s="101"/>
      <c r="H375" s="1" t="s">
        <v>5</v>
      </c>
      <c r="I375" s="36">
        <v>0</v>
      </c>
      <c r="J375" s="36">
        <v>0</v>
      </c>
      <c r="K375" s="36">
        <v>0</v>
      </c>
      <c r="L375" s="4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v>0</v>
      </c>
      <c r="R375" s="43">
        <v>0</v>
      </c>
      <c r="S375" s="43">
        <v>0</v>
      </c>
      <c r="T375" s="43">
        <v>0</v>
      </c>
      <c r="U375" s="43">
        <v>0</v>
      </c>
      <c r="V375" s="43">
        <v>0</v>
      </c>
      <c r="W375" s="48">
        <f t="shared" si="150"/>
        <v>0</v>
      </c>
    </row>
    <row r="376" spans="1:23" s="3" customFormat="1" ht="16.5" customHeight="1" x14ac:dyDescent="0.2">
      <c r="A376" s="80" t="s">
        <v>571</v>
      </c>
      <c r="B376" s="81"/>
      <c r="C376" s="99" t="s">
        <v>53</v>
      </c>
      <c r="D376" s="100"/>
      <c r="E376" s="100"/>
      <c r="F376" s="100"/>
      <c r="G376" s="101"/>
      <c r="H376" s="1" t="s">
        <v>5</v>
      </c>
      <c r="I376" s="36">
        <v>0</v>
      </c>
      <c r="J376" s="36">
        <v>0</v>
      </c>
      <c r="K376" s="36">
        <v>0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3">
        <v>0</v>
      </c>
      <c r="S376" s="43">
        <v>0</v>
      </c>
      <c r="T376" s="43">
        <v>0</v>
      </c>
      <c r="U376" s="43">
        <v>0</v>
      </c>
      <c r="V376" s="43">
        <v>0</v>
      </c>
      <c r="W376" s="48">
        <f t="shared" si="150"/>
        <v>0</v>
      </c>
    </row>
    <row r="377" spans="1:23" s="3" customFormat="1" x14ac:dyDescent="0.2">
      <c r="A377" s="80" t="s">
        <v>572</v>
      </c>
      <c r="B377" s="81"/>
      <c r="C377" s="96" t="s">
        <v>616</v>
      </c>
      <c r="D377" s="97"/>
      <c r="E377" s="97"/>
      <c r="F377" s="97"/>
      <c r="G377" s="98"/>
      <c r="H377" s="1" t="s">
        <v>5</v>
      </c>
      <c r="I377" s="36">
        <v>0</v>
      </c>
      <c r="J377" s="36">
        <v>0</v>
      </c>
      <c r="K377" s="36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8">
        <f t="shared" si="150"/>
        <v>0</v>
      </c>
    </row>
    <row r="378" spans="1:23" s="3" customFormat="1" x14ac:dyDescent="0.2">
      <c r="A378" s="80" t="s">
        <v>573</v>
      </c>
      <c r="B378" s="81"/>
      <c r="C378" s="96" t="s">
        <v>617</v>
      </c>
      <c r="D378" s="97"/>
      <c r="E378" s="97"/>
      <c r="F378" s="97"/>
      <c r="G378" s="98"/>
      <c r="H378" s="1" t="s">
        <v>5</v>
      </c>
      <c r="I378" s="36">
        <v>0</v>
      </c>
      <c r="J378" s="36">
        <v>0</v>
      </c>
      <c r="K378" s="36">
        <v>0</v>
      </c>
      <c r="L378" s="4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0</v>
      </c>
      <c r="S378" s="43">
        <v>0</v>
      </c>
      <c r="T378" s="43">
        <v>0</v>
      </c>
      <c r="U378" s="43">
        <v>0</v>
      </c>
      <c r="V378" s="43">
        <v>0</v>
      </c>
      <c r="W378" s="48">
        <f t="shared" si="150"/>
        <v>0</v>
      </c>
    </row>
    <row r="379" spans="1:23" s="3" customFormat="1" x14ac:dyDescent="0.2">
      <c r="A379" s="80" t="s">
        <v>574</v>
      </c>
      <c r="B379" s="81"/>
      <c r="C379" s="96" t="s">
        <v>618</v>
      </c>
      <c r="D379" s="97"/>
      <c r="E379" s="97"/>
      <c r="F379" s="97"/>
      <c r="G379" s="98"/>
      <c r="H379" s="1" t="s">
        <v>5</v>
      </c>
      <c r="I379" s="36">
        <v>0</v>
      </c>
      <c r="J379" s="36">
        <v>0</v>
      </c>
      <c r="K379" s="36">
        <v>0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3">
        <v>0</v>
      </c>
      <c r="S379" s="43">
        <v>0</v>
      </c>
      <c r="T379" s="43">
        <v>0</v>
      </c>
      <c r="U379" s="43">
        <v>0</v>
      </c>
      <c r="V379" s="43">
        <v>0</v>
      </c>
      <c r="W379" s="48">
        <f t="shared" si="150"/>
        <v>0</v>
      </c>
    </row>
    <row r="380" spans="1:23" s="3" customFormat="1" x14ac:dyDescent="0.2">
      <c r="A380" s="80" t="s">
        <v>575</v>
      </c>
      <c r="B380" s="81"/>
      <c r="C380" s="96" t="s">
        <v>619</v>
      </c>
      <c r="D380" s="97"/>
      <c r="E380" s="97"/>
      <c r="F380" s="97"/>
      <c r="G380" s="98"/>
      <c r="H380" s="1" t="s">
        <v>5</v>
      </c>
      <c r="I380" s="36">
        <v>5</v>
      </c>
      <c r="J380" s="36">
        <v>71.53</v>
      </c>
      <c r="K380" s="36">
        <v>67.900000000000006</v>
      </c>
      <c r="L380" s="43">
        <v>0</v>
      </c>
      <c r="M380" s="43">
        <f>M383</f>
        <v>216.88656800000001</v>
      </c>
      <c r="N380" s="43">
        <v>0</v>
      </c>
      <c r="O380" s="43">
        <f>O383</f>
        <v>198.03839099999996</v>
      </c>
      <c r="P380" s="43">
        <v>0</v>
      </c>
      <c r="Q380" s="43">
        <f t="shared" ref="Q380:V380" si="153">Q383</f>
        <v>108.97796</v>
      </c>
      <c r="R380" s="43">
        <v>0</v>
      </c>
      <c r="S380" s="43">
        <f t="shared" ref="S380:U380" si="154">S383</f>
        <v>96.805458884757812</v>
      </c>
      <c r="T380" s="43">
        <v>0</v>
      </c>
      <c r="U380" s="43">
        <f t="shared" si="154"/>
        <v>128.37246056918656</v>
      </c>
      <c r="V380" s="43">
        <f t="shared" si="153"/>
        <v>0</v>
      </c>
      <c r="W380" s="48">
        <f t="shared" si="150"/>
        <v>749.08083845394435</v>
      </c>
    </row>
    <row r="381" spans="1:23" s="3" customFormat="1" ht="16.5" customHeight="1" x14ac:dyDescent="0.2">
      <c r="A381" s="80" t="s">
        <v>576</v>
      </c>
      <c r="B381" s="81"/>
      <c r="C381" s="99" t="s">
        <v>620</v>
      </c>
      <c r="D381" s="100"/>
      <c r="E381" s="100"/>
      <c r="F381" s="100"/>
      <c r="G381" s="101"/>
      <c r="H381" s="1" t="s">
        <v>5</v>
      </c>
      <c r="I381" s="36">
        <v>0</v>
      </c>
      <c r="J381" s="36">
        <v>0</v>
      </c>
      <c r="K381" s="36">
        <v>0</v>
      </c>
      <c r="L381" s="43">
        <v>0</v>
      </c>
      <c r="M381" s="43">
        <v>0</v>
      </c>
      <c r="N381" s="43">
        <v>0</v>
      </c>
      <c r="O381" s="43">
        <v>0</v>
      </c>
      <c r="P381" s="43">
        <v>0</v>
      </c>
      <c r="Q381" s="43">
        <v>0</v>
      </c>
      <c r="R381" s="43">
        <v>0</v>
      </c>
      <c r="S381" s="43">
        <v>0</v>
      </c>
      <c r="T381" s="43">
        <v>0</v>
      </c>
      <c r="U381" s="43">
        <v>0</v>
      </c>
      <c r="V381" s="43">
        <v>0</v>
      </c>
      <c r="W381" s="48">
        <f t="shared" si="150"/>
        <v>0</v>
      </c>
    </row>
    <row r="382" spans="1:23" s="3" customFormat="1" x14ac:dyDescent="0.2">
      <c r="A382" s="80" t="s">
        <v>577</v>
      </c>
      <c r="B382" s="81"/>
      <c r="C382" s="93" t="s">
        <v>621</v>
      </c>
      <c r="D382" s="94"/>
      <c r="E382" s="94"/>
      <c r="F382" s="94"/>
      <c r="G382" s="95"/>
      <c r="H382" s="1" t="s">
        <v>5</v>
      </c>
      <c r="I382" s="36">
        <v>0</v>
      </c>
      <c r="J382" s="36">
        <v>0</v>
      </c>
      <c r="K382" s="36">
        <v>0</v>
      </c>
      <c r="L382" s="43">
        <v>0</v>
      </c>
      <c r="M382" s="43">
        <v>0</v>
      </c>
      <c r="N382" s="43">
        <v>0</v>
      </c>
      <c r="O382" s="43">
        <v>0</v>
      </c>
      <c r="P382" s="43">
        <v>0</v>
      </c>
      <c r="Q382" s="43">
        <v>0</v>
      </c>
      <c r="R382" s="43">
        <v>0</v>
      </c>
      <c r="S382" s="43">
        <v>0</v>
      </c>
      <c r="T382" s="43">
        <v>0</v>
      </c>
      <c r="U382" s="43">
        <v>0</v>
      </c>
      <c r="V382" s="43">
        <v>0</v>
      </c>
      <c r="W382" s="48">
        <f t="shared" si="150"/>
        <v>0</v>
      </c>
    </row>
    <row r="383" spans="1:23" s="3" customFormat="1" x14ac:dyDescent="0.2">
      <c r="A383" s="80" t="s">
        <v>578</v>
      </c>
      <c r="B383" s="81"/>
      <c r="C383" s="99" t="s">
        <v>622</v>
      </c>
      <c r="D383" s="100"/>
      <c r="E383" s="100"/>
      <c r="F383" s="100"/>
      <c r="G383" s="101"/>
      <c r="H383" s="1" t="s">
        <v>5</v>
      </c>
      <c r="I383" s="36">
        <v>5</v>
      </c>
      <c r="J383" s="36">
        <v>71.53</v>
      </c>
      <c r="K383" s="36">
        <v>67.900000000000006</v>
      </c>
      <c r="L383" s="43">
        <v>0</v>
      </c>
      <c r="M383" s="43">
        <f>'[9]2'!$AR$21</f>
        <v>216.88656800000001</v>
      </c>
      <c r="N383" s="43">
        <v>0</v>
      </c>
      <c r="O383" s="43">
        <f>'[9]2'!$BB$20</f>
        <v>198.03839099999996</v>
      </c>
      <c r="P383" s="43">
        <v>0</v>
      </c>
      <c r="Q383" s="43">
        <f>'[9]2'!$BL$20</f>
        <v>108.97796</v>
      </c>
      <c r="R383" s="43">
        <v>0</v>
      </c>
      <c r="S383" s="43">
        <f>'[9]2'!$BV$20</f>
        <v>96.805458884757812</v>
      </c>
      <c r="T383" s="43">
        <v>0</v>
      </c>
      <c r="U383" s="43">
        <f>'[9]2'!$CF$21</f>
        <v>128.37246056918656</v>
      </c>
      <c r="V383" s="43">
        <f>L383+N383+P383+R383+T383</f>
        <v>0</v>
      </c>
      <c r="W383" s="48">
        <f t="shared" si="150"/>
        <v>749.08083845394435</v>
      </c>
    </row>
    <row r="384" spans="1:23" s="3" customFormat="1" x14ac:dyDescent="0.2">
      <c r="A384" s="80" t="s">
        <v>579</v>
      </c>
      <c r="B384" s="81"/>
      <c r="C384" s="93" t="s">
        <v>621</v>
      </c>
      <c r="D384" s="94"/>
      <c r="E384" s="94"/>
      <c r="F384" s="94"/>
      <c r="G384" s="95"/>
      <c r="H384" s="1" t="s">
        <v>5</v>
      </c>
      <c r="I384" s="36">
        <v>0</v>
      </c>
      <c r="J384" s="36">
        <v>0</v>
      </c>
      <c r="K384" s="36">
        <v>0</v>
      </c>
      <c r="L384" s="4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3">
        <v>0</v>
      </c>
      <c r="S384" s="43">
        <v>0</v>
      </c>
      <c r="T384" s="43">
        <v>0</v>
      </c>
      <c r="U384" s="43">
        <v>0</v>
      </c>
      <c r="V384" s="43">
        <v>0</v>
      </c>
      <c r="W384" s="48">
        <f t="shared" si="150"/>
        <v>0</v>
      </c>
    </row>
    <row r="385" spans="1:23" s="3" customFormat="1" x14ac:dyDescent="0.2">
      <c r="A385" s="80" t="s">
        <v>581</v>
      </c>
      <c r="B385" s="81"/>
      <c r="C385" s="96" t="s">
        <v>623</v>
      </c>
      <c r="D385" s="97"/>
      <c r="E385" s="97"/>
      <c r="F385" s="97"/>
      <c r="G385" s="98"/>
      <c r="H385" s="1" t="s">
        <v>5</v>
      </c>
      <c r="I385" s="36">
        <v>0</v>
      </c>
      <c r="J385" s="36">
        <v>0</v>
      </c>
      <c r="K385" s="36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8">
        <f t="shared" si="150"/>
        <v>0</v>
      </c>
    </row>
    <row r="386" spans="1:23" s="3" customFormat="1" x14ac:dyDescent="0.2">
      <c r="A386" s="80" t="s">
        <v>582</v>
      </c>
      <c r="B386" s="81"/>
      <c r="C386" s="96" t="s">
        <v>423</v>
      </c>
      <c r="D386" s="97"/>
      <c r="E386" s="97"/>
      <c r="F386" s="97"/>
      <c r="G386" s="98"/>
      <c r="H386" s="1" t="s">
        <v>5</v>
      </c>
      <c r="I386" s="36">
        <v>0</v>
      </c>
      <c r="J386" s="36">
        <v>0</v>
      </c>
      <c r="K386" s="36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8">
        <f t="shared" si="150"/>
        <v>0</v>
      </c>
    </row>
    <row r="387" spans="1:23" s="3" customFormat="1" ht="16.5" customHeight="1" x14ac:dyDescent="0.2">
      <c r="A387" s="80" t="s">
        <v>583</v>
      </c>
      <c r="B387" s="81"/>
      <c r="C387" s="96" t="s">
        <v>624</v>
      </c>
      <c r="D387" s="97"/>
      <c r="E387" s="97"/>
      <c r="F387" s="97"/>
      <c r="G387" s="98"/>
      <c r="H387" s="1" t="s">
        <v>5</v>
      </c>
      <c r="I387" s="36">
        <v>0</v>
      </c>
      <c r="J387" s="36">
        <v>0</v>
      </c>
      <c r="K387" s="36">
        <v>0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0</v>
      </c>
      <c r="S387" s="43">
        <v>0</v>
      </c>
      <c r="T387" s="43">
        <v>0</v>
      </c>
      <c r="U387" s="43">
        <v>0</v>
      </c>
      <c r="V387" s="43">
        <v>0</v>
      </c>
      <c r="W387" s="48">
        <f t="shared" si="150"/>
        <v>0</v>
      </c>
    </row>
    <row r="388" spans="1:23" s="3" customFormat="1" x14ac:dyDescent="0.2">
      <c r="A388" s="80" t="s">
        <v>584</v>
      </c>
      <c r="B388" s="81"/>
      <c r="C388" s="99" t="s">
        <v>82</v>
      </c>
      <c r="D388" s="100"/>
      <c r="E388" s="100"/>
      <c r="F388" s="100"/>
      <c r="G388" s="101"/>
      <c r="H388" s="1" t="s">
        <v>5</v>
      </c>
      <c r="I388" s="36">
        <v>0</v>
      </c>
      <c r="J388" s="36">
        <v>0</v>
      </c>
      <c r="K388" s="36">
        <v>0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0</v>
      </c>
      <c r="S388" s="43">
        <v>0</v>
      </c>
      <c r="T388" s="43">
        <v>0</v>
      </c>
      <c r="U388" s="43">
        <v>0</v>
      </c>
      <c r="V388" s="43">
        <v>0</v>
      </c>
      <c r="W388" s="48">
        <f t="shared" si="150"/>
        <v>0</v>
      </c>
    </row>
    <row r="389" spans="1:23" s="3" customFormat="1" x14ac:dyDescent="0.2">
      <c r="A389" s="80" t="s">
        <v>585</v>
      </c>
      <c r="B389" s="81"/>
      <c r="C389" s="99" t="s">
        <v>83</v>
      </c>
      <c r="D389" s="100"/>
      <c r="E389" s="100"/>
      <c r="F389" s="100"/>
      <c r="G389" s="101"/>
      <c r="H389" s="1" t="s">
        <v>5</v>
      </c>
      <c r="I389" s="36">
        <v>0</v>
      </c>
      <c r="J389" s="36">
        <v>0</v>
      </c>
      <c r="K389" s="36">
        <v>0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0</v>
      </c>
      <c r="U389" s="43">
        <v>0</v>
      </c>
      <c r="V389" s="43">
        <v>0</v>
      </c>
      <c r="W389" s="48">
        <f t="shared" si="150"/>
        <v>0</v>
      </c>
    </row>
    <row r="390" spans="1:23" s="3" customFormat="1" ht="16.5" customHeight="1" x14ac:dyDescent="0.2">
      <c r="A390" s="80" t="s">
        <v>13</v>
      </c>
      <c r="B390" s="81"/>
      <c r="C390" s="77" t="s">
        <v>677</v>
      </c>
      <c r="D390" s="78"/>
      <c r="E390" s="78"/>
      <c r="F390" s="78"/>
      <c r="G390" s="79"/>
      <c r="H390" s="1" t="s">
        <v>5</v>
      </c>
      <c r="I390" s="36">
        <v>0</v>
      </c>
      <c r="J390" s="36">
        <v>0</v>
      </c>
      <c r="K390" s="36">
        <v>0</v>
      </c>
      <c r="L390" s="43">
        <v>0</v>
      </c>
      <c r="M390" s="43">
        <v>0</v>
      </c>
      <c r="N390" s="43">
        <v>0</v>
      </c>
      <c r="O390" s="43">
        <v>0</v>
      </c>
      <c r="P390" s="43">
        <v>0</v>
      </c>
      <c r="Q390" s="43">
        <v>0</v>
      </c>
      <c r="R390" s="43">
        <v>0</v>
      </c>
      <c r="S390" s="43">
        <v>0</v>
      </c>
      <c r="T390" s="43">
        <v>0</v>
      </c>
      <c r="U390" s="43">
        <v>0</v>
      </c>
      <c r="V390" s="43">
        <v>0</v>
      </c>
      <c r="W390" s="48">
        <f t="shared" si="150"/>
        <v>0</v>
      </c>
    </row>
    <row r="391" spans="1:23" s="3" customFormat="1" ht="16.5" customHeight="1" x14ac:dyDescent="0.2">
      <c r="A391" s="80" t="s">
        <v>586</v>
      </c>
      <c r="B391" s="81"/>
      <c r="C391" s="96" t="s">
        <v>47</v>
      </c>
      <c r="D391" s="97"/>
      <c r="E391" s="97"/>
      <c r="F391" s="97"/>
      <c r="G391" s="98"/>
      <c r="H391" s="1" t="s">
        <v>5</v>
      </c>
      <c r="I391" s="36">
        <v>0</v>
      </c>
      <c r="J391" s="36">
        <v>0</v>
      </c>
      <c r="K391" s="36">
        <v>0</v>
      </c>
      <c r="L391" s="43">
        <v>0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3">
        <v>0</v>
      </c>
      <c r="S391" s="43">
        <v>0</v>
      </c>
      <c r="T391" s="43">
        <v>0</v>
      </c>
      <c r="U391" s="43">
        <v>0</v>
      </c>
      <c r="V391" s="43">
        <v>0</v>
      </c>
      <c r="W391" s="48">
        <f t="shared" si="150"/>
        <v>0</v>
      </c>
    </row>
    <row r="392" spans="1:23" s="3" customFormat="1" ht="16.5" customHeight="1" x14ac:dyDescent="0.2">
      <c r="A392" s="80" t="s">
        <v>587</v>
      </c>
      <c r="B392" s="81"/>
      <c r="C392" s="96" t="s">
        <v>52</v>
      </c>
      <c r="D392" s="97"/>
      <c r="E392" s="97"/>
      <c r="F392" s="97"/>
      <c r="G392" s="98"/>
      <c r="H392" s="1" t="s">
        <v>5</v>
      </c>
      <c r="I392" s="36">
        <v>0</v>
      </c>
      <c r="J392" s="36">
        <v>0</v>
      </c>
      <c r="K392" s="36">
        <v>0</v>
      </c>
      <c r="L392" s="43">
        <v>0</v>
      </c>
      <c r="M392" s="43">
        <v>0</v>
      </c>
      <c r="N392" s="43">
        <v>0</v>
      </c>
      <c r="O392" s="43">
        <v>0</v>
      </c>
      <c r="P392" s="43">
        <v>0</v>
      </c>
      <c r="Q392" s="43">
        <v>0</v>
      </c>
      <c r="R392" s="43">
        <v>0</v>
      </c>
      <c r="S392" s="43">
        <v>0</v>
      </c>
      <c r="T392" s="43">
        <v>0</v>
      </c>
      <c r="U392" s="43">
        <v>0</v>
      </c>
      <c r="V392" s="43">
        <v>0</v>
      </c>
      <c r="W392" s="48">
        <f t="shared" si="150"/>
        <v>0</v>
      </c>
    </row>
    <row r="393" spans="1:23" s="3" customFormat="1" ht="16.5" customHeight="1" x14ac:dyDescent="0.2">
      <c r="A393" s="80" t="s">
        <v>588</v>
      </c>
      <c r="B393" s="81"/>
      <c r="C393" s="96" t="s">
        <v>53</v>
      </c>
      <c r="D393" s="97"/>
      <c r="E393" s="97"/>
      <c r="F393" s="97"/>
      <c r="G393" s="98"/>
      <c r="H393" s="1" t="s">
        <v>5</v>
      </c>
      <c r="I393" s="36">
        <v>0</v>
      </c>
      <c r="J393" s="36">
        <v>0</v>
      </c>
      <c r="K393" s="36">
        <v>0</v>
      </c>
      <c r="L393" s="43">
        <v>0</v>
      </c>
      <c r="M393" s="43">
        <v>0</v>
      </c>
      <c r="N393" s="43">
        <v>0</v>
      </c>
      <c r="O393" s="43">
        <v>0</v>
      </c>
      <c r="P393" s="43">
        <v>0</v>
      </c>
      <c r="Q393" s="43">
        <v>0</v>
      </c>
      <c r="R393" s="43">
        <v>0</v>
      </c>
      <c r="S393" s="43">
        <v>0</v>
      </c>
      <c r="T393" s="43">
        <v>0</v>
      </c>
      <c r="U393" s="43">
        <v>0</v>
      </c>
      <c r="V393" s="43">
        <v>0</v>
      </c>
      <c r="W393" s="48">
        <f t="shared" si="150"/>
        <v>0</v>
      </c>
    </row>
    <row r="394" spans="1:23" s="3" customFormat="1" x14ac:dyDescent="0.2">
      <c r="A394" s="80" t="s">
        <v>14</v>
      </c>
      <c r="B394" s="81"/>
      <c r="C394" s="77" t="s">
        <v>625</v>
      </c>
      <c r="D394" s="78"/>
      <c r="E394" s="78"/>
      <c r="F394" s="78"/>
      <c r="G394" s="79"/>
      <c r="H394" s="1" t="s">
        <v>5</v>
      </c>
      <c r="I394" s="36">
        <v>0</v>
      </c>
      <c r="J394" s="36">
        <v>0</v>
      </c>
      <c r="K394" s="36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8">
        <f t="shared" si="150"/>
        <v>0</v>
      </c>
    </row>
    <row r="395" spans="1:23" s="3" customFormat="1" x14ac:dyDescent="0.2">
      <c r="A395" s="80" t="s">
        <v>15</v>
      </c>
      <c r="B395" s="81"/>
      <c r="C395" s="85" t="s">
        <v>626</v>
      </c>
      <c r="D395" s="86"/>
      <c r="E395" s="86"/>
      <c r="F395" s="86"/>
      <c r="G395" s="87"/>
      <c r="H395" s="1" t="s">
        <v>5</v>
      </c>
      <c r="I395" s="36">
        <v>94.27</v>
      </c>
      <c r="J395" s="36">
        <v>92.43</v>
      </c>
      <c r="K395" s="36">
        <v>98.61</v>
      </c>
      <c r="L395" s="43">
        <v>24.467469170921003</v>
      </c>
      <c r="M395" s="43">
        <f>M396</f>
        <v>22.649698829999998</v>
      </c>
      <c r="N395" s="43">
        <v>11.034004016439702</v>
      </c>
      <c r="O395" s="43">
        <f>O396</f>
        <v>116.34041073558025</v>
      </c>
      <c r="P395" s="43">
        <v>44.378820889211354</v>
      </c>
      <c r="Q395" s="43">
        <f>Q396</f>
        <v>51.23542454650233</v>
      </c>
      <c r="R395" s="43">
        <v>57.129820233331742</v>
      </c>
      <c r="S395" s="43">
        <f>S396</f>
        <v>57.534450201331744</v>
      </c>
      <c r="T395" s="43">
        <v>62.419594921056955</v>
      </c>
      <c r="U395" s="43">
        <f>U396</f>
        <v>74.989072537056956</v>
      </c>
      <c r="V395" s="43">
        <f t="shared" ref="V395" si="155">V396</f>
        <v>199.42970923096075</v>
      </c>
      <c r="W395" s="48">
        <f t="shared" si="150"/>
        <v>322.74905685047128</v>
      </c>
    </row>
    <row r="396" spans="1:23" s="3" customFormat="1" x14ac:dyDescent="0.2">
      <c r="A396" s="80" t="s">
        <v>589</v>
      </c>
      <c r="B396" s="81"/>
      <c r="C396" s="77" t="s">
        <v>627</v>
      </c>
      <c r="D396" s="78"/>
      <c r="E396" s="78"/>
      <c r="F396" s="78"/>
      <c r="G396" s="79"/>
      <c r="H396" s="1" t="s">
        <v>5</v>
      </c>
      <c r="I396" s="36">
        <v>94.27</v>
      </c>
      <c r="J396" s="36">
        <v>92.43</v>
      </c>
      <c r="K396" s="36">
        <v>92.43</v>
      </c>
      <c r="L396" s="43">
        <v>24.467469170921003</v>
      </c>
      <c r="M396" s="43">
        <f>M402</f>
        <v>22.649698829999998</v>
      </c>
      <c r="N396" s="43">
        <v>11.034004016439702</v>
      </c>
      <c r="O396" s="43">
        <f>O402</f>
        <v>116.34041073558025</v>
      </c>
      <c r="P396" s="43">
        <v>44.378820889211354</v>
      </c>
      <c r="Q396" s="43">
        <f>Q402</f>
        <v>51.23542454650233</v>
      </c>
      <c r="R396" s="43">
        <v>57.129820233331742</v>
      </c>
      <c r="S396" s="43">
        <f>S402</f>
        <v>57.534450201331744</v>
      </c>
      <c r="T396" s="43">
        <v>62.419594921056955</v>
      </c>
      <c r="U396" s="43">
        <f>U402</f>
        <v>74.989072537056956</v>
      </c>
      <c r="V396" s="43">
        <f t="shared" ref="V396" si="156">V402</f>
        <v>199.42970923096075</v>
      </c>
      <c r="W396" s="48">
        <f>M396+O396+Q396+S396+U396</f>
        <v>322.74905685047128</v>
      </c>
    </row>
    <row r="397" spans="1:23" s="3" customFormat="1" x14ac:dyDescent="0.2">
      <c r="A397" s="80" t="s">
        <v>590</v>
      </c>
      <c r="B397" s="81"/>
      <c r="C397" s="96" t="s">
        <v>628</v>
      </c>
      <c r="D397" s="97"/>
      <c r="E397" s="97"/>
      <c r="F397" s="97"/>
      <c r="G397" s="98"/>
      <c r="H397" s="1" t="s">
        <v>5</v>
      </c>
      <c r="I397" s="36">
        <v>0</v>
      </c>
      <c r="J397" s="36">
        <v>0</v>
      </c>
      <c r="K397" s="36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8">
        <f t="shared" si="150"/>
        <v>0</v>
      </c>
    </row>
    <row r="398" spans="1:23" s="3" customFormat="1" ht="16.5" customHeight="1" x14ac:dyDescent="0.2">
      <c r="A398" s="80" t="s">
        <v>591</v>
      </c>
      <c r="B398" s="81"/>
      <c r="C398" s="96" t="s">
        <v>47</v>
      </c>
      <c r="D398" s="97"/>
      <c r="E398" s="97"/>
      <c r="F398" s="97"/>
      <c r="G398" s="98"/>
      <c r="H398" s="1" t="s">
        <v>5</v>
      </c>
      <c r="I398" s="36">
        <v>0</v>
      </c>
      <c r="J398" s="36">
        <v>0</v>
      </c>
      <c r="K398" s="36">
        <v>0</v>
      </c>
      <c r="L398" s="43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0</v>
      </c>
      <c r="S398" s="43">
        <v>0</v>
      </c>
      <c r="T398" s="43">
        <v>0</v>
      </c>
      <c r="U398" s="43">
        <v>0</v>
      </c>
      <c r="V398" s="43">
        <v>0</v>
      </c>
      <c r="W398" s="48">
        <f t="shared" si="150"/>
        <v>0</v>
      </c>
    </row>
    <row r="399" spans="1:23" s="3" customFormat="1" ht="16.5" customHeight="1" x14ac:dyDescent="0.2">
      <c r="A399" s="80" t="s">
        <v>592</v>
      </c>
      <c r="B399" s="81"/>
      <c r="C399" s="96" t="s">
        <v>52</v>
      </c>
      <c r="D399" s="97"/>
      <c r="E399" s="97"/>
      <c r="F399" s="97"/>
      <c r="G399" s="98"/>
      <c r="H399" s="1" t="s">
        <v>5</v>
      </c>
      <c r="I399" s="36">
        <v>0</v>
      </c>
      <c r="J399" s="36">
        <v>0</v>
      </c>
      <c r="K399" s="36">
        <v>0</v>
      </c>
      <c r="L399" s="43">
        <v>0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3">
        <v>0</v>
      </c>
      <c r="S399" s="43">
        <v>0</v>
      </c>
      <c r="T399" s="43">
        <v>0</v>
      </c>
      <c r="U399" s="43">
        <v>0</v>
      </c>
      <c r="V399" s="43">
        <v>0</v>
      </c>
      <c r="W399" s="48">
        <f t="shared" si="150"/>
        <v>0</v>
      </c>
    </row>
    <row r="400" spans="1:23" s="3" customFormat="1" ht="16.5" customHeight="1" x14ac:dyDescent="0.2">
      <c r="A400" s="80" t="s">
        <v>593</v>
      </c>
      <c r="B400" s="81"/>
      <c r="C400" s="96" t="s">
        <v>53</v>
      </c>
      <c r="D400" s="97"/>
      <c r="E400" s="97"/>
      <c r="F400" s="97"/>
      <c r="G400" s="98"/>
      <c r="H400" s="1" t="s">
        <v>5</v>
      </c>
      <c r="I400" s="36">
        <v>0</v>
      </c>
      <c r="J400" s="36">
        <v>0</v>
      </c>
      <c r="K400" s="36">
        <v>0</v>
      </c>
      <c r="L400" s="4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0</v>
      </c>
      <c r="S400" s="43">
        <v>0</v>
      </c>
      <c r="T400" s="43">
        <v>0</v>
      </c>
      <c r="U400" s="43">
        <v>0</v>
      </c>
      <c r="V400" s="43">
        <v>0</v>
      </c>
      <c r="W400" s="48">
        <f t="shared" si="150"/>
        <v>0</v>
      </c>
    </row>
    <row r="401" spans="1:23" s="3" customFormat="1" ht="15" customHeight="1" x14ac:dyDescent="0.2">
      <c r="A401" s="80" t="s">
        <v>594</v>
      </c>
      <c r="B401" s="81"/>
      <c r="C401" s="96" t="s">
        <v>418</v>
      </c>
      <c r="D401" s="97"/>
      <c r="E401" s="97"/>
      <c r="F401" s="97"/>
      <c r="G401" s="98"/>
      <c r="H401" s="1" t="s">
        <v>5</v>
      </c>
      <c r="I401" s="36">
        <v>0</v>
      </c>
      <c r="J401" s="36">
        <v>0</v>
      </c>
      <c r="K401" s="36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8">
        <f t="shared" si="150"/>
        <v>0</v>
      </c>
    </row>
    <row r="402" spans="1:23" s="3" customFormat="1" ht="13.5" customHeight="1" x14ac:dyDescent="0.2">
      <c r="A402" s="80" t="s">
        <v>595</v>
      </c>
      <c r="B402" s="81"/>
      <c r="C402" s="96" t="s">
        <v>419</v>
      </c>
      <c r="D402" s="97"/>
      <c r="E402" s="97"/>
      <c r="F402" s="97"/>
      <c r="G402" s="98"/>
      <c r="H402" s="1" t="s">
        <v>5</v>
      </c>
      <c r="I402" s="36">
        <v>94.27</v>
      </c>
      <c r="J402" s="36">
        <v>92.43</v>
      </c>
      <c r="K402" s="36">
        <v>98.61</v>
      </c>
      <c r="L402" s="43">
        <v>24.467469170921003</v>
      </c>
      <c r="M402" s="43">
        <f>'[10]2'!$AQ$22+'[10]2'!$AQ$24</f>
        <v>22.649698829999998</v>
      </c>
      <c r="N402" s="43">
        <v>11.034004016439702</v>
      </c>
      <c r="O402" s="43">
        <f>'[10]2'!$BA$20</f>
        <v>116.34041073558025</v>
      </c>
      <c r="P402" s="43">
        <v>44.378820889211354</v>
      </c>
      <c r="Q402" s="43">
        <f>'[10]2'!$BK$20</f>
        <v>51.23542454650233</v>
      </c>
      <c r="R402" s="43">
        <v>57.129820233331742</v>
      </c>
      <c r="S402" s="43">
        <f>'[10]2'!$BU$20</f>
        <v>57.534450201331744</v>
      </c>
      <c r="T402" s="43">
        <v>62.419594921056955</v>
      </c>
      <c r="U402" s="43">
        <f>'[10]2'!$CE$20</f>
        <v>74.989072537056956</v>
      </c>
      <c r="V402" s="43">
        <f>L402+N402+P402+R402+T402</f>
        <v>199.42970923096075</v>
      </c>
      <c r="W402" s="48">
        <f>M402+O402+Q402+S402+U402</f>
        <v>322.74905685047128</v>
      </c>
    </row>
    <row r="403" spans="1:23" s="3" customFormat="1" x14ac:dyDescent="0.2">
      <c r="A403" s="80" t="s">
        <v>596</v>
      </c>
      <c r="B403" s="81"/>
      <c r="C403" s="96" t="s">
        <v>420</v>
      </c>
      <c r="D403" s="97"/>
      <c r="E403" s="97"/>
      <c r="F403" s="97"/>
      <c r="G403" s="98"/>
      <c r="H403" s="1" t="s">
        <v>5</v>
      </c>
      <c r="I403" s="36">
        <v>0</v>
      </c>
      <c r="J403" s="36">
        <v>0</v>
      </c>
      <c r="K403" s="36">
        <v>0</v>
      </c>
      <c r="L403" s="43">
        <v>0</v>
      </c>
      <c r="M403" s="43">
        <v>0</v>
      </c>
      <c r="N403" s="43">
        <v>0</v>
      </c>
      <c r="O403" s="43">
        <v>0</v>
      </c>
      <c r="P403" s="43">
        <v>0</v>
      </c>
      <c r="Q403" s="43">
        <v>0</v>
      </c>
      <c r="R403" s="43">
        <v>0</v>
      </c>
      <c r="S403" s="43">
        <v>0</v>
      </c>
      <c r="T403" s="43">
        <v>0</v>
      </c>
      <c r="U403" s="43">
        <v>0</v>
      </c>
      <c r="V403" s="43">
        <v>0</v>
      </c>
      <c r="W403" s="48">
        <f t="shared" si="150"/>
        <v>0</v>
      </c>
    </row>
    <row r="404" spans="1:23" s="3" customFormat="1" x14ac:dyDescent="0.2">
      <c r="A404" s="80" t="s">
        <v>597</v>
      </c>
      <c r="B404" s="81"/>
      <c r="C404" s="96" t="s">
        <v>422</v>
      </c>
      <c r="D404" s="97"/>
      <c r="E404" s="97"/>
      <c r="F404" s="97"/>
      <c r="G404" s="98"/>
      <c r="H404" s="1" t="s">
        <v>5</v>
      </c>
      <c r="I404" s="36">
        <v>0</v>
      </c>
      <c r="J404" s="36">
        <v>0</v>
      </c>
      <c r="K404" s="36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8">
        <f t="shared" si="150"/>
        <v>0</v>
      </c>
    </row>
    <row r="405" spans="1:23" s="3" customFormat="1" x14ac:dyDescent="0.2">
      <c r="A405" s="80" t="s">
        <v>598</v>
      </c>
      <c r="B405" s="81"/>
      <c r="C405" s="96" t="s">
        <v>423</v>
      </c>
      <c r="D405" s="97"/>
      <c r="E405" s="97"/>
      <c r="F405" s="97"/>
      <c r="G405" s="98"/>
      <c r="H405" s="1" t="s">
        <v>5</v>
      </c>
      <c r="I405" s="36">
        <v>0</v>
      </c>
      <c r="J405" s="36">
        <v>0</v>
      </c>
      <c r="K405" s="36">
        <v>0</v>
      </c>
      <c r="L405" s="43">
        <v>0</v>
      </c>
      <c r="M405" s="43">
        <v>0</v>
      </c>
      <c r="N405" s="43">
        <v>0</v>
      </c>
      <c r="O405" s="43">
        <v>0</v>
      </c>
      <c r="P405" s="43">
        <v>0</v>
      </c>
      <c r="Q405" s="43">
        <v>0</v>
      </c>
      <c r="R405" s="43">
        <v>0</v>
      </c>
      <c r="S405" s="43">
        <v>0</v>
      </c>
      <c r="T405" s="43">
        <v>0</v>
      </c>
      <c r="U405" s="43">
        <v>0</v>
      </c>
      <c r="V405" s="43">
        <v>0</v>
      </c>
      <c r="W405" s="48">
        <f t="shared" si="150"/>
        <v>0</v>
      </c>
    </row>
    <row r="406" spans="1:23" s="3" customFormat="1" ht="16.5" customHeight="1" x14ac:dyDescent="0.2">
      <c r="A406" s="80" t="s">
        <v>599</v>
      </c>
      <c r="B406" s="81"/>
      <c r="C406" s="96" t="s">
        <v>424</v>
      </c>
      <c r="D406" s="97"/>
      <c r="E406" s="97"/>
      <c r="F406" s="97"/>
      <c r="G406" s="98"/>
      <c r="H406" s="1" t="s">
        <v>5</v>
      </c>
      <c r="I406" s="36">
        <v>0</v>
      </c>
      <c r="J406" s="36">
        <v>0</v>
      </c>
      <c r="K406" s="36">
        <v>0</v>
      </c>
      <c r="L406" s="43">
        <v>0</v>
      </c>
      <c r="M406" s="43">
        <v>0</v>
      </c>
      <c r="N406" s="43">
        <v>0</v>
      </c>
      <c r="O406" s="43">
        <v>0</v>
      </c>
      <c r="P406" s="43">
        <v>0</v>
      </c>
      <c r="Q406" s="43">
        <v>0</v>
      </c>
      <c r="R406" s="43">
        <v>0</v>
      </c>
      <c r="S406" s="43">
        <v>0</v>
      </c>
      <c r="T406" s="43">
        <v>0</v>
      </c>
      <c r="U406" s="43">
        <v>0</v>
      </c>
      <c r="V406" s="43">
        <v>0</v>
      </c>
      <c r="W406" s="48">
        <f t="shared" si="150"/>
        <v>0</v>
      </c>
    </row>
    <row r="407" spans="1:23" s="3" customFormat="1" x14ac:dyDescent="0.2">
      <c r="A407" s="80" t="s">
        <v>600</v>
      </c>
      <c r="B407" s="81"/>
      <c r="C407" s="99" t="s">
        <v>82</v>
      </c>
      <c r="D407" s="100"/>
      <c r="E407" s="100"/>
      <c r="F407" s="100"/>
      <c r="G407" s="101"/>
      <c r="H407" s="1" t="s">
        <v>5</v>
      </c>
      <c r="I407" s="36">
        <v>0</v>
      </c>
      <c r="J407" s="36">
        <v>0</v>
      </c>
      <c r="K407" s="36">
        <v>0</v>
      </c>
      <c r="L407" s="43">
        <v>0</v>
      </c>
      <c r="M407" s="43">
        <v>0</v>
      </c>
      <c r="N407" s="43">
        <v>0</v>
      </c>
      <c r="O407" s="43">
        <v>0</v>
      </c>
      <c r="P407" s="43">
        <v>0</v>
      </c>
      <c r="Q407" s="43">
        <v>0</v>
      </c>
      <c r="R407" s="43">
        <v>0</v>
      </c>
      <c r="S407" s="43">
        <v>0</v>
      </c>
      <c r="T407" s="43">
        <v>0</v>
      </c>
      <c r="U407" s="43">
        <v>0</v>
      </c>
      <c r="V407" s="43">
        <v>0</v>
      </c>
      <c r="W407" s="48">
        <f t="shared" si="150"/>
        <v>0</v>
      </c>
    </row>
    <row r="408" spans="1:23" s="3" customFormat="1" x14ac:dyDescent="0.2">
      <c r="A408" s="80" t="s">
        <v>601</v>
      </c>
      <c r="B408" s="81"/>
      <c r="C408" s="99" t="s">
        <v>83</v>
      </c>
      <c r="D408" s="100"/>
      <c r="E408" s="100"/>
      <c r="F408" s="100"/>
      <c r="G408" s="101"/>
      <c r="H408" s="1" t="s">
        <v>5</v>
      </c>
      <c r="I408" s="36">
        <v>0</v>
      </c>
      <c r="J408" s="36">
        <v>0</v>
      </c>
      <c r="K408" s="36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8">
        <f t="shared" si="150"/>
        <v>0</v>
      </c>
    </row>
    <row r="409" spans="1:23" s="3" customFormat="1" x14ac:dyDescent="0.2">
      <c r="A409" s="80" t="s">
        <v>602</v>
      </c>
      <c r="B409" s="81"/>
      <c r="C409" s="77" t="s">
        <v>629</v>
      </c>
      <c r="D409" s="78"/>
      <c r="E409" s="78"/>
      <c r="F409" s="78"/>
      <c r="G409" s="79"/>
      <c r="H409" s="1" t="s">
        <v>5</v>
      </c>
      <c r="I409" s="36">
        <v>0</v>
      </c>
      <c r="J409" s="36">
        <v>0</v>
      </c>
      <c r="K409" s="36">
        <v>0</v>
      </c>
      <c r="L409" s="43">
        <v>0</v>
      </c>
      <c r="M409" s="43">
        <v>0</v>
      </c>
      <c r="N409" s="43">
        <v>0</v>
      </c>
      <c r="O409" s="43">
        <v>0</v>
      </c>
      <c r="P409" s="43">
        <v>0</v>
      </c>
      <c r="Q409" s="43">
        <v>0</v>
      </c>
      <c r="R409" s="43">
        <v>0</v>
      </c>
      <c r="S409" s="43">
        <v>0</v>
      </c>
      <c r="T409" s="43">
        <v>0</v>
      </c>
      <c r="U409" s="43">
        <v>0</v>
      </c>
      <c r="V409" s="43">
        <v>0</v>
      </c>
      <c r="W409" s="48">
        <f t="shared" si="150"/>
        <v>0</v>
      </c>
    </row>
    <row r="410" spans="1:23" s="3" customFormat="1" x14ac:dyDescent="0.2">
      <c r="A410" s="80" t="s">
        <v>603</v>
      </c>
      <c r="B410" s="81"/>
      <c r="C410" s="77" t="s">
        <v>630</v>
      </c>
      <c r="D410" s="78"/>
      <c r="E410" s="78"/>
      <c r="F410" s="78"/>
      <c r="G410" s="79"/>
      <c r="H410" s="1" t="s">
        <v>5</v>
      </c>
      <c r="I410" s="36">
        <v>0</v>
      </c>
      <c r="J410" s="36">
        <v>0</v>
      </c>
      <c r="K410" s="36">
        <v>0</v>
      </c>
      <c r="L410" s="43">
        <v>0</v>
      </c>
      <c r="M410" s="43">
        <v>0</v>
      </c>
      <c r="N410" s="43">
        <v>0</v>
      </c>
      <c r="O410" s="43">
        <v>0</v>
      </c>
      <c r="P410" s="43">
        <v>0</v>
      </c>
      <c r="Q410" s="43">
        <v>0</v>
      </c>
      <c r="R410" s="43">
        <v>0</v>
      </c>
      <c r="S410" s="43">
        <v>0</v>
      </c>
      <c r="T410" s="43">
        <v>0</v>
      </c>
      <c r="U410" s="43">
        <v>0</v>
      </c>
      <c r="V410" s="43">
        <v>0</v>
      </c>
      <c r="W410" s="48">
        <f t="shared" si="150"/>
        <v>0</v>
      </c>
    </row>
    <row r="411" spans="1:23" s="3" customFormat="1" x14ac:dyDescent="0.2">
      <c r="A411" s="80" t="s">
        <v>604</v>
      </c>
      <c r="B411" s="81"/>
      <c r="C411" s="96" t="s">
        <v>628</v>
      </c>
      <c r="D411" s="97"/>
      <c r="E411" s="97"/>
      <c r="F411" s="97"/>
      <c r="G411" s="98"/>
      <c r="H411" s="1" t="s">
        <v>5</v>
      </c>
      <c r="I411" s="36">
        <v>0</v>
      </c>
      <c r="J411" s="36">
        <v>0</v>
      </c>
      <c r="K411" s="36">
        <v>0</v>
      </c>
      <c r="L411" s="43">
        <v>0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3">
        <v>0</v>
      </c>
      <c r="S411" s="43">
        <v>0</v>
      </c>
      <c r="T411" s="43">
        <v>0</v>
      </c>
      <c r="U411" s="43">
        <v>0</v>
      </c>
      <c r="V411" s="43">
        <v>0</v>
      </c>
      <c r="W411" s="48">
        <f t="shared" si="150"/>
        <v>0</v>
      </c>
    </row>
    <row r="412" spans="1:23" s="3" customFormat="1" ht="16.5" customHeight="1" x14ac:dyDescent="0.2">
      <c r="A412" s="80" t="s">
        <v>605</v>
      </c>
      <c r="B412" s="81"/>
      <c r="C412" s="96" t="s">
        <v>47</v>
      </c>
      <c r="D412" s="97"/>
      <c r="E412" s="97"/>
      <c r="F412" s="97"/>
      <c r="G412" s="98"/>
      <c r="H412" s="1" t="s">
        <v>5</v>
      </c>
      <c r="I412" s="36">
        <v>0</v>
      </c>
      <c r="J412" s="36">
        <v>0</v>
      </c>
      <c r="K412" s="36">
        <v>0</v>
      </c>
      <c r="L412" s="43">
        <v>0</v>
      </c>
      <c r="M412" s="43">
        <v>0</v>
      </c>
      <c r="N412" s="43">
        <v>0</v>
      </c>
      <c r="O412" s="43">
        <v>0</v>
      </c>
      <c r="P412" s="43">
        <v>0</v>
      </c>
      <c r="Q412" s="43">
        <v>0</v>
      </c>
      <c r="R412" s="43">
        <v>0</v>
      </c>
      <c r="S412" s="43">
        <v>0</v>
      </c>
      <c r="T412" s="43">
        <v>0</v>
      </c>
      <c r="U412" s="43">
        <v>0</v>
      </c>
      <c r="V412" s="43">
        <v>0</v>
      </c>
      <c r="W412" s="48">
        <f t="shared" si="150"/>
        <v>0</v>
      </c>
    </row>
    <row r="413" spans="1:23" s="3" customFormat="1" ht="16.5" customHeight="1" x14ac:dyDescent="0.2">
      <c r="A413" s="80" t="s">
        <v>606</v>
      </c>
      <c r="B413" s="81"/>
      <c r="C413" s="96" t="s">
        <v>52</v>
      </c>
      <c r="D413" s="97"/>
      <c r="E413" s="97"/>
      <c r="F413" s="97"/>
      <c r="G413" s="98"/>
      <c r="H413" s="1" t="s">
        <v>5</v>
      </c>
      <c r="I413" s="36">
        <v>0</v>
      </c>
      <c r="J413" s="36">
        <v>0</v>
      </c>
      <c r="K413" s="36">
        <v>0</v>
      </c>
      <c r="L413" s="43">
        <v>0</v>
      </c>
      <c r="M413" s="43">
        <v>0</v>
      </c>
      <c r="N413" s="43">
        <v>0</v>
      </c>
      <c r="O413" s="43">
        <v>0</v>
      </c>
      <c r="P413" s="43">
        <v>0</v>
      </c>
      <c r="Q413" s="43">
        <v>0</v>
      </c>
      <c r="R413" s="43">
        <v>0</v>
      </c>
      <c r="S413" s="43">
        <v>0</v>
      </c>
      <c r="T413" s="43">
        <v>0</v>
      </c>
      <c r="U413" s="43">
        <v>0</v>
      </c>
      <c r="V413" s="43">
        <v>0</v>
      </c>
      <c r="W413" s="48">
        <f t="shared" si="150"/>
        <v>0</v>
      </c>
    </row>
    <row r="414" spans="1:23" s="3" customFormat="1" ht="16.5" customHeight="1" x14ac:dyDescent="0.2">
      <c r="A414" s="80" t="s">
        <v>606</v>
      </c>
      <c r="B414" s="81"/>
      <c r="C414" s="96" t="s">
        <v>53</v>
      </c>
      <c r="D414" s="97"/>
      <c r="E414" s="97"/>
      <c r="F414" s="97"/>
      <c r="G414" s="98"/>
      <c r="H414" s="1" t="s">
        <v>5</v>
      </c>
      <c r="I414" s="36">
        <v>0</v>
      </c>
      <c r="J414" s="36">
        <v>0</v>
      </c>
      <c r="K414" s="36">
        <v>0</v>
      </c>
      <c r="L414" s="43">
        <v>0</v>
      </c>
      <c r="M414" s="43">
        <v>0</v>
      </c>
      <c r="N414" s="43">
        <v>0</v>
      </c>
      <c r="O414" s="43">
        <v>0</v>
      </c>
      <c r="P414" s="43">
        <v>0</v>
      </c>
      <c r="Q414" s="43">
        <v>0</v>
      </c>
      <c r="R414" s="43">
        <v>0</v>
      </c>
      <c r="S414" s="43">
        <v>0</v>
      </c>
      <c r="T414" s="43">
        <v>0</v>
      </c>
      <c r="U414" s="43">
        <v>0</v>
      </c>
      <c r="V414" s="43">
        <v>0</v>
      </c>
      <c r="W414" s="48">
        <f t="shared" si="150"/>
        <v>0</v>
      </c>
    </row>
    <row r="415" spans="1:23" s="3" customFormat="1" x14ac:dyDescent="0.2">
      <c r="A415" s="80" t="s">
        <v>607</v>
      </c>
      <c r="B415" s="81"/>
      <c r="C415" s="96" t="s">
        <v>418</v>
      </c>
      <c r="D415" s="97"/>
      <c r="E415" s="97"/>
      <c r="F415" s="97"/>
      <c r="G415" s="98"/>
      <c r="H415" s="1" t="s">
        <v>5</v>
      </c>
      <c r="I415" s="36">
        <v>0</v>
      </c>
      <c r="J415" s="36">
        <v>0</v>
      </c>
      <c r="K415" s="36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8">
        <f t="shared" si="150"/>
        <v>0</v>
      </c>
    </row>
    <row r="416" spans="1:23" s="3" customFormat="1" x14ac:dyDescent="0.2">
      <c r="A416" s="80" t="s">
        <v>608</v>
      </c>
      <c r="B416" s="81"/>
      <c r="C416" s="96" t="s">
        <v>419</v>
      </c>
      <c r="D416" s="97"/>
      <c r="E416" s="97"/>
      <c r="F416" s="97"/>
      <c r="G416" s="98"/>
      <c r="H416" s="1" t="s">
        <v>5</v>
      </c>
      <c r="I416" s="36">
        <v>0</v>
      </c>
      <c r="J416" s="36">
        <v>0</v>
      </c>
      <c r="K416" s="36">
        <v>0</v>
      </c>
      <c r="L416" s="43">
        <v>0</v>
      </c>
      <c r="M416" s="43">
        <v>0</v>
      </c>
      <c r="N416" s="43">
        <v>0</v>
      </c>
      <c r="O416" s="43">
        <v>0</v>
      </c>
      <c r="P416" s="43">
        <v>0</v>
      </c>
      <c r="Q416" s="43">
        <v>0</v>
      </c>
      <c r="R416" s="43">
        <v>0</v>
      </c>
      <c r="S416" s="43">
        <v>0</v>
      </c>
      <c r="T416" s="43">
        <v>0</v>
      </c>
      <c r="U416" s="43">
        <v>0</v>
      </c>
      <c r="V416" s="43">
        <v>0</v>
      </c>
      <c r="W416" s="48">
        <f t="shared" si="150"/>
        <v>0</v>
      </c>
    </row>
    <row r="417" spans="1:23" s="3" customFormat="1" x14ac:dyDescent="0.2">
      <c r="A417" s="80" t="s">
        <v>609</v>
      </c>
      <c r="B417" s="81"/>
      <c r="C417" s="96" t="s">
        <v>420</v>
      </c>
      <c r="D417" s="97"/>
      <c r="E417" s="97"/>
      <c r="F417" s="97"/>
      <c r="G417" s="98"/>
      <c r="H417" s="1" t="s">
        <v>5</v>
      </c>
      <c r="I417" s="36">
        <v>0</v>
      </c>
      <c r="J417" s="36">
        <v>0</v>
      </c>
      <c r="K417" s="36">
        <v>0</v>
      </c>
      <c r="L417" s="43">
        <v>0</v>
      </c>
      <c r="M417" s="43">
        <v>0</v>
      </c>
      <c r="N417" s="43">
        <v>0</v>
      </c>
      <c r="O417" s="43">
        <v>0</v>
      </c>
      <c r="P417" s="43">
        <v>0</v>
      </c>
      <c r="Q417" s="43">
        <v>0</v>
      </c>
      <c r="R417" s="43">
        <v>0</v>
      </c>
      <c r="S417" s="43">
        <v>0</v>
      </c>
      <c r="T417" s="43">
        <v>0</v>
      </c>
      <c r="U417" s="43">
        <v>0</v>
      </c>
      <c r="V417" s="43">
        <v>0</v>
      </c>
      <c r="W417" s="48">
        <f t="shared" si="150"/>
        <v>0</v>
      </c>
    </row>
    <row r="418" spans="1:23" s="3" customFormat="1" x14ac:dyDescent="0.2">
      <c r="A418" s="80" t="s">
        <v>610</v>
      </c>
      <c r="B418" s="81"/>
      <c r="C418" s="96" t="s">
        <v>422</v>
      </c>
      <c r="D418" s="97"/>
      <c r="E418" s="97"/>
      <c r="F418" s="97"/>
      <c r="G418" s="98"/>
      <c r="H418" s="1" t="s">
        <v>5</v>
      </c>
      <c r="I418" s="36">
        <v>0</v>
      </c>
      <c r="J418" s="36">
        <v>0</v>
      </c>
      <c r="K418" s="36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8">
        <f t="shared" si="150"/>
        <v>0</v>
      </c>
    </row>
    <row r="419" spans="1:23" s="3" customFormat="1" x14ac:dyDescent="0.2">
      <c r="A419" s="80" t="s">
        <v>611</v>
      </c>
      <c r="B419" s="81"/>
      <c r="C419" s="96" t="s">
        <v>423</v>
      </c>
      <c r="D419" s="97"/>
      <c r="E419" s="97"/>
      <c r="F419" s="97"/>
      <c r="G419" s="98"/>
      <c r="H419" s="1" t="s">
        <v>5</v>
      </c>
      <c r="I419" s="36">
        <v>0</v>
      </c>
      <c r="J419" s="36">
        <v>0</v>
      </c>
      <c r="K419" s="36">
        <v>0</v>
      </c>
      <c r="L419" s="43">
        <v>0</v>
      </c>
      <c r="M419" s="43">
        <v>0</v>
      </c>
      <c r="N419" s="43">
        <v>0</v>
      </c>
      <c r="O419" s="43">
        <v>0</v>
      </c>
      <c r="P419" s="43">
        <v>0</v>
      </c>
      <c r="Q419" s="43">
        <v>0</v>
      </c>
      <c r="R419" s="43">
        <v>0</v>
      </c>
      <c r="S419" s="43">
        <v>0</v>
      </c>
      <c r="T419" s="43">
        <v>0</v>
      </c>
      <c r="U419" s="43">
        <v>0</v>
      </c>
      <c r="V419" s="43">
        <v>0</v>
      </c>
      <c r="W419" s="48">
        <f t="shared" si="150"/>
        <v>0</v>
      </c>
    </row>
    <row r="420" spans="1:23" s="3" customFormat="1" ht="16.5" customHeight="1" x14ac:dyDescent="0.2">
      <c r="A420" s="80" t="s">
        <v>612</v>
      </c>
      <c r="B420" s="81"/>
      <c r="C420" s="96" t="s">
        <v>424</v>
      </c>
      <c r="D420" s="97"/>
      <c r="E420" s="97"/>
      <c r="F420" s="97"/>
      <c r="G420" s="98"/>
      <c r="H420" s="1" t="s">
        <v>5</v>
      </c>
      <c r="I420" s="36">
        <v>0</v>
      </c>
      <c r="J420" s="36">
        <v>0</v>
      </c>
      <c r="K420" s="36">
        <v>0</v>
      </c>
      <c r="L420" s="43">
        <v>0</v>
      </c>
      <c r="M420" s="43">
        <v>0</v>
      </c>
      <c r="N420" s="43">
        <v>0</v>
      </c>
      <c r="O420" s="43">
        <v>0</v>
      </c>
      <c r="P420" s="43">
        <v>0</v>
      </c>
      <c r="Q420" s="43">
        <v>0</v>
      </c>
      <c r="R420" s="43">
        <v>0</v>
      </c>
      <c r="S420" s="43">
        <v>0</v>
      </c>
      <c r="T420" s="43">
        <v>0</v>
      </c>
      <c r="U420" s="43">
        <v>0</v>
      </c>
      <c r="V420" s="43">
        <v>0</v>
      </c>
      <c r="W420" s="48">
        <f t="shared" si="150"/>
        <v>0</v>
      </c>
    </row>
    <row r="421" spans="1:23" s="3" customFormat="1" x14ac:dyDescent="0.2">
      <c r="A421" s="80" t="s">
        <v>631</v>
      </c>
      <c r="B421" s="81"/>
      <c r="C421" s="99" t="s">
        <v>82</v>
      </c>
      <c r="D421" s="100"/>
      <c r="E421" s="100"/>
      <c r="F421" s="100"/>
      <c r="G421" s="101"/>
      <c r="H421" s="1" t="s">
        <v>5</v>
      </c>
      <c r="I421" s="36">
        <v>0</v>
      </c>
      <c r="J421" s="36">
        <v>0</v>
      </c>
      <c r="K421" s="36">
        <v>0</v>
      </c>
      <c r="L421" s="43">
        <v>0</v>
      </c>
      <c r="M421" s="43">
        <v>0</v>
      </c>
      <c r="N421" s="43">
        <v>0</v>
      </c>
      <c r="O421" s="43">
        <v>0</v>
      </c>
      <c r="P421" s="43">
        <v>0</v>
      </c>
      <c r="Q421" s="43">
        <v>0</v>
      </c>
      <c r="R421" s="43">
        <v>0</v>
      </c>
      <c r="S421" s="43">
        <v>0</v>
      </c>
      <c r="T421" s="43">
        <v>0</v>
      </c>
      <c r="U421" s="43">
        <v>0</v>
      </c>
      <c r="V421" s="43">
        <v>0</v>
      </c>
      <c r="W421" s="48">
        <f t="shared" si="150"/>
        <v>0</v>
      </c>
    </row>
    <row r="422" spans="1:23" s="3" customFormat="1" x14ac:dyDescent="0.2">
      <c r="A422" s="80" t="s">
        <v>632</v>
      </c>
      <c r="B422" s="81"/>
      <c r="C422" s="99" t="s">
        <v>83</v>
      </c>
      <c r="D422" s="100"/>
      <c r="E422" s="100"/>
      <c r="F422" s="100"/>
      <c r="G422" s="101"/>
      <c r="H422" s="1" t="s">
        <v>5</v>
      </c>
      <c r="I422" s="36">
        <v>0</v>
      </c>
      <c r="J422" s="36">
        <v>0</v>
      </c>
      <c r="K422" s="36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8">
        <f t="shared" si="150"/>
        <v>0</v>
      </c>
    </row>
    <row r="423" spans="1:23" s="3" customFormat="1" x14ac:dyDescent="0.2">
      <c r="A423" s="80" t="s">
        <v>16</v>
      </c>
      <c r="B423" s="81"/>
      <c r="C423" s="85" t="s">
        <v>635</v>
      </c>
      <c r="D423" s="86"/>
      <c r="E423" s="86"/>
      <c r="F423" s="86"/>
      <c r="G423" s="87"/>
      <c r="H423" s="1" t="s">
        <v>5</v>
      </c>
      <c r="I423" s="36">
        <v>0</v>
      </c>
      <c r="J423" s="36">
        <v>33</v>
      </c>
      <c r="K423" s="36">
        <v>53.42</v>
      </c>
      <c r="L423" s="43">
        <v>0</v>
      </c>
      <c r="M423" s="43">
        <f>'[10]2'!$AR$24+'[10]2'!$AR$22</f>
        <v>2.8944489999999998</v>
      </c>
      <c r="N423" s="43">
        <v>0</v>
      </c>
      <c r="O423" s="43">
        <v>0</v>
      </c>
      <c r="P423" s="43">
        <v>0</v>
      </c>
      <c r="Q423" s="43">
        <v>0</v>
      </c>
      <c r="R423" s="43">
        <v>0</v>
      </c>
      <c r="S423" s="43">
        <v>0</v>
      </c>
      <c r="T423" s="43">
        <v>0</v>
      </c>
      <c r="U423" s="43">
        <v>0</v>
      </c>
      <c r="V423" s="43">
        <v>0</v>
      </c>
      <c r="W423" s="48">
        <f t="shared" si="150"/>
        <v>2.8944489999999998</v>
      </c>
    </row>
    <row r="424" spans="1:23" s="3" customFormat="1" x14ac:dyDescent="0.2">
      <c r="A424" s="80" t="s">
        <v>17</v>
      </c>
      <c r="B424" s="81"/>
      <c r="C424" s="85" t="s">
        <v>636</v>
      </c>
      <c r="D424" s="86"/>
      <c r="E424" s="86"/>
      <c r="F424" s="86"/>
      <c r="G424" s="87"/>
      <c r="H424" s="1" t="s">
        <v>5</v>
      </c>
      <c r="I424" s="36">
        <v>0</v>
      </c>
      <c r="J424" s="36">
        <v>8.26</v>
      </c>
      <c r="K424" s="36">
        <v>0</v>
      </c>
      <c r="L424" s="43">
        <v>0</v>
      </c>
      <c r="M424" s="43">
        <v>0</v>
      </c>
      <c r="N424" s="43">
        <v>0</v>
      </c>
      <c r="O424" s="43">
        <v>0</v>
      </c>
      <c r="P424" s="43">
        <v>0</v>
      </c>
      <c r="Q424" s="43">
        <v>0</v>
      </c>
      <c r="R424" s="43">
        <v>0</v>
      </c>
      <c r="S424" s="43">
        <v>0</v>
      </c>
      <c r="T424" s="43">
        <v>0</v>
      </c>
      <c r="U424" s="43">
        <v>0</v>
      </c>
      <c r="V424" s="43">
        <v>0</v>
      </c>
      <c r="W424" s="48">
        <f t="shared" si="150"/>
        <v>0</v>
      </c>
    </row>
    <row r="425" spans="1:23" s="3" customFormat="1" x14ac:dyDescent="0.2">
      <c r="A425" s="80" t="s">
        <v>633</v>
      </c>
      <c r="B425" s="81"/>
      <c r="C425" s="77" t="s">
        <v>637</v>
      </c>
      <c r="D425" s="78"/>
      <c r="E425" s="78"/>
      <c r="F425" s="78"/>
      <c r="G425" s="79"/>
      <c r="H425" s="1" t="s">
        <v>5</v>
      </c>
      <c r="I425" s="36">
        <v>0</v>
      </c>
      <c r="J425" s="36">
        <v>0</v>
      </c>
      <c r="K425" s="36">
        <v>0</v>
      </c>
      <c r="L425" s="43">
        <v>0</v>
      </c>
      <c r="M425" s="43">
        <v>0</v>
      </c>
      <c r="N425" s="43">
        <v>0</v>
      </c>
      <c r="O425" s="43">
        <v>0</v>
      </c>
      <c r="P425" s="43">
        <v>0</v>
      </c>
      <c r="Q425" s="43">
        <v>0</v>
      </c>
      <c r="R425" s="43">
        <v>0</v>
      </c>
      <c r="S425" s="43">
        <v>0</v>
      </c>
      <c r="T425" s="43">
        <v>0</v>
      </c>
      <c r="U425" s="43">
        <v>0</v>
      </c>
      <c r="V425" s="43">
        <v>0</v>
      </c>
      <c r="W425" s="48">
        <f t="shared" si="150"/>
        <v>0</v>
      </c>
    </row>
    <row r="426" spans="1:23" s="3" customFormat="1" x14ac:dyDescent="0.2">
      <c r="A426" s="80" t="s">
        <v>634</v>
      </c>
      <c r="B426" s="81"/>
      <c r="C426" s="77" t="s">
        <v>638</v>
      </c>
      <c r="D426" s="78"/>
      <c r="E426" s="78"/>
      <c r="F426" s="78"/>
      <c r="G426" s="79"/>
      <c r="H426" s="1" t="s">
        <v>5</v>
      </c>
      <c r="I426" s="36">
        <v>0</v>
      </c>
      <c r="J426" s="36">
        <v>0</v>
      </c>
      <c r="K426" s="36">
        <v>0</v>
      </c>
      <c r="L426" s="43">
        <v>0</v>
      </c>
      <c r="M426" s="43">
        <v>0</v>
      </c>
      <c r="N426" s="43">
        <v>0</v>
      </c>
      <c r="O426" s="43">
        <v>0</v>
      </c>
      <c r="P426" s="43">
        <v>0</v>
      </c>
      <c r="Q426" s="43">
        <v>0</v>
      </c>
      <c r="R426" s="43">
        <v>0</v>
      </c>
      <c r="S426" s="43">
        <v>0</v>
      </c>
      <c r="T426" s="43">
        <v>0</v>
      </c>
      <c r="U426" s="43">
        <v>0</v>
      </c>
      <c r="V426" s="43">
        <v>0</v>
      </c>
      <c r="W426" s="48">
        <f t="shared" si="150"/>
        <v>0</v>
      </c>
    </row>
    <row r="427" spans="1:23" s="3" customFormat="1" ht="9" customHeight="1" x14ac:dyDescent="0.2">
      <c r="A427" s="80" t="s">
        <v>26</v>
      </c>
      <c r="B427" s="81"/>
      <c r="C427" s="111" t="s">
        <v>639</v>
      </c>
      <c r="D427" s="112"/>
      <c r="E427" s="112"/>
      <c r="F427" s="112"/>
      <c r="G427" s="113"/>
      <c r="H427" s="1" t="s">
        <v>5</v>
      </c>
      <c r="I427" s="36">
        <v>46.48</v>
      </c>
      <c r="J427" s="36">
        <v>100</v>
      </c>
      <c r="K427" s="36">
        <f>SUM(K428:K432,K437:K438)</f>
        <v>159.97000000000003</v>
      </c>
      <c r="L427" s="43">
        <v>170.63821408999999</v>
      </c>
      <c r="M427" s="43">
        <f>SUM(M428:M432,M437:M438)</f>
        <v>170.64252412600001</v>
      </c>
      <c r="N427" s="43">
        <v>0</v>
      </c>
      <c r="O427" s="43">
        <v>0</v>
      </c>
      <c r="P427" s="43">
        <v>0</v>
      </c>
      <c r="Q427" s="43">
        <v>0</v>
      </c>
      <c r="R427" s="43">
        <v>0</v>
      </c>
      <c r="S427" s="43">
        <v>0</v>
      </c>
      <c r="T427" s="43">
        <v>0</v>
      </c>
      <c r="U427" s="43">
        <v>0</v>
      </c>
      <c r="V427" s="43">
        <v>0</v>
      </c>
      <c r="W427" s="48">
        <f t="shared" si="150"/>
        <v>170.64252412600001</v>
      </c>
    </row>
    <row r="428" spans="1:23" s="3" customFormat="1" x14ac:dyDescent="0.2">
      <c r="A428" s="80" t="s">
        <v>28</v>
      </c>
      <c r="B428" s="81"/>
      <c r="C428" s="85" t="s">
        <v>642</v>
      </c>
      <c r="D428" s="86"/>
      <c r="E428" s="86"/>
      <c r="F428" s="86"/>
      <c r="G428" s="87"/>
      <c r="H428" s="1" t="s">
        <v>5</v>
      </c>
      <c r="I428" s="36">
        <v>46.48</v>
      </c>
      <c r="J428" s="36">
        <v>100</v>
      </c>
      <c r="K428" s="36">
        <v>53.52</v>
      </c>
      <c r="L428" s="43">
        <v>0</v>
      </c>
      <c r="M428" s="43">
        <v>0</v>
      </c>
      <c r="N428" s="43">
        <v>0</v>
      </c>
      <c r="O428" s="43">
        <v>0</v>
      </c>
      <c r="P428" s="43">
        <v>0</v>
      </c>
      <c r="Q428" s="43">
        <v>0</v>
      </c>
      <c r="R428" s="43">
        <v>0</v>
      </c>
      <c r="S428" s="43">
        <v>0</v>
      </c>
      <c r="T428" s="43">
        <v>0</v>
      </c>
      <c r="U428" s="43">
        <v>0</v>
      </c>
      <c r="V428" s="43">
        <v>0</v>
      </c>
      <c r="W428" s="48">
        <f t="shared" si="150"/>
        <v>0</v>
      </c>
    </row>
    <row r="429" spans="1:23" s="3" customFormat="1" x14ac:dyDescent="0.2">
      <c r="A429" s="80" t="s">
        <v>31</v>
      </c>
      <c r="B429" s="81"/>
      <c r="C429" s="85" t="s">
        <v>643</v>
      </c>
      <c r="D429" s="86"/>
      <c r="E429" s="86"/>
      <c r="F429" s="86"/>
      <c r="G429" s="87"/>
      <c r="H429" s="1" t="s">
        <v>5</v>
      </c>
      <c r="I429" s="36">
        <v>0</v>
      </c>
      <c r="J429" s="36">
        <v>0</v>
      </c>
      <c r="K429" s="36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8">
        <f t="shared" si="150"/>
        <v>0</v>
      </c>
    </row>
    <row r="430" spans="1:23" s="3" customFormat="1" ht="12" customHeight="1" x14ac:dyDescent="0.2">
      <c r="A430" s="80" t="s">
        <v>32</v>
      </c>
      <c r="B430" s="81"/>
      <c r="C430" s="85" t="s">
        <v>644</v>
      </c>
      <c r="D430" s="86"/>
      <c r="E430" s="86"/>
      <c r="F430" s="86"/>
      <c r="G430" s="87"/>
      <c r="H430" s="1" t="s">
        <v>5</v>
      </c>
      <c r="I430" s="36">
        <v>0</v>
      </c>
      <c r="J430" s="36">
        <v>0</v>
      </c>
      <c r="K430" s="36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8">
        <f t="shared" si="150"/>
        <v>0</v>
      </c>
    </row>
    <row r="431" spans="1:23" s="3" customFormat="1" ht="11.45" customHeight="1" x14ac:dyDescent="0.2">
      <c r="A431" s="80" t="s">
        <v>33</v>
      </c>
      <c r="B431" s="81"/>
      <c r="C431" s="85" t="s">
        <v>645</v>
      </c>
      <c r="D431" s="86"/>
      <c r="E431" s="86"/>
      <c r="F431" s="86"/>
      <c r="G431" s="87"/>
      <c r="H431" s="1" t="s">
        <v>5</v>
      </c>
      <c r="I431" s="36">
        <v>0</v>
      </c>
      <c r="J431" s="36">
        <v>0</v>
      </c>
      <c r="K431" s="36">
        <v>28.8</v>
      </c>
      <c r="L431" s="43">
        <v>170.63821408999999</v>
      </c>
      <c r="M431" s="43">
        <f>'[9]2'!$AR$97</f>
        <v>170.64252412600001</v>
      </c>
      <c r="N431" s="43">
        <v>0</v>
      </c>
      <c r="O431" s="43">
        <v>0</v>
      </c>
      <c r="P431" s="43">
        <v>0</v>
      </c>
      <c r="Q431" s="43">
        <v>0</v>
      </c>
      <c r="R431" s="43">
        <v>0</v>
      </c>
      <c r="S431" s="43">
        <v>0</v>
      </c>
      <c r="T431" s="43">
        <v>0</v>
      </c>
      <c r="U431" s="43">
        <v>0</v>
      </c>
      <c r="V431" s="43">
        <v>0</v>
      </c>
      <c r="W431" s="48">
        <f t="shared" si="150"/>
        <v>170.64252412600001</v>
      </c>
    </row>
    <row r="432" spans="1:23" s="3" customFormat="1" ht="11.45" customHeight="1" x14ac:dyDescent="0.2">
      <c r="A432" s="80" t="s">
        <v>34</v>
      </c>
      <c r="B432" s="81"/>
      <c r="C432" s="85" t="s">
        <v>646</v>
      </c>
      <c r="D432" s="86"/>
      <c r="E432" s="86"/>
      <c r="F432" s="86"/>
      <c r="G432" s="87"/>
      <c r="H432" s="1" t="s">
        <v>5</v>
      </c>
      <c r="I432" s="36">
        <v>0</v>
      </c>
      <c r="J432" s="36">
        <v>0</v>
      </c>
      <c r="K432" s="36">
        <v>0</v>
      </c>
      <c r="L432" s="43">
        <v>0</v>
      </c>
      <c r="M432" s="43">
        <v>0</v>
      </c>
      <c r="N432" s="43">
        <v>0</v>
      </c>
      <c r="O432" s="43">
        <v>0</v>
      </c>
      <c r="P432" s="43">
        <v>0</v>
      </c>
      <c r="Q432" s="43">
        <v>0</v>
      </c>
      <c r="R432" s="43">
        <v>0</v>
      </c>
      <c r="S432" s="43">
        <v>0</v>
      </c>
      <c r="T432" s="43">
        <v>0</v>
      </c>
      <c r="U432" s="43">
        <v>0</v>
      </c>
      <c r="V432" s="43">
        <v>0</v>
      </c>
      <c r="W432" s="48">
        <f t="shared" si="150"/>
        <v>0</v>
      </c>
    </row>
    <row r="433" spans="1:23" s="3" customFormat="1" ht="12.6" customHeight="1" x14ac:dyDescent="0.2">
      <c r="A433" s="80" t="s">
        <v>66</v>
      </c>
      <c r="B433" s="81"/>
      <c r="C433" s="77" t="s">
        <v>297</v>
      </c>
      <c r="D433" s="78"/>
      <c r="E433" s="78"/>
      <c r="F433" s="78"/>
      <c r="G433" s="79"/>
      <c r="H433" s="1" t="s">
        <v>5</v>
      </c>
      <c r="I433" s="36">
        <v>0</v>
      </c>
      <c r="J433" s="36">
        <v>0</v>
      </c>
      <c r="K433" s="36">
        <v>0</v>
      </c>
      <c r="L433" s="43">
        <v>0</v>
      </c>
      <c r="M433" s="43">
        <v>0</v>
      </c>
      <c r="N433" s="43">
        <v>0</v>
      </c>
      <c r="O433" s="43">
        <v>0</v>
      </c>
      <c r="P433" s="43">
        <v>0</v>
      </c>
      <c r="Q433" s="43">
        <v>0</v>
      </c>
      <c r="R433" s="43">
        <v>0</v>
      </c>
      <c r="S433" s="43">
        <v>0</v>
      </c>
      <c r="T433" s="43">
        <v>0</v>
      </c>
      <c r="U433" s="43">
        <v>0</v>
      </c>
      <c r="V433" s="43">
        <v>0</v>
      </c>
      <c r="W433" s="48">
        <f t="shared" si="150"/>
        <v>0</v>
      </c>
    </row>
    <row r="434" spans="1:23" s="3" customFormat="1" ht="16.5" customHeight="1" x14ac:dyDescent="0.2">
      <c r="A434" s="80" t="s">
        <v>640</v>
      </c>
      <c r="B434" s="81"/>
      <c r="C434" s="96" t="s">
        <v>647</v>
      </c>
      <c r="D434" s="97"/>
      <c r="E434" s="97"/>
      <c r="F434" s="97"/>
      <c r="G434" s="98"/>
      <c r="H434" s="1" t="s">
        <v>5</v>
      </c>
      <c r="I434" s="36">
        <v>0</v>
      </c>
      <c r="J434" s="36">
        <v>0</v>
      </c>
      <c r="K434" s="36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8">
        <f t="shared" ref="W434:W438" si="157">M434+O434+Q434+S434+U434</f>
        <v>0</v>
      </c>
    </row>
    <row r="435" spans="1:23" s="3" customFormat="1" ht="11.45" customHeight="1" x14ac:dyDescent="0.2">
      <c r="A435" s="80" t="s">
        <v>67</v>
      </c>
      <c r="B435" s="81"/>
      <c r="C435" s="77" t="s">
        <v>298</v>
      </c>
      <c r="D435" s="78"/>
      <c r="E435" s="78"/>
      <c r="F435" s="78"/>
      <c r="G435" s="79"/>
      <c r="H435" s="1" t="s">
        <v>5</v>
      </c>
      <c r="I435" s="36">
        <v>0</v>
      </c>
      <c r="J435" s="36">
        <v>0</v>
      </c>
      <c r="K435" s="36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8">
        <f t="shared" si="157"/>
        <v>0</v>
      </c>
    </row>
    <row r="436" spans="1:23" s="3" customFormat="1" ht="16.5" customHeight="1" x14ac:dyDescent="0.2">
      <c r="A436" s="80" t="s">
        <v>641</v>
      </c>
      <c r="B436" s="81"/>
      <c r="C436" s="96" t="s">
        <v>648</v>
      </c>
      <c r="D436" s="97"/>
      <c r="E436" s="97"/>
      <c r="F436" s="97"/>
      <c r="G436" s="98"/>
      <c r="H436" s="1" t="s">
        <v>5</v>
      </c>
      <c r="I436" s="36">
        <v>0</v>
      </c>
      <c r="J436" s="36">
        <v>0</v>
      </c>
      <c r="K436" s="36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8">
        <f t="shared" si="157"/>
        <v>0</v>
      </c>
    </row>
    <row r="437" spans="1:23" s="3" customFormat="1" ht="11.45" customHeight="1" x14ac:dyDescent="0.2">
      <c r="A437" s="80" t="s">
        <v>35</v>
      </c>
      <c r="B437" s="81"/>
      <c r="C437" s="85" t="s">
        <v>649</v>
      </c>
      <c r="D437" s="86"/>
      <c r="E437" s="86"/>
      <c r="F437" s="86"/>
      <c r="G437" s="87"/>
      <c r="H437" s="1" t="s">
        <v>5</v>
      </c>
      <c r="I437" s="36">
        <v>0</v>
      </c>
      <c r="J437" s="36">
        <v>0</v>
      </c>
      <c r="K437" s="36">
        <v>47.23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8">
        <f t="shared" si="157"/>
        <v>0</v>
      </c>
    </row>
    <row r="438" spans="1:23" s="3" customFormat="1" ht="12.6" customHeight="1" thickBot="1" x14ac:dyDescent="0.25">
      <c r="A438" s="91" t="s">
        <v>36</v>
      </c>
      <c r="B438" s="92"/>
      <c r="C438" s="105" t="s">
        <v>650</v>
      </c>
      <c r="D438" s="106"/>
      <c r="E438" s="106"/>
      <c r="F438" s="106"/>
      <c r="G438" s="107"/>
      <c r="H438" s="23" t="s">
        <v>5</v>
      </c>
      <c r="I438" s="36">
        <v>0</v>
      </c>
      <c r="J438" s="36">
        <v>0</v>
      </c>
      <c r="K438" s="36">
        <v>30.42</v>
      </c>
      <c r="L438" s="45"/>
      <c r="M438" s="45"/>
      <c r="N438" s="45">
        <v>0</v>
      </c>
      <c r="O438" s="45">
        <v>0</v>
      </c>
      <c r="P438" s="45">
        <v>0</v>
      </c>
      <c r="Q438" s="45">
        <v>0</v>
      </c>
      <c r="R438" s="45">
        <v>0</v>
      </c>
      <c r="S438" s="45">
        <v>0</v>
      </c>
      <c r="T438" s="45">
        <v>0</v>
      </c>
      <c r="U438" s="45">
        <v>0</v>
      </c>
      <c r="V438" s="45">
        <v>0</v>
      </c>
      <c r="W438" s="51">
        <f t="shared" si="157"/>
        <v>0</v>
      </c>
    </row>
    <row r="439" spans="1:23" s="3" customFormat="1" ht="15" customHeight="1" x14ac:dyDescent="0.2">
      <c r="A439" s="161" t="s">
        <v>114</v>
      </c>
      <c r="B439" s="162"/>
      <c r="C439" s="163" t="s">
        <v>110</v>
      </c>
      <c r="D439" s="164"/>
      <c r="E439" s="164"/>
      <c r="F439" s="164"/>
      <c r="G439" s="165"/>
      <c r="H439" s="24" t="s">
        <v>475</v>
      </c>
      <c r="I439" s="36">
        <v>0</v>
      </c>
      <c r="J439" s="36">
        <v>0</v>
      </c>
      <c r="K439" s="36">
        <v>0</v>
      </c>
      <c r="L439" s="182">
        <f>L440+L444</f>
        <v>0</v>
      </c>
      <c r="M439" s="182">
        <f t="shared" ref="M439:W439" si="158">M440+M444</f>
        <v>0</v>
      </c>
      <c r="N439" s="182">
        <f t="shared" si="158"/>
        <v>0</v>
      </c>
      <c r="O439" s="182">
        <f t="shared" si="158"/>
        <v>0</v>
      </c>
      <c r="P439" s="182">
        <f t="shared" si="158"/>
        <v>0</v>
      </c>
      <c r="Q439" s="182">
        <f t="shared" si="158"/>
        <v>0</v>
      </c>
      <c r="R439" s="182">
        <f t="shared" si="158"/>
        <v>0</v>
      </c>
      <c r="S439" s="182">
        <f t="shared" si="158"/>
        <v>0</v>
      </c>
      <c r="T439" s="182">
        <f t="shared" si="158"/>
        <v>0</v>
      </c>
      <c r="U439" s="182">
        <f t="shared" si="158"/>
        <v>0</v>
      </c>
      <c r="V439" s="182">
        <f t="shared" si="158"/>
        <v>0</v>
      </c>
      <c r="W439" s="182">
        <f t="shared" si="158"/>
        <v>0</v>
      </c>
    </row>
    <row r="440" spans="1:23" s="3" customFormat="1" ht="24.75" customHeight="1" x14ac:dyDescent="0.2">
      <c r="A440" s="80" t="s">
        <v>116</v>
      </c>
      <c r="B440" s="81"/>
      <c r="C440" s="85" t="s">
        <v>654</v>
      </c>
      <c r="D440" s="86"/>
      <c r="E440" s="86"/>
      <c r="F440" s="86"/>
      <c r="G440" s="87"/>
      <c r="H440" s="1" t="s">
        <v>5</v>
      </c>
      <c r="I440" s="36">
        <v>0</v>
      </c>
      <c r="J440" s="36">
        <v>2.0880000000000001</v>
      </c>
      <c r="K440" s="36">
        <v>0</v>
      </c>
      <c r="L440" s="43">
        <f>SUM(L441:L443)</f>
        <v>0</v>
      </c>
      <c r="M440" s="43">
        <f t="shared" ref="M440:U440" si="159">SUM(M441:M443)</f>
        <v>0</v>
      </c>
      <c r="N440" s="43">
        <f t="shared" si="159"/>
        <v>0</v>
      </c>
      <c r="O440" s="43">
        <f t="shared" si="159"/>
        <v>0</v>
      </c>
      <c r="P440" s="43">
        <f t="shared" si="159"/>
        <v>0</v>
      </c>
      <c r="Q440" s="43">
        <f t="shared" si="159"/>
        <v>0</v>
      </c>
      <c r="R440" s="43">
        <f t="shared" si="159"/>
        <v>0</v>
      </c>
      <c r="S440" s="43">
        <f t="shared" si="159"/>
        <v>0</v>
      </c>
      <c r="T440" s="43">
        <f t="shared" si="159"/>
        <v>0</v>
      </c>
      <c r="U440" s="43">
        <f t="shared" si="159"/>
        <v>0</v>
      </c>
      <c r="V440" s="46">
        <f t="shared" ref="V440:W447" si="160">L440+N440+P440+R440+T440</f>
        <v>0</v>
      </c>
      <c r="W440" s="48">
        <f t="shared" si="160"/>
        <v>0</v>
      </c>
    </row>
    <row r="441" spans="1:23" s="3" customFormat="1" ht="13.9" customHeight="1" x14ac:dyDescent="0.2">
      <c r="A441" s="80" t="s">
        <v>117</v>
      </c>
      <c r="B441" s="81"/>
      <c r="C441" s="77" t="s">
        <v>655</v>
      </c>
      <c r="D441" s="78"/>
      <c r="E441" s="78"/>
      <c r="F441" s="78"/>
      <c r="G441" s="79"/>
      <c r="H441" s="1" t="s">
        <v>5</v>
      </c>
      <c r="I441" s="36">
        <v>0</v>
      </c>
      <c r="J441" s="36">
        <v>0</v>
      </c>
      <c r="K441" s="36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6">
        <f t="shared" si="160"/>
        <v>0</v>
      </c>
      <c r="W441" s="48">
        <f t="shared" si="160"/>
        <v>0</v>
      </c>
    </row>
    <row r="442" spans="1:23" s="3" customFormat="1" ht="16.5" customHeight="1" x14ac:dyDescent="0.2">
      <c r="A442" s="80" t="s">
        <v>118</v>
      </c>
      <c r="B442" s="81"/>
      <c r="C442" s="77" t="s">
        <v>673</v>
      </c>
      <c r="D442" s="78"/>
      <c r="E442" s="78"/>
      <c r="F442" s="78"/>
      <c r="G442" s="79"/>
      <c r="H442" s="1" t="s">
        <v>5</v>
      </c>
      <c r="I442" s="36">
        <v>0</v>
      </c>
      <c r="J442" s="36">
        <v>0</v>
      </c>
      <c r="K442" s="36">
        <v>0</v>
      </c>
      <c r="L442" s="4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3">
        <v>0</v>
      </c>
      <c r="S442" s="43">
        <v>0</v>
      </c>
      <c r="T442" s="43">
        <v>0</v>
      </c>
      <c r="U442" s="43">
        <v>0</v>
      </c>
      <c r="V442" s="46">
        <f t="shared" si="160"/>
        <v>0</v>
      </c>
      <c r="W442" s="48">
        <f t="shared" si="160"/>
        <v>0</v>
      </c>
    </row>
    <row r="443" spans="1:23" s="3" customFormat="1" ht="13.15" customHeight="1" x14ac:dyDescent="0.2">
      <c r="A443" s="80" t="s">
        <v>119</v>
      </c>
      <c r="B443" s="81"/>
      <c r="C443" s="77" t="s">
        <v>656</v>
      </c>
      <c r="D443" s="78"/>
      <c r="E443" s="78"/>
      <c r="F443" s="78"/>
      <c r="G443" s="79"/>
      <c r="H443" s="1" t="s">
        <v>5</v>
      </c>
      <c r="I443" s="36">
        <v>0</v>
      </c>
      <c r="J443" s="36">
        <v>0</v>
      </c>
      <c r="K443" s="36">
        <v>0</v>
      </c>
      <c r="L443" s="43">
        <v>0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3">
        <v>0</v>
      </c>
      <c r="S443" s="43">
        <v>0</v>
      </c>
      <c r="T443" s="43">
        <v>0</v>
      </c>
      <c r="U443" s="43">
        <v>0</v>
      </c>
      <c r="V443" s="46">
        <f t="shared" si="160"/>
        <v>0</v>
      </c>
      <c r="W443" s="48">
        <f t="shared" si="160"/>
        <v>0</v>
      </c>
    </row>
    <row r="444" spans="1:23" s="3" customFormat="1" ht="17.25" customHeight="1" x14ac:dyDescent="0.2">
      <c r="A444" s="80" t="s">
        <v>120</v>
      </c>
      <c r="B444" s="81"/>
      <c r="C444" s="85" t="s">
        <v>657</v>
      </c>
      <c r="D444" s="86"/>
      <c r="E444" s="86"/>
      <c r="F444" s="86"/>
      <c r="G444" s="87"/>
      <c r="H444" s="1" t="s">
        <v>475</v>
      </c>
      <c r="I444" s="36">
        <v>0</v>
      </c>
      <c r="J444" s="36">
        <v>0</v>
      </c>
      <c r="K444" s="36">
        <v>0</v>
      </c>
      <c r="L444" s="43">
        <f>SUM(L445:L447)</f>
        <v>0</v>
      </c>
      <c r="M444" s="43">
        <f t="shared" ref="M444:U444" si="161">SUM(M445:M447)</f>
        <v>0</v>
      </c>
      <c r="N444" s="43">
        <f t="shared" si="161"/>
        <v>0</v>
      </c>
      <c r="O444" s="43">
        <f t="shared" si="161"/>
        <v>0</v>
      </c>
      <c r="P444" s="43">
        <f t="shared" si="161"/>
        <v>0</v>
      </c>
      <c r="Q444" s="43">
        <f t="shared" si="161"/>
        <v>0</v>
      </c>
      <c r="R444" s="43">
        <f t="shared" si="161"/>
        <v>0</v>
      </c>
      <c r="S444" s="43">
        <f t="shared" si="161"/>
        <v>0</v>
      </c>
      <c r="T444" s="43">
        <f t="shared" si="161"/>
        <v>0</v>
      </c>
      <c r="U444" s="43">
        <f t="shared" si="161"/>
        <v>0</v>
      </c>
      <c r="V444" s="46">
        <f t="shared" si="160"/>
        <v>0</v>
      </c>
      <c r="W444" s="48">
        <f t="shared" si="160"/>
        <v>0</v>
      </c>
    </row>
    <row r="445" spans="1:23" s="3" customFormat="1" ht="13.15" customHeight="1" x14ac:dyDescent="0.2">
      <c r="A445" s="80" t="s">
        <v>651</v>
      </c>
      <c r="B445" s="81"/>
      <c r="C445" s="77" t="s">
        <v>658</v>
      </c>
      <c r="D445" s="78"/>
      <c r="E445" s="78"/>
      <c r="F445" s="78"/>
      <c r="G445" s="79"/>
      <c r="H445" s="1" t="s">
        <v>5</v>
      </c>
      <c r="I445" s="36">
        <v>0</v>
      </c>
      <c r="J445" s="36">
        <v>0</v>
      </c>
      <c r="K445" s="36">
        <v>0</v>
      </c>
      <c r="L445" s="43">
        <v>0</v>
      </c>
      <c r="M445" s="43">
        <v>0</v>
      </c>
      <c r="N445" s="43">
        <v>0</v>
      </c>
      <c r="O445" s="43">
        <v>0</v>
      </c>
      <c r="P445" s="43">
        <v>0</v>
      </c>
      <c r="Q445" s="43">
        <v>0</v>
      </c>
      <c r="R445" s="43">
        <v>0</v>
      </c>
      <c r="S445" s="43">
        <v>0</v>
      </c>
      <c r="T445" s="43">
        <v>0</v>
      </c>
      <c r="U445" s="43">
        <v>0</v>
      </c>
      <c r="V445" s="46">
        <f t="shared" si="160"/>
        <v>0</v>
      </c>
      <c r="W445" s="48">
        <f t="shared" si="160"/>
        <v>0</v>
      </c>
    </row>
    <row r="446" spans="1:23" s="3" customFormat="1" ht="13.15" customHeight="1" x14ac:dyDescent="0.2">
      <c r="A446" s="80" t="s">
        <v>652</v>
      </c>
      <c r="B446" s="81"/>
      <c r="C446" s="77" t="s">
        <v>659</v>
      </c>
      <c r="D446" s="78"/>
      <c r="E446" s="78"/>
      <c r="F446" s="78"/>
      <c r="G446" s="79"/>
      <c r="H446" s="1" t="s">
        <v>5</v>
      </c>
      <c r="I446" s="36">
        <v>0</v>
      </c>
      <c r="J446" s="36">
        <v>0</v>
      </c>
      <c r="K446" s="36">
        <v>0</v>
      </c>
      <c r="L446" s="43">
        <v>0</v>
      </c>
      <c r="M446" s="43">
        <v>0</v>
      </c>
      <c r="N446" s="43">
        <v>0</v>
      </c>
      <c r="O446" s="43">
        <v>0</v>
      </c>
      <c r="P446" s="43">
        <v>0</v>
      </c>
      <c r="Q446" s="43">
        <v>0</v>
      </c>
      <c r="R446" s="43">
        <v>0</v>
      </c>
      <c r="S446" s="43">
        <v>0</v>
      </c>
      <c r="T446" s="43">
        <v>0</v>
      </c>
      <c r="U446" s="43">
        <v>0</v>
      </c>
      <c r="V446" s="46">
        <f t="shared" si="160"/>
        <v>0</v>
      </c>
      <c r="W446" s="48">
        <f t="shared" si="160"/>
        <v>0</v>
      </c>
    </row>
    <row r="447" spans="1:23" s="3" customFormat="1" ht="14.45" customHeight="1" thickBot="1" x14ac:dyDescent="0.25">
      <c r="A447" s="91" t="s">
        <v>653</v>
      </c>
      <c r="B447" s="92"/>
      <c r="C447" s="102" t="s">
        <v>660</v>
      </c>
      <c r="D447" s="103"/>
      <c r="E447" s="103"/>
      <c r="F447" s="103"/>
      <c r="G447" s="104"/>
      <c r="H447" s="32" t="s">
        <v>5</v>
      </c>
      <c r="I447" s="39">
        <v>0</v>
      </c>
      <c r="J447" s="39">
        <v>0</v>
      </c>
      <c r="K447" s="39">
        <v>0</v>
      </c>
      <c r="L447" s="45">
        <v>0</v>
      </c>
      <c r="M447" s="45">
        <v>0</v>
      </c>
      <c r="N447" s="45">
        <v>0</v>
      </c>
      <c r="O447" s="45">
        <v>0</v>
      </c>
      <c r="P447" s="45">
        <v>0</v>
      </c>
      <c r="Q447" s="45">
        <v>0</v>
      </c>
      <c r="R447" s="45">
        <v>0</v>
      </c>
      <c r="S447" s="45">
        <v>0</v>
      </c>
      <c r="T447" s="45">
        <v>0</v>
      </c>
      <c r="U447" s="45">
        <v>0</v>
      </c>
      <c r="V447" s="70">
        <f t="shared" si="160"/>
        <v>0</v>
      </c>
      <c r="W447" s="51">
        <f t="shared" si="160"/>
        <v>0</v>
      </c>
    </row>
    <row r="448" spans="1:23" s="33" customFormat="1" ht="12" customHeight="1" x14ac:dyDescent="0.15">
      <c r="A448" s="49"/>
      <c r="B448" s="49"/>
      <c r="C448" s="49"/>
    </row>
    <row r="449" spans="1:1" s="34" customFormat="1" ht="9.75" x14ac:dyDescent="0.2">
      <c r="A449" s="34" t="s">
        <v>674</v>
      </c>
    </row>
    <row r="450" spans="1:1" s="34" customFormat="1" ht="9" customHeight="1" x14ac:dyDescent="0.15">
      <c r="A450" s="34" t="s">
        <v>682</v>
      </c>
    </row>
    <row r="451" spans="1:1" s="34" customFormat="1" ht="9" customHeight="1" x14ac:dyDescent="0.15">
      <c r="A451" s="34" t="s">
        <v>683</v>
      </c>
    </row>
    <row r="452" spans="1:1" s="34" customFormat="1" ht="9" customHeight="1" x14ac:dyDescent="0.15">
      <c r="A452" s="34" t="s">
        <v>684</v>
      </c>
    </row>
    <row r="453" spans="1:1" s="34" customFormat="1" ht="9" customHeight="1" x14ac:dyDescent="0.15">
      <c r="A453" s="34" t="s">
        <v>685</v>
      </c>
    </row>
    <row r="454" spans="1:1" s="34" customFormat="1" ht="9" customHeight="1" x14ac:dyDescent="0.15">
      <c r="A454" s="34" t="s">
        <v>686</v>
      </c>
    </row>
    <row r="455" spans="1:1" s="34" customFormat="1" x14ac:dyDescent="0.15">
      <c r="A455" s="34" t="s">
        <v>687</v>
      </c>
    </row>
    <row r="456" spans="1:1" s="34" customFormat="1" x14ac:dyDescent="0.15">
      <c r="A456" s="34" t="s">
        <v>688</v>
      </c>
    </row>
    <row r="457" spans="1:1" s="34" customFormat="1" x14ac:dyDescent="0.15">
      <c r="A457" s="34" t="s">
        <v>689</v>
      </c>
    </row>
  </sheetData>
  <mergeCells count="879">
    <mergeCell ref="A440:B440"/>
    <mergeCell ref="C440:G440"/>
    <mergeCell ref="A441:B441"/>
    <mergeCell ref="C441:G441"/>
    <mergeCell ref="A17:W17"/>
    <mergeCell ref="H14:H15"/>
    <mergeCell ref="L14:M14"/>
    <mergeCell ref="C14:G15"/>
    <mergeCell ref="A14:B15"/>
    <mergeCell ref="R14:S14"/>
    <mergeCell ref="T14:U14"/>
    <mergeCell ref="V14:W14"/>
    <mergeCell ref="C16:G16"/>
    <mergeCell ref="J365:K365"/>
    <mergeCell ref="J14:K14"/>
    <mergeCell ref="A438:B438"/>
    <mergeCell ref="C438:G438"/>
    <mergeCell ref="A439:B439"/>
    <mergeCell ref="C439:G439"/>
    <mergeCell ref="C436:G436"/>
    <mergeCell ref="A437:B437"/>
    <mergeCell ref="C437:G437"/>
    <mergeCell ref="C398:G398"/>
    <mergeCell ref="A436:B436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2:B442"/>
    <mergeCell ref="C442:G442"/>
    <mergeCell ref="A443:B443"/>
    <mergeCell ref="C443:G443"/>
    <mergeCell ref="A435:B435"/>
    <mergeCell ref="C435:G435"/>
    <mergeCell ref="A362:B362"/>
    <mergeCell ref="A364:W364"/>
    <mergeCell ref="A365:B366"/>
    <mergeCell ref="C365:G366"/>
    <mergeCell ref="H365:H366"/>
    <mergeCell ref="A363:B363"/>
    <mergeCell ref="V365:W365"/>
    <mergeCell ref="N365:O365"/>
    <mergeCell ref="P365:Q365"/>
    <mergeCell ref="A430:B430"/>
    <mergeCell ref="C430:G430"/>
    <mergeCell ref="A431:B431"/>
    <mergeCell ref="C431:G431"/>
    <mergeCell ref="A432:B432"/>
    <mergeCell ref="C432:G432"/>
    <mergeCell ref="A433:B433"/>
    <mergeCell ref="C433:G433"/>
    <mergeCell ref="A434:B434"/>
    <mergeCell ref="C434:G434"/>
    <mergeCell ref="A425:B425"/>
    <mergeCell ref="C425:G425"/>
    <mergeCell ref="A426:B426"/>
    <mergeCell ref="C426:G426"/>
    <mergeCell ref="A427:B427"/>
    <mergeCell ref="C427:G427"/>
    <mergeCell ref="A428:B428"/>
    <mergeCell ref="C428:G428"/>
    <mergeCell ref="A429:B429"/>
    <mergeCell ref="C429:G42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24:B424"/>
    <mergeCell ref="C424:G424"/>
    <mergeCell ref="A415:B415"/>
    <mergeCell ref="C415:G415"/>
    <mergeCell ref="A416:B416"/>
    <mergeCell ref="C416:G416"/>
    <mergeCell ref="A417:B417"/>
    <mergeCell ref="C417:G417"/>
    <mergeCell ref="A418:B418"/>
    <mergeCell ref="C418:G418"/>
    <mergeCell ref="A419:B419"/>
    <mergeCell ref="C419:G41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234:B234"/>
    <mergeCell ref="A235:B235"/>
    <mergeCell ref="A237:B237"/>
    <mergeCell ref="A239:B239"/>
    <mergeCell ref="A236:B236"/>
    <mergeCell ref="A238:B238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C375:G375"/>
    <mergeCell ref="A241:B241"/>
    <mergeCell ref="A242:B242"/>
    <mergeCell ref="A244:B244"/>
    <mergeCell ref="A252:B252"/>
    <mergeCell ref="A250:B250"/>
    <mergeCell ref="A251:B251"/>
    <mergeCell ref="A243:B243"/>
    <mergeCell ref="A245:B245"/>
    <mergeCell ref="A359:B359"/>
    <mergeCell ref="T365:U365"/>
    <mergeCell ref="L365:M365"/>
    <mergeCell ref="R365:S365"/>
    <mergeCell ref="A373:B373"/>
    <mergeCell ref="A374:B374"/>
    <mergeCell ref="A367:B367"/>
    <mergeCell ref="A370:B370"/>
    <mergeCell ref="A371:B371"/>
    <mergeCell ref="C373:G373"/>
    <mergeCell ref="C374:G374"/>
    <mergeCell ref="C352:G352"/>
    <mergeCell ref="C353:G353"/>
    <mergeCell ref="C354:G354"/>
    <mergeCell ref="C355:G355"/>
    <mergeCell ref="C356:G356"/>
    <mergeCell ref="C357:G357"/>
    <mergeCell ref="C358:G358"/>
    <mergeCell ref="C359:G359"/>
    <mergeCell ref="C360:G360"/>
    <mergeCell ref="C343:G343"/>
    <mergeCell ref="C344:G344"/>
    <mergeCell ref="C345:G345"/>
    <mergeCell ref="C346:G346"/>
    <mergeCell ref="C347:G347"/>
    <mergeCell ref="C348:G348"/>
    <mergeCell ref="C349:G349"/>
    <mergeCell ref="C350:G350"/>
    <mergeCell ref="C351:G351"/>
    <mergeCell ref="C334:G334"/>
    <mergeCell ref="C335:G335"/>
    <mergeCell ref="C336:G336"/>
    <mergeCell ref="C337:G337"/>
    <mergeCell ref="C338:G338"/>
    <mergeCell ref="C340:G340"/>
    <mergeCell ref="C341:G341"/>
    <mergeCell ref="C342:G342"/>
    <mergeCell ref="C339:G339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33:G333"/>
    <mergeCell ref="C318:G318"/>
    <mergeCell ref="C319:G319"/>
    <mergeCell ref="C320:G320"/>
    <mergeCell ref="A320:B320"/>
    <mergeCell ref="A319:B319"/>
    <mergeCell ref="C321:G321"/>
    <mergeCell ref="C322:G322"/>
    <mergeCell ref="C323:G323"/>
    <mergeCell ref="C324:G324"/>
    <mergeCell ref="A321:B321"/>
    <mergeCell ref="A322:B322"/>
    <mergeCell ref="A323:B323"/>
    <mergeCell ref="A324:B324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A353:B353"/>
    <mergeCell ref="A354:B354"/>
    <mergeCell ref="A355:B355"/>
    <mergeCell ref="A356:B356"/>
    <mergeCell ref="A357:B357"/>
    <mergeCell ref="A358:B358"/>
    <mergeCell ref="A360:B360"/>
    <mergeCell ref="A361:B361"/>
    <mergeCell ref="A380:B380"/>
    <mergeCell ref="A369:G369"/>
    <mergeCell ref="C372:G372"/>
    <mergeCell ref="C361:G361"/>
    <mergeCell ref="C362:G362"/>
    <mergeCell ref="A378:B378"/>
    <mergeCell ref="A379:B379"/>
    <mergeCell ref="C378:G378"/>
    <mergeCell ref="C379:G379"/>
    <mergeCell ref="C367:G367"/>
    <mergeCell ref="C370:G370"/>
    <mergeCell ref="C371:G371"/>
    <mergeCell ref="A375:B375"/>
    <mergeCell ref="A376:B376"/>
    <mergeCell ref="A372:B372"/>
    <mergeCell ref="C363:G36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35:B335"/>
    <mergeCell ref="A336:B336"/>
    <mergeCell ref="A337:B337"/>
    <mergeCell ref="A338:B338"/>
    <mergeCell ref="A340:B340"/>
    <mergeCell ref="A341:B341"/>
    <mergeCell ref="A342:B342"/>
    <mergeCell ref="A339:B339"/>
    <mergeCell ref="A343:B343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25:B325"/>
    <mergeCell ref="A310:B310"/>
    <mergeCell ref="A311:B311"/>
    <mergeCell ref="A312:B312"/>
    <mergeCell ref="A313:B313"/>
    <mergeCell ref="A318:B318"/>
    <mergeCell ref="A317:B317"/>
    <mergeCell ref="A315:B315"/>
    <mergeCell ref="A316:B316"/>
    <mergeCell ref="A303:B303"/>
    <mergeCell ref="A314:W314"/>
    <mergeCell ref="C315:G315"/>
    <mergeCell ref="C316:G316"/>
    <mergeCell ref="C317:G317"/>
    <mergeCell ref="A304:B304"/>
    <mergeCell ref="A305:B305"/>
    <mergeCell ref="A306:B306"/>
    <mergeCell ref="A307:B307"/>
    <mergeCell ref="A308:B308"/>
    <mergeCell ref="A309:B309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C218:G218"/>
    <mergeCell ref="C219:G219"/>
    <mergeCell ref="C220:G220"/>
    <mergeCell ref="C221:G221"/>
    <mergeCell ref="C222:G222"/>
    <mergeCell ref="C223:G223"/>
    <mergeCell ref="C224:G224"/>
    <mergeCell ref="C241:G241"/>
    <mergeCell ref="C225:G225"/>
    <mergeCell ref="C226:G226"/>
    <mergeCell ref="C227:G227"/>
    <mergeCell ref="C228:G228"/>
    <mergeCell ref="C229:G229"/>
    <mergeCell ref="C230:G230"/>
    <mergeCell ref="C231:G231"/>
    <mergeCell ref="C240:G240"/>
    <mergeCell ref="C236:G236"/>
    <mergeCell ref="C237:G237"/>
    <mergeCell ref="C238:G238"/>
    <mergeCell ref="C239:G239"/>
    <mergeCell ref="C232:G232"/>
    <mergeCell ref="C233:G233"/>
    <mergeCell ref="C234:G234"/>
    <mergeCell ref="C235:G235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64:G164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54:G154"/>
    <mergeCell ref="C155:G155"/>
    <mergeCell ref="C156:G156"/>
    <mergeCell ref="C157:G157"/>
    <mergeCell ref="C158:G158"/>
    <mergeCell ref="C159:G159"/>
    <mergeCell ref="C160:G160"/>
    <mergeCell ref="C161:G161"/>
    <mergeCell ref="C163:G163"/>
    <mergeCell ref="A162:W162"/>
    <mergeCell ref="A159:B159"/>
    <mergeCell ref="A160:B160"/>
    <mergeCell ref="A161:B161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44:G144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35:G135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07:G107"/>
    <mergeCell ref="C112:G112"/>
    <mergeCell ref="C113:G113"/>
    <mergeCell ref="C114:G114"/>
    <mergeCell ref="C111:G111"/>
    <mergeCell ref="C110:G110"/>
    <mergeCell ref="C115:G115"/>
    <mergeCell ref="C116:G116"/>
    <mergeCell ref="C117:G11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G106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71:G71"/>
    <mergeCell ref="C72:G72"/>
    <mergeCell ref="C73:G73"/>
    <mergeCell ref="C74:G74"/>
    <mergeCell ref="C75:G75"/>
    <mergeCell ref="C76:G76"/>
    <mergeCell ref="C77:G77"/>
    <mergeCell ref="C78:G78"/>
    <mergeCell ref="C79:G79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A264:B264"/>
    <mergeCell ref="A265:B265"/>
    <mergeCell ref="A266:B266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C43:G43"/>
    <mergeCell ref="A228:B228"/>
    <mergeCell ref="A229:B229"/>
    <mergeCell ref="A230:B230"/>
    <mergeCell ref="A231:B231"/>
    <mergeCell ref="A232:B232"/>
    <mergeCell ref="A233:B233"/>
    <mergeCell ref="A382:B382"/>
    <mergeCell ref="C382:G382"/>
    <mergeCell ref="A240:B240"/>
    <mergeCell ref="A253:B253"/>
    <mergeCell ref="A246:B246"/>
    <mergeCell ref="A247:B247"/>
    <mergeCell ref="A248:B248"/>
    <mergeCell ref="A249:B249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66:B166"/>
    <mergeCell ref="A167:B167"/>
    <mergeCell ref="A163:B163"/>
    <mergeCell ref="A168:B168"/>
    <mergeCell ref="A169:B169"/>
    <mergeCell ref="A170:B170"/>
    <mergeCell ref="A171:B171"/>
    <mergeCell ref="A172:B172"/>
    <mergeCell ref="A173:B173"/>
    <mergeCell ref="A152:B152"/>
    <mergeCell ref="A153:B153"/>
    <mergeCell ref="A154:B154"/>
    <mergeCell ref="A155:B155"/>
    <mergeCell ref="A156:B156"/>
    <mergeCell ref="A157:B157"/>
    <mergeCell ref="A158:B158"/>
    <mergeCell ref="A164:B164"/>
    <mergeCell ref="A165:B165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11:W11"/>
    <mergeCell ref="A5:N5"/>
    <mergeCell ref="A7:N7"/>
    <mergeCell ref="A8:N8"/>
    <mergeCell ref="A9:N9"/>
    <mergeCell ref="A10:N10"/>
    <mergeCell ref="A12:N12"/>
    <mergeCell ref="C108:G108"/>
    <mergeCell ref="C109:G109"/>
    <mergeCell ref="A19:B19"/>
    <mergeCell ref="A20:B20"/>
    <mergeCell ref="A21:B21"/>
    <mergeCell ref="A22:B22"/>
    <mergeCell ref="A16:B16"/>
    <mergeCell ref="A13:W13"/>
    <mergeCell ref="A23:B23"/>
    <mergeCell ref="A24:B24"/>
    <mergeCell ref="C19:G19"/>
    <mergeCell ref="C20:G20"/>
    <mergeCell ref="C21:G21"/>
    <mergeCell ref="C22:G22"/>
    <mergeCell ref="N14:O14"/>
    <mergeCell ref="P14:Q14"/>
    <mergeCell ref="A25:B25"/>
  </mergeCells>
  <pageMargins left="0.39370078740157483" right="0.31496062992125984" top="0.39370078740157483" bottom="0.31496062992125984" header="0.19685039370078741" footer="0.19685039370078741"/>
  <pageSetup paperSize="9" scale="85" fitToHeight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2020-03-31T06:25:50Z</cp:lastPrinted>
  <dcterms:created xsi:type="dcterms:W3CDTF">2012-05-12T07:32:36Z</dcterms:created>
  <dcterms:modified xsi:type="dcterms:W3CDTF">2021-07-07T06:44:42Z</dcterms:modified>
</cp:coreProperties>
</file>