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L  21-17 факт 2021 тп\L 21-17_паспорт_карта\"/>
    </mc:Choice>
  </mc:AlternateContent>
  <xr:revisionPtr revIDLastSave="0" documentId="13_ncr:1_{461B9E02-B627-41E5-B524-85DBB4FBF636}" xr6:coauthVersionLast="47" xr6:coauthVersionMax="47" xr10:uidLastSave="{00000000-0000-0000-0000-000000000000}"/>
  <bookViews>
    <workbookView xWindow="510" yWindow="600" windowWidth="28290" windowHeight="15600" tabRatio="859"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ПС'!$A$2:$T$57</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30" i="29" l="1"/>
  <c r="N52" i="29" s="1"/>
  <c r="J22" i="12" l="1"/>
  <c r="F43" i="29"/>
  <c r="E45" i="29" l="1"/>
  <c r="F31" i="29"/>
  <c r="F32" i="29"/>
  <c r="F34" i="29"/>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67" i="30" s="1"/>
  <c r="C81" i="30"/>
  <c r="A12" i="26"/>
  <c r="D67" i="30" l="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F60" i="30" l="1"/>
  <c r="F66" i="30" s="1"/>
  <c r="F68" i="30" s="1"/>
  <c r="F75" i="30" s="1"/>
  <c r="H60" i="30"/>
  <c r="H66" i="30" s="1"/>
  <c r="K60" i="30"/>
  <c r="K66" i="30" s="1"/>
  <c r="E60" i="30"/>
  <c r="E66" i="30" s="1"/>
  <c r="E68" i="30" s="1"/>
  <c r="E75" i="30" s="1"/>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G86" i="30" l="1"/>
  <c r="G83" i="30"/>
  <c r="G79" i="30"/>
  <c r="S90" i="30"/>
  <c r="S87" i="30"/>
  <c r="Z86" i="30"/>
  <c r="Z83" i="30"/>
  <c r="Z79" i="30"/>
  <c r="AA89" i="30"/>
  <c r="AA84" i="30"/>
  <c r="AH89" i="30"/>
  <c r="AH84" i="30"/>
  <c r="T90" i="30"/>
  <c r="T87" i="30"/>
  <c r="AK86" i="30"/>
  <c r="AK83" i="30"/>
  <c r="AK79" i="30"/>
  <c r="I89" i="30"/>
  <c r="I84" i="30"/>
  <c r="O86" i="30"/>
  <c r="O83" i="30"/>
  <c r="O79" i="30"/>
  <c r="Y89" i="30"/>
  <c r="Y84" i="30"/>
  <c r="AM90" i="30"/>
  <c r="AM87" i="30"/>
  <c r="X90" i="30"/>
  <c r="X87" i="30"/>
  <c r="O90" i="30"/>
  <c r="O87" i="30"/>
  <c r="AB90" i="30"/>
  <c r="AB87" i="30"/>
  <c r="N86" i="30"/>
  <c r="N83" i="30"/>
  <c r="N79" i="30"/>
  <c r="B105" i="30"/>
  <c r="L88" i="30"/>
  <c r="O89" i="30"/>
  <c r="O84" i="30"/>
  <c r="Y90" i="30"/>
  <c r="Y87" i="30"/>
  <c r="AF86" i="30"/>
  <c r="AF83" i="30"/>
  <c r="AF79" i="30"/>
  <c r="C90" i="30"/>
  <c r="C87" i="30"/>
  <c r="AL90" i="30"/>
  <c r="AL87" i="30"/>
  <c r="X86" i="30"/>
  <c r="X83" i="30"/>
  <c r="X79" i="30"/>
  <c r="Q89" i="30"/>
  <c r="Q84" i="30"/>
  <c r="V86" i="30"/>
  <c r="V83" i="30"/>
  <c r="V79" i="30"/>
  <c r="AJ86" i="30"/>
  <c r="AJ83" i="30"/>
  <c r="AJ79" i="30"/>
  <c r="Z89" i="30"/>
  <c r="Z84" i="30"/>
  <c r="B102" i="30"/>
  <c r="A101" i="30"/>
  <c r="Q86" i="30"/>
  <c r="Q83" i="30"/>
  <c r="Q79" i="30"/>
  <c r="AK90" i="30"/>
  <c r="AK87" i="30"/>
  <c r="R86" i="30"/>
  <c r="R83" i="30"/>
  <c r="R79" i="30"/>
  <c r="AG86" i="30"/>
  <c r="AG83" i="30"/>
  <c r="AG79" i="30"/>
  <c r="W90" i="30"/>
  <c r="W87" i="30"/>
  <c r="AF90" i="30"/>
  <c r="AF87" i="30"/>
  <c r="E86" i="30"/>
  <c r="E83" i="30"/>
  <c r="E79" i="30"/>
  <c r="D89" i="30"/>
  <c r="D84" i="30"/>
  <c r="AC90" i="30"/>
  <c r="AC87" i="30"/>
  <c r="K79" i="30"/>
  <c r="K83" i="30"/>
  <c r="K86" i="30"/>
  <c r="R89" i="30"/>
  <c r="R84" i="30"/>
  <c r="AL79" i="30"/>
  <c r="AL83" i="30"/>
  <c r="AL86" i="30"/>
  <c r="B87" i="30"/>
  <c r="B90" i="30"/>
  <c r="G29" i="30"/>
  <c r="D105" i="30"/>
  <c r="S89" i="30"/>
  <c r="S84" i="30"/>
  <c r="T79" i="30"/>
  <c r="T83" i="30"/>
  <c r="T86" i="30"/>
  <c r="AD89" i="30"/>
  <c r="AD84" i="30"/>
  <c r="P79" i="30"/>
  <c r="P83" i="30"/>
  <c r="P86" i="30"/>
  <c r="AH86" i="30"/>
  <c r="AH83" i="30"/>
  <c r="AH79" i="30"/>
  <c r="AF89" i="30"/>
  <c r="AF84" i="30"/>
  <c r="X89" i="30"/>
  <c r="X84" i="30"/>
  <c r="AC79" i="30"/>
  <c r="AC83" i="30"/>
  <c r="AC86" i="30"/>
  <c r="F90" i="30"/>
  <c r="F87" i="30"/>
  <c r="M79" i="30"/>
  <c r="M83" i="30"/>
  <c r="M86" i="30"/>
  <c r="AG89" i="30"/>
  <c r="AG84" i="30"/>
  <c r="AK89" i="30"/>
  <c r="AK84" i="30"/>
  <c r="AB89" i="30"/>
  <c r="AB84" i="30"/>
  <c r="AH90" i="30"/>
  <c r="AH87" i="30"/>
  <c r="T89" i="30"/>
  <c r="T84" i="30"/>
  <c r="D90" i="30"/>
  <c r="D87" i="30"/>
  <c r="U89" i="30"/>
  <c r="U84" i="30"/>
  <c r="P89" i="30"/>
  <c r="P84" i="30"/>
  <c r="H89" i="30"/>
  <c r="H84" i="30"/>
  <c r="L86" i="30"/>
  <c r="L83" i="30"/>
  <c r="L79" i="30"/>
  <c r="AL89" i="30"/>
  <c r="AL84" i="30"/>
  <c r="J86" i="30"/>
  <c r="J83" i="30"/>
  <c r="J79" i="30"/>
  <c r="F86" i="30"/>
  <c r="F83" i="30"/>
  <c r="F79" i="30"/>
  <c r="AE89" i="30"/>
  <c r="AE84" i="30"/>
  <c r="I79" i="30"/>
  <c r="I83" i="30"/>
  <c r="I86" i="30"/>
  <c r="AE79" i="30"/>
  <c r="AE83" i="30"/>
  <c r="AE86" i="30"/>
  <c r="AO89" i="30"/>
  <c r="AO84" i="30"/>
  <c r="W86" i="30"/>
  <c r="W83" i="30"/>
  <c r="W79" i="30"/>
  <c r="L89" i="30"/>
  <c r="L84" i="30"/>
  <c r="AI89" i="30"/>
  <c r="AI84" i="30"/>
  <c r="AC89" i="30"/>
  <c r="AC84" i="30"/>
  <c r="AJ90" i="30"/>
  <c r="AJ87" i="30"/>
  <c r="AO86" i="30"/>
  <c r="AO83" i="30"/>
  <c r="AO79" i="30"/>
  <c r="AN89" i="30"/>
  <c r="AN84" i="30"/>
  <c r="N89" i="30"/>
  <c r="N84" i="30"/>
  <c r="V89" i="30"/>
  <c r="V84" i="30"/>
  <c r="R90" i="30"/>
  <c r="R87" i="30"/>
  <c r="C89" i="30"/>
  <c r="C84" i="30"/>
  <c r="J89" i="30"/>
  <c r="J84" i="30"/>
  <c r="AP86" i="30"/>
  <c r="AP83" i="30"/>
  <c r="AP79" i="30"/>
  <c r="AD90" i="30"/>
  <c r="AD87" i="30"/>
  <c r="AJ89" i="30"/>
  <c r="AJ84" i="30"/>
  <c r="AN90" i="30"/>
  <c r="AN87" i="30"/>
  <c r="AM89" i="30"/>
  <c r="AM84" i="30"/>
  <c r="F89" i="30"/>
  <c r="F84" i="30"/>
  <c r="U90" i="30"/>
  <c r="U87" i="30"/>
  <c r="AO90" i="30"/>
  <c r="AO87" i="30"/>
  <c r="E90" i="30"/>
  <c r="E87" i="30"/>
  <c r="AE90" i="30"/>
  <c r="AE87" i="30"/>
  <c r="A105" i="30"/>
  <c r="G30" i="30"/>
  <c r="J90" i="30"/>
  <c r="J87" i="30"/>
  <c r="M90" i="30"/>
  <c r="M87" i="30"/>
  <c r="AA79" i="30"/>
  <c r="AA83" i="30"/>
  <c r="AA86" i="30"/>
  <c r="AI90" i="30"/>
  <c r="AI87" i="30"/>
  <c r="G90" i="30"/>
  <c r="G87" i="30"/>
  <c r="AN79" i="30"/>
  <c r="AN83" i="30"/>
  <c r="AN86" i="30"/>
  <c r="E89" i="30"/>
  <c r="E84" i="30"/>
  <c r="V90" i="30"/>
  <c r="V87" i="30"/>
  <c r="Z90" i="30"/>
  <c r="Z87" i="30"/>
  <c r="H90" i="30"/>
  <c r="H87" i="30"/>
  <c r="B84" i="30"/>
  <c r="B89" i="30"/>
  <c r="G28" i="30"/>
  <c r="C105" i="30"/>
  <c r="I90" i="30"/>
  <c r="I87" i="30"/>
  <c r="Q90" i="30"/>
  <c r="Q87" i="30"/>
  <c r="D79" i="30"/>
  <c r="D83" i="30"/>
  <c r="D86" i="30"/>
  <c r="K90" i="30"/>
  <c r="K87" i="30"/>
  <c r="M89" i="30"/>
  <c r="M84" i="30"/>
  <c r="AD79" i="30"/>
  <c r="AD83" i="30"/>
  <c r="AD86" i="30"/>
  <c r="AG90" i="30"/>
  <c r="AG87" i="30"/>
  <c r="S79" i="30"/>
  <c r="S83" i="30"/>
  <c r="S86" i="30"/>
  <c r="G89" i="30"/>
  <c r="G84" i="30"/>
  <c r="C79" i="30"/>
  <c r="C83" i="30"/>
  <c r="C86" i="30"/>
  <c r="P90" i="30"/>
  <c r="P87" i="30"/>
  <c r="AB79" i="30"/>
  <c r="AB83" i="30"/>
  <c r="AB86" i="30"/>
  <c r="W89" i="30"/>
  <c r="W84" i="30"/>
  <c r="L87" i="30"/>
  <c r="L90" i="30"/>
  <c r="AI79" i="30"/>
  <c r="AI83" i="30"/>
  <c r="AI86" i="30"/>
  <c r="N90" i="30"/>
  <c r="N87" i="30"/>
  <c r="Y79" i="30"/>
  <c r="Y83" i="30"/>
  <c r="Y86" i="30"/>
  <c r="K89" i="30"/>
  <c r="K84" i="30"/>
  <c r="AP87" i="30"/>
  <c r="AP90" i="30"/>
  <c r="U79" i="30"/>
  <c r="U83" i="30"/>
  <c r="U86" i="30"/>
  <c r="H79" i="30"/>
  <c r="H83" i="30"/>
  <c r="H86" i="30"/>
  <c r="AA90" i="30"/>
  <c r="B86" i="30"/>
  <c r="AA87" i="30"/>
  <c r="AM79" i="30"/>
  <c r="AM83" i="30"/>
  <c r="AM86" i="30"/>
  <c r="AP89" i="30"/>
  <c r="AP84" i="30"/>
  <c r="I88" i="30"/>
  <c r="AI88" i="30"/>
  <c r="AB88" i="30"/>
  <c r="U88" i="30"/>
  <c r="N88" i="30"/>
  <c r="Y88" i="30"/>
  <c r="AP88" i="30"/>
  <c r="Z88" i="30"/>
  <c r="AO88" i="30"/>
  <c r="W88" i="30"/>
  <c r="C88" i="30"/>
  <c r="D88" i="30"/>
  <c r="G88" i="30"/>
  <c r="AM88" i="30"/>
  <c r="J88" i="30"/>
  <c r="AK88" i="30"/>
  <c r="K88" i="30"/>
  <c r="F88" i="30"/>
  <c r="AC88" i="30"/>
  <c r="E88" i="30"/>
  <c r="AE88" i="30"/>
  <c r="R88" i="30"/>
  <c r="T88" i="30"/>
  <c r="AH88" i="30"/>
  <c r="AN88" i="30"/>
  <c r="P88" i="30"/>
  <c r="H88" i="30"/>
  <c r="S88" i="30"/>
  <c r="AJ88" i="30"/>
  <c r="M88" i="30"/>
  <c r="B88" i="30"/>
  <c r="AF88" i="30"/>
  <c r="O88" i="30"/>
  <c r="AG88" i="30"/>
  <c r="V88" i="30"/>
  <c r="AA88" i="30"/>
  <c r="AL88" i="30"/>
  <c r="Q88" i="30"/>
  <c r="AD88" i="30"/>
  <c r="B79" i="30"/>
  <c r="B83" i="30"/>
  <c r="X88" i="30"/>
</calcChain>
</file>

<file path=xl/sharedStrings.xml><?xml version="1.0" encoding="utf-8"?>
<sst xmlns="http://schemas.openxmlformats.org/spreadsheetml/2006/main" count="1392" uniqueCount="647">
  <si>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</si>
  <si>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</si>
  <si>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</si>
  <si>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</si>
  <si>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</si>
  <si>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</si>
  <si>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</si>
  <si>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</si>
  <si>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</si>
  <si>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</si>
  <si>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</si>
  <si>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</si>
  <si>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</si>
  <si>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</si>
  <si>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</si>
  <si>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</si>
  <si>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</si>
  <si>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</si>
  <si>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</si>
  <si>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</si>
  <si>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</si>
  <si>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</si>
  <si>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</si>
  <si>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</si>
  <si>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</si>
  <si>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</si>
  <si>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</si>
  <si>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</si>
  <si>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</si>
  <si>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</si>
  <si>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</si>
  <si>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</si>
  <si>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</si>
  <si>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</si>
  <si>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</si>
  <si>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</si>
  <si>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</si>
  <si>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</si>
  <si>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</si>
  <si>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</si>
  <si>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</si>
  <si>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</si>
  <si>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</si>
  <si>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</si>
  <si>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</si>
  <si>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</si>
  <si>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</si>
  <si>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</si>
  <si>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</si>
  <si>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</si>
  <si>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</si>
  <si>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</si>
  <si>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</si>
  <si>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</si>
  <si>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</si>
  <si>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</si>
  <si>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</si>
  <si>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</si>
  <si>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</si>
  <si>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</si>
  <si>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</si>
  <si>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</si>
  <si>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</si>
  <si>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</si>
  <si>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</si>
  <si>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</si>
  <si>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</si>
  <si>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</si>
  <si>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</si>
  <si>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</si>
  <si>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</si>
  <si>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</si>
  <si>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</si>
  <si>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</si>
  <si>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</si>
  <si>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</si>
  <si>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</si>
  <si>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</si>
  <si>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</si>
  <si>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</si>
  <si>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</si>
  <si>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</si>
  <si>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</si>
  <si>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</si>
  <si>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</si>
  <si>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</si>
  <si>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</si>
  <si>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</si>
  <si>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</si>
  <si>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</si>
  <si>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</si>
  <si>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</si>
  <si>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</si>
  <si>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</si>
  <si>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</si>
  <si>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</si>
  <si>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</si>
  <si>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</si>
  <si>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</si>
  <si>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</si>
  <si>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</si>
  <si>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</si>
  <si>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</si>
  <si>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</si>
  <si>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</si>
  <si>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</si>
  <si>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</si>
  <si>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</si>
  <si>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</si>
  <si>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</si>
  <si>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</si>
  <si>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</si>
  <si>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</si>
  <si>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</si>
  <si>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</si>
  <si>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</si>
  <si>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</si>
  <si>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</si>
  <si>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</si>
  <si>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</si>
  <si>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</si>
  <si>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</si>
  <si>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</si>
  <si>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</si>
  <si>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</si>
  <si>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</si>
  <si>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</si>
  <si>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</si>
  <si>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</si>
  <si>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</si>
  <si>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</si>
  <si>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</si>
  <si>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</si>
  <si>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</si>
  <si>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</si>
  <si>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</si>
  <si>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</si>
  <si>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</si>
  <si>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</si>
  <si>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</si>
  <si>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</si>
  <si>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</si>
  <si>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</si>
  <si>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</si>
  <si>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</si>
  <si>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</si>
  <si>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</si>
  <si>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</si>
  <si>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</si>
  <si>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</si>
  <si>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</si>
  <si>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</si>
  <si>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</si>
  <si>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</si>
  <si>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</si>
  <si>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</si>
  <si>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</si>
  <si>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</si>
  <si>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</si>
  <si>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</si>
  <si>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</si>
  <si>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</si>
  <si>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</si>
  <si>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</si>
  <si>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</si>
  <si>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</si>
  <si>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</si>
  <si>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</si>
  <si>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</si>
  <si>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</si>
  <si>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</si>
  <si>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</si>
  <si>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</si>
  <si>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</si>
  <si>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</si>
  <si>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</si>
  <si>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</si>
  <si>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</si>
  <si>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</si>
  <si>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</si>
  <si>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</si>
  <si>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</si>
  <si>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</si>
  <si>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</si>
  <si>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</si>
  <si>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</si>
  <si>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</si>
  <si>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</si>
  <si>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</si>
  <si>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</si>
  <si>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</si>
  <si>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</si>
  <si>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</si>
  <si>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</si>
  <si>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</si>
  <si>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</si>
  <si>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</si>
  <si>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</si>
  <si>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</si>
  <si>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</si>
  <si>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</si>
  <si>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</si>
  <si>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</si>
  <si>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</si>
  <si>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</si>
  <si>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</si>
  <si>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</si>
  <si>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</si>
  <si>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</si>
  <si>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</si>
  <si>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</si>
  <si>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</si>
  <si>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</si>
  <si>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</si>
  <si>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</si>
  <si>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</si>
  <si>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</si>
  <si>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</si>
  <si>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</si>
  <si>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</si>
  <si>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</si>
  <si>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</si>
  <si>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</si>
  <si>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</si>
  <si>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</si>
  <si>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</si>
  <si>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</si>
  <si>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</si>
  <si>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</si>
  <si>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</si>
  <si>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</si>
  <si>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</si>
  <si>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</si>
  <si>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</si>
  <si>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</si>
  <si>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</si>
  <si>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</si>
  <si>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</si>
  <si>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</si>
  <si>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</si>
  <si>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</si>
  <si>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</si>
  <si>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</si>
  <si>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</si>
  <si>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</si>
  <si>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</si>
  <si>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</si>
  <si>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</si>
  <si>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</si>
  <si>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</si>
  <si>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</si>
  <si>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</si>
  <si>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</si>
  <si>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</si>
  <si>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</si>
  <si>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</si>
  <si>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</si>
  <si>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</si>
  <si>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</si>
  <si>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</si>
  <si>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</si>
  <si>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</si>
  <si>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</si>
  <si>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</si>
  <si>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</si>
  <si>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</si>
  <si>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</si>
  <si>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</si>
  <si>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</si>
  <si>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</si>
  <si>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</si>
  <si>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</si>
  <si>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</si>
  <si>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</si>
  <si>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</si>
  <si>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</si>
  <si>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</si>
  <si>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</si>
  <si>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</si>
  <si>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</si>
  <si>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</si>
  <si>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</si>
  <si>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</si>
  <si>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</si>
  <si>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</si>
  <si>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</si>
  <si>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</si>
  <si>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</si>
  <si>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</si>
  <si>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</si>
  <si>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</si>
  <si>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</si>
  <si>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</si>
  <si>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</si>
  <si>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</si>
  <si>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</si>
  <si>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</si>
  <si>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</si>
  <si>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</si>
  <si>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</si>
  <si>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</si>
  <si>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</si>
  <si>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</si>
  <si>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</si>
  <si>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</si>
  <si>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</si>
  <si>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</si>
  <si>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</si>
  <si>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</si>
  <si>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</si>
  <si>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</si>
  <si>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</si>
  <si>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</si>
  <si>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</si>
  <si>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</si>
  <si>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</si>
  <si>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</si>
  <si>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</si>
  <si>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</si>
  <si>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</si>
  <si>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</si>
  <si>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</si>
  <si>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</si>
  <si>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</si>
  <si>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</si>
  <si>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</si>
  <si>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</si>
  <si>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</si>
  <si>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</si>
  <si>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</si>
  <si>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</si>
  <si>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</si>
  <si>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</si>
  <si>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</si>
  <si>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</si>
  <si>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</si>
  <si>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</si>
  <si>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</si>
  <si>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</si>
  <si>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</si>
  <si>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</si>
  <si>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</si>
  <si>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</si>
  <si>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</si>
  <si>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</si>
  <si>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</si>
  <si>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</si>
  <si>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</si>
  <si>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</si>
  <si>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</si>
  <si>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</si>
  <si>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</si>
  <si>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</si>
  <si>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</si>
  <si>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</si>
  <si>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</si>
  <si>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</si>
  <si>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</si>
  <si>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</si>
  <si>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</si>
  <si>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</si>
  <si>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</si>
  <si>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</si>
  <si>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</si>
  <si>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</si>
  <si>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</si>
  <si>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</si>
  <si>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</si>
  <si>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</si>
  <si>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</si>
  <si>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</si>
  <si>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</si>
  <si>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</si>
  <si>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</si>
  <si>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</si>
  <si>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</si>
  <si>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</si>
  <si>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</si>
  <si>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</si>
  <si>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</si>
  <si>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</si>
  <si>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</si>
  <si>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</si>
  <si>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</si>
  <si>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</si>
  <si>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</si>
  <si>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</si>
  <si>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</si>
  <si>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</si>
  <si>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</si>
  <si>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</si>
  <si>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</si>
  <si>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</si>
  <si>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</si>
  <si>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</si>
  <si>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</si>
  <si>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</si>
  <si>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</si>
  <si>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</si>
  <si>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</si>
  <si>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</si>
  <si>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</si>
  <si>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</si>
  <si>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</si>
  <si>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</si>
  <si>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</si>
  <si>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</si>
  <si>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</si>
  <si>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</si>
  <si>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</si>
  <si>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</si>
  <si>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</si>
  <si>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</si>
  <si>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</si>
  <si>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</si>
  <si>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</si>
  <si>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</si>
  <si>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</si>
  <si>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</si>
  <si>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</si>
  <si>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</si>
  <si>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</si>
  <si>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</si>
  <si>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</si>
  <si>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</si>
  <si>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</si>
  <si>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</si>
  <si>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</si>
  <si>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</si>
  <si>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</si>
  <si>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</si>
  <si>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</si>
  <si>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</si>
  <si>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</si>
  <si>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</si>
  <si>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</si>
  <si>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</si>
  <si>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</si>
  <si>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</si>
  <si>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</si>
  <si>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</si>
  <si>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</si>
  <si>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</si>
  <si>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</si>
  <si>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</si>
  <si>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</si>
  <si>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</si>
  <si>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</si>
  <si>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</si>
  <si>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</si>
  <si>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</si>
  <si>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</si>
  <si>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</si>
  <si>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</si>
  <si>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</si>
  <si>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</si>
  <si>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</si>
  <si>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</si>
  <si>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</si>
  <si>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</si>
  <si>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</si>
  <si>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</si>
  <si>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</si>
  <si>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</si>
  <si>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</si>
  <si>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</si>
  <si>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</si>
  <si>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</si>
  <si>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</si>
  <si>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</si>
  <si>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</si>
  <si>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</si>
  <si>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</si>
  <si>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</si>
  <si>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</si>
  <si>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</si>
  <si>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</si>
  <si>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</si>
  <si>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</si>
  <si>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</si>
  <si>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</si>
  <si>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</si>
  <si>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</si>
  <si>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</si>
  <si>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</si>
  <si>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</si>
  <si>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</si>
  <si>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</si>
  <si>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</si>
  <si>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</si>
  <si>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</si>
  <si>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</si>
  <si>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</si>
  <si>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</si>
  <si>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</si>
  <si>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</si>
  <si>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</si>
  <si>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</si>
  <si>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</si>
  <si>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</si>
  <si>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</si>
  <si>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</si>
  <si>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</si>
  <si>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</si>
  <si>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</si>
  <si>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</si>
  <si>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</si>
  <si>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</si>
  <si>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</si>
  <si>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</si>
  <si>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</si>
  <si>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</si>
  <si>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</si>
  <si>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</si>
  <si>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</si>
  <si>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</si>
  <si>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</si>
  <si>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</si>
  <si>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</si>
  <si>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</si>
  <si>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</si>
  <si>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</si>
  <si>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</si>
  <si>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</si>
  <si>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</si>
  <si>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</si>
  <si>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</si>
  <si>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</si>
  <si>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</si>
  <si>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</si>
  <si>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</si>
  <si>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</si>
  <si>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</si>
  <si>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</si>
  <si>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</si>
  <si>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</si>
  <si>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</si>
  <si>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</si>
  <si>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</si>
  <si>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</si>
  <si>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</si>
  <si>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</si>
  <si>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</si>
  <si>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</si>
  <si>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</si>
  <si>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</si>
  <si>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</si>
  <si>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</si>
  <si>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</si>
  <si>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</si>
  <si>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</si>
  <si>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</si>
  <si>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</si>
  <si>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</si>
  <si>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</si>
  <si>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</si>
  <si>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</si>
  <si>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</si>
  <si>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</si>
  <si>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</si>
  <si>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</si>
  <si>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</si>
  <si>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</si>
  <si>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</si>
  <si>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</si>
  <si>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</si>
  <si>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</si>
  <si>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</si>
  <si>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</si>
  <si>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</si>
  <si>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</si>
  <si>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</si>
  <si>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</si>
  <si>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</si>
  <si>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</si>
  <si>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</si>
  <si>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</si>
  <si>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</si>
  <si>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</si>
  <si>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</si>
  <si>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</si>
  <si>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</si>
  <si>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</si>
  <si>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</si>
  <si>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</si>
  <si>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</si>
  <si>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</si>
  <si>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</si>
  <si>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</si>
  <si>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</si>
  <si>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</si>
  <si>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</si>
  <si>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</si>
  <si>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</si>
  <si>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</si>
  <si>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</si>
  <si>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</si>
  <si>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</si>
  <si>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</si>
  <si>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</si>
  <si>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</si>
  <si>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</si>
  <si>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</si>
  <si>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</si>
  <si>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</si>
  <si>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</si>
  <si>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</si>
  <si>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</si>
  <si>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</si>
  <si>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</si>
  <si>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</si>
  <si>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</si>
  <si>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</si>
  <si>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</si>
  <si>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</si>
  <si>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</si>
  <si>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</si>
  <si>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</si>
  <si>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</si>
  <si>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</si>
  <si>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</si>
  <si>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</si>
  <si>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</si>
  <si>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</si>
  <si>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</si>
  <si>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</si>
  <si>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 xml:space="preserve"> техприсоединение</t>
  </si>
  <si>
    <t>Строительство сетей электроснабжения , создание 2-й категории надёжности электроснабжения.</t>
  </si>
  <si>
    <t xml:space="preserve">Строительство </t>
  </si>
  <si>
    <t>П</t>
  </si>
  <si>
    <t>УНЦ</t>
  </si>
  <si>
    <t>3х150</t>
  </si>
  <si>
    <t>Строительство  электроснабжения жд г.Пионерский, пос.Рыбное (МакроИнвест)</t>
  </si>
  <si>
    <t>L_21-17</t>
  </si>
  <si>
    <t xml:space="preserve">п. п.Рыбное </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</si>
  <si>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КЛ 15 кВ,  протяженностью 600 м, строительство  КТП 15/0,4 кВ показатель увеличения трансформаторной мощности 0,63 МВА</t>
  </si>
  <si>
    <t xml:space="preserve">66-07/21тп </t>
  </si>
  <si>
    <t>п. Рыбное г Пионерск</t>
  </si>
  <si>
    <t>жд (МакроИнвест)</t>
  </si>
  <si>
    <t>Строительство КЛ 15 кВ сеч 3х150 мм2 протяженностью 0,км, КТП 15/0,4 кВ тр-р мощностью 1х630 кВА</t>
  </si>
  <si>
    <t>КТП 15/0,4 кВ</t>
  </si>
  <si>
    <t xml:space="preserve">трансформатор </t>
  </si>
  <si>
    <t>ТМ15/0,4 630 кВА</t>
  </si>
  <si>
    <t>Т 1</t>
  </si>
  <si>
    <t>Строительство  КЛ 15 кВ , протяженностью 0,6 км, КПТ 15/0,4 кВ трансформатором мощностью 630 кВА</t>
  </si>
  <si>
    <t xml:space="preserve"> КЛ 15 кВ сеч 3х150 мм2, протяженностью 0,6 км, ТМ15/0,4 кВ 630 кВА</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</si>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</sst>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0" fillId="0" borderId="1" xfId="0" applyFont="1" applyFill="1" applyBorder="1" applyAlignment="1">
      <alignment horizontal="center" vertical="center" wrapText="1"/>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7" fillId="0" borderId="0" xfId="49" applyFont="1" applyAlignment="1">
      <alignment horizont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9" fillId="0" borderId="1" xfId="2" applyFont="1" applyFill="1" applyBorder="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38" zoomScaleSheetLayoutView="10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4" t="s">
        <v>618</v>
      </c>
      <c r="B5" s="414"/>
      <c r="C5" s="414"/>
      <c r="D5" s="105"/>
      <c r="E5" s="105"/>
      <c r="F5" s="105"/>
      <c r="G5" s="105"/>
      <c r="H5" s="105"/>
      <c r="I5" s="105"/>
      <c r="J5" s="105"/>
    </row>
    <row r="6" spans="1:22" s="11" customFormat="1" ht="18.75" x14ac:dyDescent="0.3">
      <c r="A6" s="16"/>
      <c r="F6" s="15"/>
      <c r="G6" s="15"/>
      <c r="H6" s="14"/>
    </row>
    <row r="7" spans="1:22" s="11" customFormat="1" ht="18.75" x14ac:dyDescent="0.2">
      <c r="A7" s="418" t="s">
        <v>7</v>
      </c>
      <c r="B7" s="418"/>
      <c r="C7" s="41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9" t="s">
        <v>544</v>
      </c>
      <c r="B9" s="419"/>
      <c r="C9" s="419"/>
      <c r="D9" s="7"/>
      <c r="E9" s="7"/>
      <c r="F9" s="7"/>
      <c r="G9" s="7"/>
      <c r="H9" s="7"/>
      <c r="I9" s="12"/>
      <c r="J9" s="12"/>
      <c r="K9" s="12"/>
      <c r="L9" s="12"/>
      <c r="M9" s="12"/>
      <c r="N9" s="12"/>
      <c r="O9" s="12"/>
      <c r="P9" s="12"/>
      <c r="Q9" s="12"/>
      <c r="R9" s="12"/>
      <c r="S9" s="12"/>
      <c r="T9" s="12"/>
      <c r="U9" s="12"/>
      <c r="V9" s="12"/>
    </row>
    <row r="10" spans="1:22" s="11" customFormat="1" ht="18.75" x14ac:dyDescent="0.2">
      <c r="A10" s="415" t="s">
        <v>6</v>
      </c>
      <c r="B10" s="415"/>
      <c r="C10" s="41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9" t="s">
        <v>633</v>
      </c>
      <c r="B12" s="419"/>
      <c r="C12" s="419"/>
      <c r="D12" s="7"/>
      <c r="E12" s="7"/>
      <c r="F12" s="7"/>
      <c r="G12" s="7"/>
      <c r="H12" s="7"/>
      <c r="I12" s="12"/>
      <c r="J12" s="12"/>
      <c r="K12" s="12"/>
      <c r="L12" s="12"/>
      <c r="M12" s="12"/>
      <c r="N12" s="12"/>
      <c r="O12" s="12"/>
      <c r="P12" s="12"/>
      <c r="Q12" s="12"/>
      <c r="R12" s="12"/>
      <c r="S12" s="12"/>
      <c r="T12" s="12"/>
      <c r="U12" s="12"/>
      <c r="V12" s="12"/>
    </row>
    <row r="13" spans="1:22" s="11" customFormat="1" ht="18.75" x14ac:dyDescent="0.2">
      <c r="A13" s="415" t="s">
        <v>5</v>
      </c>
      <c r="B13" s="415"/>
      <c r="C13" s="41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6" t="s">
        <v>632</v>
      </c>
      <c r="B15" s="416"/>
      <c r="C15" s="416"/>
      <c r="D15" s="7"/>
      <c r="E15" s="7"/>
      <c r="F15" s="7"/>
      <c r="G15" s="7"/>
      <c r="H15" s="7"/>
      <c r="I15" s="7"/>
      <c r="J15" s="7"/>
      <c r="K15" s="7"/>
      <c r="L15" s="7"/>
      <c r="M15" s="7"/>
      <c r="N15" s="7"/>
      <c r="O15" s="7"/>
      <c r="P15" s="7"/>
      <c r="Q15" s="7"/>
      <c r="R15" s="7"/>
      <c r="S15" s="7"/>
      <c r="T15" s="7"/>
      <c r="U15" s="7"/>
      <c r="V15" s="7"/>
    </row>
    <row r="16" spans="1:22" s="3" customFormat="1" ht="15" customHeight="1" x14ac:dyDescent="0.2">
      <c r="A16" s="415" t="s">
        <v>4</v>
      </c>
      <c r="B16" s="415"/>
      <c r="C16" s="41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6" t="s">
        <v>408</v>
      </c>
      <c r="B18" s="417"/>
      <c r="C18" s="41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3" t="s">
        <v>620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3" t="s">
        <v>621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1"/>
      <c r="B24" s="412"/>
      <c r="C24" s="413"/>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603</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604</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634</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605</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606</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607</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1"/>
      <c r="B39" s="412"/>
      <c r="C39" s="413"/>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635</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1"/>
      <c r="B47" s="412"/>
      <c r="C47" s="41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2">
        <f>'6.2. Паспорт фин осв ввод'!D24</f>
        <v>0.02</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2">
        <f>'6.2. Паспорт фин осв ввод'!D30</f>
        <v>0.02</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3" t="str">
        <f>'1. паспорт местоположение'!A5:C5</f>
        <v>Год раскрытия информации: 2022 год</v>
      </c>
      <c r="B4" s="503"/>
      <c r="C4" s="503"/>
      <c r="D4" s="503"/>
      <c r="E4" s="503"/>
      <c r="F4" s="503"/>
      <c r="G4" s="503"/>
      <c r="H4" s="503"/>
      <c r="I4" s="503"/>
      <c r="J4" s="503"/>
      <c r="K4" s="503"/>
      <c r="L4" s="503"/>
      <c r="M4" s="503"/>
      <c r="N4" s="503"/>
      <c r="O4" s="503"/>
      <c r="P4" s="503"/>
      <c r="Q4" s="503"/>
      <c r="R4" s="503"/>
      <c r="S4" s="503"/>
      <c r="T4" s="503"/>
      <c r="U4" s="503"/>
      <c r="V4" s="503"/>
      <c r="W4" s="503"/>
      <c r="X4" s="503"/>
      <c r="Y4" s="503"/>
      <c r="Z4" s="503"/>
      <c r="AA4" s="503"/>
      <c r="AB4" s="503"/>
      <c r="AC4" s="503"/>
    </row>
    <row r="5" spans="1:29" ht="18.75" x14ac:dyDescent="0.3">
      <c r="A5" s="44"/>
      <c r="B5" s="44"/>
      <c r="C5" s="44"/>
      <c r="D5" s="44"/>
      <c r="E5" s="44"/>
      <c r="F5" s="44"/>
      <c r="L5" s="44"/>
      <c r="M5" s="44"/>
      <c r="T5" s="44"/>
      <c r="U5" s="44"/>
      <c r="AC5" s="14"/>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4" t="str">
        <f>'1. паспорт местоположение'!A9:C9</f>
        <v xml:space="preserve">Акционерное общество "Западная энергетическая компания" </v>
      </c>
      <c r="B8" s="504"/>
      <c r="C8" s="504"/>
      <c r="D8" s="504"/>
      <c r="E8" s="504"/>
      <c r="F8" s="504"/>
      <c r="G8" s="504"/>
      <c r="H8" s="504"/>
      <c r="I8" s="504"/>
      <c r="J8" s="504"/>
      <c r="K8" s="504"/>
      <c r="L8" s="504"/>
      <c r="M8" s="504"/>
      <c r="N8" s="504"/>
      <c r="O8" s="504"/>
      <c r="P8" s="504"/>
      <c r="Q8" s="504"/>
      <c r="R8" s="504"/>
      <c r="S8" s="504"/>
      <c r="T8" s="504"/>
      <c r="U8" s="504"/>
      <c r="V8" s="504"/>
      <c r="W8" s="504"/>
      <c r="X8" s="504"/>
      <c r="Y8" s="504"/>
      <c r="Z8" s="504"/>
      <c r="AA8" s="504"/>
      <c r="AB8" s="504"/>
      <c r="AC8" s="504"/>
    </row>
    <row r="9" spans="1:29"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4" t="str">
        <f>'1. паспорт местоположение'!A12:C12</f>
        <v>L_21-17</v>
      </c>
      <c r="B11" s="504"/>
      <c r="C11" s="504"/>
      <c r="D11" s="504"/>
      <c r="E11" s="504"/>
      <c r="F11" s="504"/>
      <c r="G11" s="504"/>
      <c r="H11" s="504"/>
      <c r="I11" s="504"/>
      <c r="J11" s="504"/>
      <c r="K11" s="504"/>
      <c r="L11" s="504"/>
      <c r="M11" s="504"/>
      <c r="N11" s="504"/>
      <c r="O11" s="504"/>
      <c r="P11" s="504"/>
      <c r="Q11" s="504"/>
      <c r="R11" s="504"/>
      <c r="S11" s="504"/>
      <c r="T11" s="504"/>
      <c r="U11" s="504"/>
      <c r="V11" s="504"/>
      <c r="W11" s="504"/>
      <c r="X11" s="504"/>
      <c r="Y11" s="504"/>
      <c r="Z11" s="504"/>
      <c r="AA11" s="504"/>
      <c r="AB11" s="504"/>
      <c r="AC11" s="504"/>
    </row>
    <row r="12" spans="1:29"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5" t="str">
        <f>'1. паспорт местоположение'!A15:C15</f>
        <v>Строительство  электроснабжения жд г.Пионерский, пос.Рыбное (МакроИнвест)</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row>
    <row r="15" spans="1:29"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8" t="s">
        <v>393</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7" t="s">
        <v>183</v>
      </c>
      <c r="B20" s="497" t="s">
        <v>182</v>
      </c>
      <c r="C20" s="492" t="s">
        <v>181</v>
      </c>
      <c r="D20" s="492"/>
      <c r="E20" s="507" t="s">
        <v>180</v>
      </c>
      <c r="F20" s="507"/>
      <c r="G20" s="497" t="s">
        <v>423</v>
      </c>
      <c r="H20" s="500" t="s">
        <v>424</v>
      </c>
      <c r="I20" s="501"/>
      <c r="J20" s="501"/>
      <c r="K20" s="501"/>
      <c r="L20" s="500" t="s">
        <v>425</v>
      </c>
      <c r="M20" s="501"/>
      <c r="N20" s="501"/>
      <c r="O20" s="501"/>
      <c r="P20" s="500" t="s">
        <v>426</v>
      </c>
      <c r="Q20" s="501"/>
      <c r="R20" s="501"/>
      <c r="S20" s="501"/>
      <c r="T20" s="500" t="s">
        <v>438</v>
      </c>
      <c r="U20" s="501"/>
      <c r="V20" s="501"/>
      <c r="W20" s="501"/>
      <c r="X20" s="500" t="s">
        <v>439</v>
      </c>
      <c r="Y20" s="501"/>
      <c r="Z20" s="501"/>
      <c r="AA20" s="501"/>
      <c r="AB20" s="509" t="s">
        <v>179</v>
      </c>
      <c r="AC20" s="509"/>
      <c r="AD20" s="65"/>
      <c r="AE20" s="65"/>
      <c r="AF20" s="65"/>
    </row>
    <row r="21" spans="1:32" ht="99.75" customHeight="1" x14ac:dyDescent="0.25">
      <c r="A21" s="498"/>
      <c r="B21" s="498"/>
      <c r="C21" s="492"/>
      <c r="D21" s="492"/>
      <c r="E21" s="507"/>
      <c r="F21" s="507"/>
      <c r="G21" s="498"/>
      <c r="H21" s="492" t="s">
        <v>2</v>
      </c>
      <c r="I21" s="492"/>
      <c r="J21" s="492" t="s">
        <v>9</v>
      </c>
      <c r="K21" s="492"/>
      <c r="L21" s="492" t="s">
        <v>2</v>
      </c>
      <c r="M21" s="492"/>
      <c r="N21" s="492" t="s">
        <v>9</v>
      </c>
      <c r="O21" s="492"/>
      <c r="P21" s="492" t="s">
        <v>2</v>
      </c>
      <c r="Q21" s="492"/>
      <c r="R21" s="492" t="s">
        <v>178</v>
      </c>
      <c r="S21" s="492"/>
      <c r="T21" s="492" t="s">
        <v>2</v>
      </c>
      <c r="U21" s="492"/>
      <c r="V21" s="492" t="s">
        <v>178</v>
      </c>
      <c r="W21" s="492"/>
      <c r="X21" s="492" t="s">
        <v>2</v>
      </c>
      <c r="Y21" s="492"/>
      <c r="Z21" s="492" t="s">
        <v>178</v>
      </c>
      <c r="AA21" s="492"/>
      <c r="AB21" s="509"/>
      <c r="AC21" s="509"/>
    </row>
    <row r="22" spans="1:32" ht="89.25" customHeight="1" x14ac:dyDescent="0.25">
      <c r="A22" s="499"/>
      <c r="B22" s="499"/>
      <c r="C22" s="62" t="s">
        <v>2</v>
      </c>
      <c r="D22" s="62" t="s">
        <v>178</v>
      </c>
      <c r="E22" s="64" t="s">
        <v>437</v>
      </c>
      <c r="F22" s="64" t="s">
        <v>482</v>
      </c>
      <c r="G22" s="499"/>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5"/>
      <c r="C66" s="495"/>
      <c r="D66" s="495"/>
      <c r="E66" s="495"/>
      <c r="F66" s="495"/>
      <c r="G66" s="495"/>
      <c r="H66" s="495"/>
      <c r="I66" s="495"/>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96"/>
      <c r="C68" s="496"/>
      <c r="D68" s="496"/>
      <c r="E68" s="496"/>
      <c r="F68" s="496"/>
      <c r="G68" s="496"/>
      <c r="H68" s="496"/>
      <c r="I68" s="496"/>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5"/>
      <c r="C70" s="495"/>
      <c r="D70" s="495"/>
      <c r="E70" s="495"/>
      <c r="F70" s="495"/>
      <c r="G70" s="495"/>
      <c r="H70" s="495"/>
      <c r="I70" s="495"/>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5"/>
      <c r="C72" s="495"/>
      <c r="D72" s="495"/>
      <c r="E72" s="495"/>
      <c r="F72" s="495"/>
      <c r="G72" s="495"/>
      <c r="H72" s="495"/>
      <c r="I72" s="495"/>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96"/>
      <c r="C73" s="496"/>
      <c r="D73" s="496"/>
      <c r="E73" s="496"/>
      <c r="F73" s="496"/>
      <c r="G73" s="496"/>
      <c r="H73" s="496"/>
      <c r="I73" s="496"/>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5"/>
      <c r="C74" s="495"/>
      <c r="D74" s="495"/>
      <c r="E74" s="495"/>
      <c r="F74" s="495"/>
      <c r="G74" s="495"/>
      <c r="H74" s="495"/>
      <c r="I74" s="495"/>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2"/>
      <c r="C75" s="502"/>
      <c r="D75" s="502"/>
      <c r="E75" s="502"/>
      <c r="F75" s="502"/>
      <c r="G75" s="502"/>
      <c r="H75" s="502"/>
      <c r="I75" s="502"/>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4"/>
      <c r="C77" s="494"/>
      <c r="D77" s="494"/>
      <c r="E77" s="494"/>
      <c r="F77" s="494"/>
      <c r="G77" s="494"/>
      <c r="H77" s="494"/>
      <c r="I77" s="494"/>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17" zoomScale="90" zoomScaleNormal="90" zoomScaleSheetLayoutView="70" workbookViewId="0">
      <selection activeCell="N30" sqref="N30"/>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0" t="s">
        <v>66</v>
      </c>
    </row>
    <row r="2" spans="1:29" ht="18.75" x14ac:dyDescent="0.3">
      <c r="AC2" s="401" t="s">
        <v>8</v>
      </c>
    </row>
    <row r="3" spans="1:29" ht="18.75" x14ac:dyDescent="0.3">
      <c r="AC3" s="401" t="s">
        <v>65</v>
      </c>
    </row>
    <row r="4" spans="1:29" ht="18.75" customHeight="1" x14ac:dyDescent="0.25">
      <c r="A4" s="414" t="str">
        <f>'6.1. Паспорт сетевой график'!A5:K5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C5" s="401"/>
    </row>
    <row r="6" spans="1:29" ht="18.75" x14ac:dyDescent="0.25">
      <c r="A6" s="514" t="s">
        <v>7</v>
      </c>
      <c r="B6" s="514"/>
      <c r="C6" s="514"/>
      <c r="D6" s="514"/>
      <c r="E6" s="514"/>
      <c r="F6" s="514"/>
      <c r="G6" s="514"/>
      <c r="H6" s="514"/>
      <c r="I6" s="514"/>
      <c r="J6" s="514"/>
      <c r="K6" s="514"/>
      <c r="L6" s="514"/>
      <c r="M6" s="514"/>
      <c r="N6" s="514"/>
      <c r="O6" s="514"/>
      <c r="P6" s="514"/>
      <c r="Q6" s="514"/>
      <c r="R6" s="514"/>
      <c r="S6" s="514"/>
      <c r="T6" s="514"/>
      <c r="U6" s="514"/>
      <c r="V6" s="514"/>
      <c r="W6" s="514"/>
      <c r="X6" s="514"/>
      <c r="Y6" s="514"/>
      <c r="Z6" s="514"/>
      <c r="AA6" s="514"/>
      <c r="AB6" s="514"/>
      <c r="AC6" s="514"/>
    </row>
    <row r="7" spans="1:29" ht="18.75" x14ac:dyDescent="0.25">
      <c r="A7" s="402"/>
      <c r="B7" s="402"/>
      <c r="C7" s="402"/>
      <c r="D7" s="402"/>
      <c r="E7" s="402"/>
      <c r="F7" s="402"/>
      <c r="G7" s="402"/>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5" t="str">
        <f>'6.1. Паспорт сетевой график'!A9</f>
        <v xml:space="preserve">Акционерное общество "Западная энергетическая компания" </v>
      </c>
      <c r="B8" s="515"/>
      <c r="C8" s="515"/>
      <c r="D8" s="515"/>
      <c r="E8" s="515"/>
      <c r="F8" s="515"/>
      <c r="G8" s="515"/>
      <c r="H8" s="515"/>
      <c r="I8" s="515"/>
      <c r="J8" s="515"/>
      <c r="K8" s="515"/>
      <c r="L8" s="515"/>
      <c r="M8" s="515"/>
      <c r="N8" s="515"/>
      <c r="O8" s="515"/>
      <c r="P8" s="515"/>
      <c r="Q8" s="515"/>
      <c r="R8" s="515"/>
      <c r="S8" s="515"/>
      <c r="T8" s="515"/>
      <c r="U8" s="515"/>
      <c r="V8" s="515"/>
      <c r="W8" s="515"/>
      <c r="X8" s="515"/>
      <c r="Y8" s="515"/>
      <c r="Z8" s="515"/>
      <c r="AA8" s="515"/>
      <c r="AB8" s="515"/>
      <c r="AC8" s="515"/>
    </row>
    <row r="9" spans="1:29" ht="18.75" customHeight="1" x14ac:dyDescent="0.25">
      <c r="A9" s="512" t="s">
        <v>6</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row>
    <row r="10" spans="1:29" ht="18.75" x14ac:dyDescent="0.3">
      <c r="A10" s="402"/>
      <c r="B10" s="402"/>
      <c r="C10" s="402"/>
      <c r="D10" s="402"/>
      <c r="E10" s="402"/>
      <c r="F10" s="402"/>
      <c r="G10" s="402"/>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5" t="str">
        <f>'6.1. Паспорт сетевой график'!A12</f>
        <v>L_21-17</v>
      </c>
      <c r="B11" s="515"/>
      <c r="C11" s="515"/>
      <c r="D11" s="515"/>
      <c r="E11" s="515"/>
      <c r="F11" s="515"/>
      <c r="G11" s="515"/>
      <c r="H11" s="515"/>
      <c r="I11" s="515"/>
      <c r="J11" s="515"/>
      <c r="K11" s="515"/>
      <c r="L11" s="515"/>
      <c r="M11" s="515"/>
      <c r="N11" s="515"/>
      <c r="O11" s="515"/>
      <c r="P11" s="515"/>
      <c r="Q11" s="515"/>
      <c r="R11" s="515"/>
      <c r="S11" s="515"/>
      <c r="T11" s="515"/>
      <c r="U11" s="515"/>
      <c r="V11" s="515"/>
      <c r="W11" s="515"/>
      <c r="X11" s="515"/>
      <c r="Y11" s="515"/>
      <c r="Z11" s="515"/>
      <c r="AA11" s="515"/>
      <c r="AB11" s="515"/>
      <c r="AC11" s="515"/>
    </row>
    <row r="12" spans="1:29" x14ac:dyDescent="0.25">
      <c r="A12" s="512" t="s">
        <v>5</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1" t="str">
        <f>'6.1. Паспорт сетевой график'!A15</f>
        <v>Строительство  электроснабжения жд г.Пионерский, пос.Рыбное (МакроИнвест)</v>
      </c>
      <c r="B14" s="511"/>
      <c r="C14" s="511"/>
      <c r="D14" s="511"/>
      <c r="E14" s="511"/>
      <c r="F14" s="511"/>
      <c r="G14" s="511"/>
      <c r="H14" s="511"/>
      <c r="I14" s="511"/>
      <c r="J14" s="511"/>
      <c r="K14" s="511"/>
      <c r="L14" s="511"/>
      <c r="M14" s="511"/>
      <c r="N14" s="511"/>
      <c r="O14" s="511"/>
      <c r="P14" s="511"/>
      <c r="Q14" s="511"/>
      <c r="R14" s="511"/>
      <c r="S14" s="511"/>
      <c r="T14" s="511"/>
      <c r="U14" s="511"/>
      <c r="V14" s="511"/>
      <c r="W14" s="511"/>
      <c r="X14" s="511"/>
      <c r="Y14" s="511"/>
      <c r="Z14" s="511"/>
      <c r="AA14" s="511"/>
      <c r="AB14" s="511"/>
      <c r="AC14" s="511"/>
    </row>
    <row r="15" spans="1:29" ht="15.75" customHeight="1" x14ac:dyDescent="0.25">
      <c r="A15" s="512" t="s">
        <v>4</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ht="18.75" x14ac:dyDescent="0.3">
      <c r="U17" s="66"/>
      <c r="V17" s="66"/>
      <c r="W17" s="66"/>
      <c r="X17" s="66"/>
      <c r="Y17" s="211"/>
      <c r="Z17" s="211"/>
      <c r="AA17" s="211"/>
      <c r="AB17" s="211"/>
      <c r="AC17" s="211"/>
      <c r="AF17" s="211"/>
    </row>
    <row r="18" spans="1:32" x14ac:dyDescent="0.25">
      <c r="A18" s="508" t="s">
        <v>393</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ht="49.5" hidden="1" customHeight="1" x14ac:dyDescent="0.25">
      <c r="E19" s="64" t="s">
        <v>597</v>
      </c>
      <c r="F19" s="64" t="s">
        <v>598</v>
      </c>
      <c r="G19" s="64" t="s">
        <v>599</v>
      </c>
      <c r="H19" s="44" t="s">
        <v>600</v>
      </c>
      <c r="L19" s="44" t="s">
        <v>601</v>
      </c>
      <c r="P19" s="44" t="s">
        <v>602</v>
      </c>
    </row>
    <row r="20" spans="1:32" ht="33" customHeight="1" x14ac:dyDescent="0.25">
      <c r="A20" s="497" t="s">
        <v>183</v>
      </c>
      <c r="B20" s="497" t="s">
        <v>182</v>
      </c>
      <c r="C20" s="492" t="s">
        <v>181</v>
      </c>
      <c r="D20" s="492"/>
      <c r="E20" s="513" t="s">
        <v>180</v>
      </c>
      <c r="F20" s="513"/>
      <c r="G20" s="497" t="s">
        <v>613</v>
      </c>
      <c r="H20" s="500">
        <v>2020</v>
      </c>
      <c r="I20" s="501"/>
      <c r="J20" s="501"/>
      <c r="K20" s="510"/>
      <c r="L20" s="500">
        <v>2021</v>
      </c>
      <c r="M20" s="501"/>
      <c r="N20" s="501"/>
      <c r="O20" s="510"/>
      <c r="P20" s="500">
        <v>2022</v>
      </c>
      <c r="Q20" s="501"/>
      <c r="R20" s="501"/>
      <c r="S20" s="510"/>
      <c r="T20" s="500">
        <v>2023</v>
      </c>
      <c r="U20" s="501"/>
      <c r="V20" s="501"/>
      <c r="W20" s="510"/>
      <c r="X20" s="500">
        <v>2024</v>
      </c>
      <c r="Y20" s="501"/>
      <c r="Z20" s="501"/>
      <c r="AA20" s="501"/>
      <c r="AB20" s="509" t="s">
        <v>179</v>
      </c>
      <c r="AC20" s="509"/>
      <c r="AD20" s="403"/>
      <c r="AE20" s="403"/>
      <c r="AF20" s="403"/>
    </row>
    <row r="21" spans="1:32" ht="99.75" customHeight="1" x14ac:dyDescent="0.25">
      <c r="A21" s="498"/>
      <c r="B21" s="498"/>
      <c r="C21" s="492"/>
      <c r="D21" s="492"/>
      <c r="E21" s="513"/>
      <c r="F21" s="513"/>
      <c r="G21" s="498"/>
      <c r="H21" s="492" t="s">
        <v>2</v>
      </c>
      <c r="I21" s="492"/>
      <c r="J21" s="492" t="s">
        <v>617</v>
      </c>
      <c r="K21" s="492"/>
      <c r="L21" s="492" t="s">
        <v>2</v>
      </c>
      <c r="M21" s="492"/>
      <c r="N21" s="492" t="s">
        <v>617</v>
      </c>
      <c r="O21" s="492"/>
      <c r="P21" s="492" t="s">
        <v>2</v>
      </c>
      <c r="Q21" s="492"/>
      <c r="R21" s="492" t="s">
        <v>178</v>
      </c>
      <c r="S21" s="492"/>
      <c r="T21" s="492" t="s">
        <v>2</v>
      </c>
      <c r="U21" s="492"/>
      <c r="V21" s="492" t="s">
        <v>178</v>
      </c>
      <c r="W21" s="492"/>
      <c r="X21" s="492" t="s">
        <v>2</v>
      </c>
      <c r="Y21" s="492"/>
      <c r="Z21" s="492" t="s">
        <v>178</v>
      </c>
      <c r="AA21" s="492"/>
      <c r="AB21" s="509"/>
      <c r="AC21" s="509"/>
    </row>
    <row r="22" spans="1:32" ht="89.25" customHeight="1" x14ac:dyDescent="0.25">
      <c r="A22" s="499"/>
      <c r="B22" s="499"/>
      <c r="C22" s="398" t="s">
        <v>2</v>
      </c>
      <c r="D22" s="398" t="s">
        <v>178</v>
      </c>
      <c r="E22" s="64" t="s">
        <v>545</v>
      </c>
      <c r="F22" s="64" t="s">
        <v>619</v>
      </c>
      <c r="G22" s="499"/>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98" t="s">
        <v>609</v>
      </c>
      <c r="AC22" s="398" t="s">
        <v>536</v>
      </c>
    </row>
    <row r="23" spans="1:32" ht="19.5" customHeight="1" x14ac:dyDescent="0.25">
      <c r="A23" s="394">
        <v>1</v>
      </c>
      <c r="B23" s="394">
        <v>2</v>
      </c>
      <c r="C23" s="394">
        <v>3</v>
      </c>
      <c r="D23" s="394">
        <v>4</v>
      </c>
      <c r="E23" s="394">
        <v>5</v>
      </c>
      <c r="F23" s="394">
        <v>6</v>
      </c>
      <c r="G23" s="394">
        <v>7</v>
      </c>
      <c r="H23" s="394">
        <v>8</v>
      </c>
      <c r="I23" s="394">
        <v>9</v>
      </c>
      <c r="J23" s="394">
        <v>10</v>
      </c>
      <c r="K23" s="394">
        <v>11</v>
      </c>
      <c r="L23" s="394">
        <v>12</v>
      </c>
      <c r="M23" s="394">
        <v>13</v>
      </c>
      <c r="N23" s="394">
        <v>14</v>
      </c>
      <c r="O23" s="394">
        <v>15</v>
      </c>
      <c r="P23" s="394">
        <v>16</v>
      </c>
      <c r="Q23" s="394">
        <v>17</v>
      </c>
      <c r="R23" s="410">
        <v>18</v>
      </c>
      <c r="S23" s="394">
        <v>19</v>
      </c>
      <c r="T23" s="394">
        <v>20</v>
      </c>
      <c r="U23" s="394">
        <v>21</v>
      </c>
      <c r="V23" s="394">
        <v>22</v>
      </c>
      <c r="W23" s="394">
        <v>23</v>
      </c>
      <c r="X23" s="394">
        <v>24</v>
      </c>
      <c r="Y23" s="394">
        <v>25</v>
      </c>
      <c r="Z23" s="394">
        <v>26</v>
      </c>
      <c r="AA23" s="394">
        <v>27</v>
      </c>
      <c r="AB23" s="394">
        <v>28</v>
      </c>
      <c r="AC23" s="394">
        <v>29</v>
      </c>
    </row>
    <row r="24" spans="1:32" ht="47.25" customHeight="1" x14ac:dyDescent="0.25">
      <c r="A24" s="60">
        <v>1</v>
      </c>
      <c r="B24" s="59" t="s">
        <v>177</v>
      </c>
      <c r="C24" s="117" t="s">
        <v>537</v>
      </c>
      <c r="D24" s="117">
        <v>0.02</v>
      </c>
      <c r="E24" s="117">
        <f>D24</f>
        <v>0.02</v>
      </c>
      <c r="F24" s="119">
        <f>D24-G24-J24-N24</f>
        <v>0</v>
      </c>
      <c r="G24" s="119">
        <v>0</v>
      </c>
      <c r="H24" s="117" t="s">
        <v>537</v>
      </c>
      <c r="I24" s="117">
        <f>SUM(I25:I29)</f>
        <v>0</v>
      </c>
      <c r="J24" s="119">
        <v>0</v>
      </c>
      <c r="K24" s="117">
        <f>SUM(K25:K29)</f>
        <v>0</v>
      </c>
      <c r="L24" s="117" t="s">
        <v>537</v>
      </c>
      <c r="M24" s="117">
        <f t="shared" ref="M24:Y24" si="0">SUM(M25:M29)</f>
        <v>0</v>
      </c>
      <c r="N24" s="117">
        <f>N25+N26+N27+N28+N29</f>
        <v>0.02</v>
      </c>
      <c r="O24" s="117">
        <f t="shared" ref="O24" si="1">SUM(O25:O29)</f>
        <v>0</v>
      </c>
      <c r="P24" s="119">
        <v>0</v>
      </c>
      <c r="Q24" s="117">
        <f t="shared" si="0"/>
        <v>0</v>
      </c>
      <c r="R24" s="117">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0.02</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3"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v>0.02</v>
      </c>
      <c r="E28" s="117">
        <f t="shared" si="4"/>
        <v>0.02</v>
      </c>
      <c r="F28" s="119">
        <f t="shared" si="5"/>
        <v>0</v>
      </c>
      <c r="G28" s="119">
        <v>0</v>
      </c>
      <c r="H28" s="117" t="s">
        <v>537</v>
      </c>
      <c r="I28" s="119">
        <v>0</v>
      </c>
      <c r="J28" s="119">
        <v>0</v>
      </c>
      <c r="K28" s="119">
        <v>0</v>
      </c>
      <c r="L28" s="117" t="s">
        <v>537</v>
      </c>
      <c r="M28" s="119">
        <v>0</v>
      </c>
      <c r="N28" s="408">
        <v>0.02</v>
      </c>
      <c r="O28" s="119">
        <v>0</v>
      </c>
      <c r="P28" s="119">
        <v>0</v>
      </c>
      <c r="Q28" s="119">
        <v>0</v>
      </c>
      <c r="R28" s="117">
        <v>0</v>
      </c>
      <c r="S28" s="119">
        <v>0</v>
      </c>
      <c r="T28" s="119">
        <v>0</v>
      </c>
      <c r="U28" s="119">
        <v>0</v>
      </c>
      <c r="V28" s="119">
        <v>0</v>
      </c>
      <c r="W28" s="119">
        <v>0</v>
      </c>
      <c r="X28" s="119">
        <v>0</v>
      </c>
      <c r="Y28" s="119">
        <v>0</v>
      </c>
      <c r="Z28" s="119">
        <v>0</v>
      </c>
      <c r="AA28" s="119">
        <v>0</v>
      </c>
      <c r="AB28" s="117" t="s">
        <v>537</v>
      </c>
      <c r="AC28" s="117">
        <f t="shared" si="8"/>
        <v>0.02</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404" customFormat="1" ht="47.25" x14ac:dyDescent="0.25">
      <c r="A30" s="60" t="s">
        <v>61</v>
      </c>
      <c r="B30" s="59" t="s">
        <v>167</v>
      </c>
      <c r="C30" s="117" t="s">
        <v>537</v>
      </c>
      <c r="D30" s="117">
        <v>0.02</v>
      </c>
      <c r="E30" s="117">
        <f t="shared" si="4"/>
        <v>0.02</v>
      </c>
      <c r="F30" s="119">
        <f t="shared" si="5"/>
        <v>0</v>
      </c>
      <c r="G30" s="119">
        <v>0</v>
      </c>
      <c r="H30" s="117" t="s">
        <v>537</v>
      </c>
      <c r="I30" s="117">
        <v>0</v>
      </c>
      <c r="J30" s="119">
        <v>0</v>
      </c>
      <c r="K30" s="117">
        <v>0</v>
      </c>
      <c r="L30" s="117" t="s">
        <v>537</v>
      </c>
      <c r="M30" s="117">
        <v>0</v>
      </c>
      <c r="N30" s="117">
        <f>SUM(N31:N34)</f>
        <v>0.02</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8"/>
        <v>0.02</v>
      </c>
      <c r="AD30" s="44"/>
      <c r="AE30" s="44"/>
      <c r="AF30" s="44"/>
    </row>
    <row r="31" spans="1:32" x14ac:dyDescent="0.25">
      <c r="A31" s="60" t="s">
        <v>166</v>
      </c>
      <c r="B31" s="33" t="s">
        <v>165</v>
      </c>
      <c r="C31" s="117" t="s">
        <v>537</v>
      </c>
      <c r="D31" s="117">
        <v>0.02</v>
      </c>
      <c r="E31" s="117">
        <f t="shared" si="4"/>
        <v>0.02</v>
      </c>
      <c r="F31" s="119">
        <f t="shared" si="5"/>
        <v>0</v>
      </c>
      <c r="G31" s="119">
        <v>0</v>
      </c>
      <c r="H31" s="117" t="s">
        <v>537</v>
      </c>
      <c r="I31" s="119">
        <v>0</v>
      </c>
      <c r="J31" s="119">
        <v>0</v>
      </c>
      <c r="K31" s="119">
        <v>0</v>
      </c>
      <c r="L31" s="117" t="s">
        <v>537</v>
      </c>
      <c r="M31" s="119">
        <v>0</v>
      </c>
      <c r="N31" s="117">
        <v>0.02</v>
      </c>
      <c r="O31" s="119">
        <v>0</v>
      </c>
      <c r="P31" s="119">
        <v>0</v>
      </c>
      <c r="Q31" s="119">
        <v>0</v>
      </c>
      <c r="R31" s="117">
        <v>0</v>
      </c>
      <c r="S31" s="119">
        <v>0</v>
      </c>
      <c r="T31" s="119">
        <v>0</v>
      </c>
      <c r="U31" s="119">
        <v>0</v>
      </c>
      <c r="V31" s="119">
        <v>0</v>
      </c>
      <c r="W31" s="119">
        <v>0</v>
      </c>
      <c r="X31" s="119">
        <v>0</v>
      </c>
      <c r="Y31" s="119">
        <v>0</v>
      </c>
      <c r="Z31" s="119">
        <v>0</v>
      </c>
      <c r="AA31" s="119">
        <v>0</v>
      </c>
      <c r="AB31" s="117" t="s">
        <v>537</v>
      </c>
      <c r="AC31" s="117">
        <f t="shared" si="8"/>
        <v>0.02</v>
      </c>
    </row>
    <row r="32" spans="1:32" ht="31.5" x14ac:dyDescent="0.25">
      <c r="A32" s="60" t="s">
        <v>164</v>
      </c>
      <c r="B32" s="33" t="s">
        <v>163</v>
      </c>
      <c r="C32" s="117" t="s">
        <v>537</v>
      </c>
      <c r="D32" s="117">
        <v>0</v>
      </c>
      <c r="E32" s="117">
        <f t="shared" si="4"/>
        <v>0</v>
      </c>
      <c r="F32" s="119">
        <f t="shared" si="5"/>
        <v>0</v>
      </c>
      <c r="G32" s="119">
        <v>0</v>
      </c>
      <c r="H32" s="117" t="s">
        <v>537</v>
      </c>
      <c r="I32" s="119">
        <v>0</v>
      </c>
      <c r="J32" s="119">
        <v>0</v>
      </c>
      <c r="K32" s="119">
        <v>0</v>
      </c>
      <c r="L32" s="117" t="s">
        <v>537</v>
      </c>
      <c r="M32" s="119">
        <v>0</v>
      </c>
      <c r="N32" s="117">
        <v>0</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8"/>
        <v>0</v>
      </c>
    </row>
    <row r="33" spans="1:29" x14ac:dyDescent="0.25">
      <c r="A33" s="60" t="s">
        <v>162</v>
      </c>
      <c r="B33" s="33" t="s">
        <v>161</v>
      </c>
      <c r="C33" s="117" t="s">
        <v>537</v>
      </c>
      <c r="D33" s="117">
        <v>0</v>
      </c>
      <c r="E33" s="117">
        <f t="shared" si="4"/>
        <v>0</v>
      </c>
      <c r="F33" s="119">
        <f t="shared" si="5"/>
        <v>0</v>
      </c>
      <c r="G33" s="119">
        <v>0</v>
      </c>
      <c r="H33" s="117" t="s">
        <v>537</v>
      </c>
      <c r="I33" s="119">
        <v>0</v>
      </c>
      <c r="J33" s="119">
        <v>0</v>
      </c>
      <c r="K33" s="119">
        <v>0</v>
      </c>
      <c r="L33" s="117" t="s">
        <v>537</v>
      </c>
      <c r="M33" s="119">
        <v>0</v>
      </c>
      <c r="N33" s="117">
        <v>0</v>
      </c>
      <c r="O33" s="119">
        <v>0</v>
      </c>
      <c r="P33" s="119">
        <v>0</v>
      </c>
      <c r="Q33" s="119">
        <v>0</v>
      </c>
      <c r="R33" s="117">
        <f t="shared" si="7"/>
        <v>0</v>
      </c>
      <c r="S33" s="119">
        <v>0</v>
      </c>
      <c r="T33" s="119">
        <v>0</v>
      </c>
      <c r="U33" s="119">
        <v>0</v>
      </c>
      <c r="V33" s="119">
        <v>0</v>
      </c>
      <c r="W33" s="119">
        <v>0</v>
      </c>
      <c r="X33" s="119">
        <v>0</v>
      </c>
      <c r="Y33" s="119">
        <v>0</v>
      </c>
      <c r="Z33" s="119">
        <v>0</v>
      </c>
      <c r="AA33" s="119">
        <v>0</v>
      </c>
      <c r="AB33" s="117" t="s">
        <v>537</v>
      </c>
      <c r="AC33" s="117">
        <f t="shared" si="8"/>
        <v>0</v>
      </c>
    </row>
    <row r="34" spans="1:29" x14ac:dyDescent="0.25">
      <c r="A34" s="60" t="s">
        <v>160</v>
      </c>
      <c r="B34" s="33" t="s">
        <v>159</v>
      </c>
      <c r="C34" s="117" t="s">
        <v>537</v>
      </c>
      <c r="D34" s="117">
        <v>0</v>
      </c>
      <c r="E34" s="117">
        <f t="shared" si="4"/>
        <v>0</v>
      </c>
      <c r="F34" s="119">
        <f t="shared" si="5"/>
        <v>0</v>
      </c>
      <c r="G34" s="119">
        <v>0</v>
      </c>
      <c r="H34" s="117" t="s">
        <v>537</v>
      </c>
      <c r="I34" s="119">
        <v>0</v>
      </c>
      <c r="J34" s="119">
        <v>0</v>
      </c>
      <c r="K34" s="119">
        <v>0</v>
      </c>
      <c r="L34" s="117" t="s">
        <v>537</v>
      </c>
      <c r="M34" s="119">
        <v>0</v>
      </c>
      <c r="N34" s="117">
        <v>0</v>
      </c>
      <c r="O34" s="119">
        <v>0</v>
      </c>
      <c r="P34" s="119">
        <v>0</v>
      </c>
      <c r="Q34" s="119">
        <v>0</v>
      </c>
      <c r="R34" s="117">
        <v>0</v>
      </c>
      <c r="S34" s="119">
        <v>0</v>
      </c>
      <c r="T34" s="119">
        <v>0</v>
      </c>
      <c r="U34" s="119">
        <v>0</v>
      </c>
      <c r="V34" s="119">
        <v>0</v>
      </c>
      <c r="W34" s="119">
        <v>0</v>
      </c>
      <c r="X34" s="119">
        <v>0</v>
      </c>
      <c r="Y34" s="119">
        <v>0</v>
      </c>
      <c r="Z34" s="119">
        <v>0</v>
      </c>
      <c r="AA34" s="119">
        <v>0</v>
      </c>
      <c r="AB34" s="117" t="s">
        <v>537</v>
      </c>
      <c r="AC34" s="117">
        <f t="shared" si="8"/>
        <v>0</v>
      </c>
    </row>
    <row r="35" spans="1:29" s="404"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v>
      </c>
      <c r="E37" s="117">
        <f t="shared" si="4"/>
        <v>0</v>
      </c>
      <c r="F37" s="119">
        <f t="shared" si="5"/>
        <v>0</v>
      </c>
      <c r="G37" s="119">
        <v>0</v>
      </c>
      <c r="H37" s="117" t="s">
        <v>537</v>
      </c>
      <c r="I37" s="119">
        <v>0</v>
      </c>
      <c r="J37" s="119">
        <v>0</v>
      </c>
      <c r="K37" s="119">
        <v>0</v>
      </c>
      <c r="L37" s="117" t="s">
        <v>537</v>
      </c>
      <c r="M37" s="119">
        <v>0</v>
      </c>
      <c r="N37" s="117">
        <v>0</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8"/>
        <v>0</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v>0</v>
      </c>
      <c r="E41" s="117">
        <f t="shared" si="4"/>
        <v>0</v>
      </c>
      <c r="F41" s="119">
        <f t="shared" si="5"/>
        <v>0</v>
      </c>
      <c r="G41" s="119">
        <v>0</v>
      </c>
      <c r="H41" s="117" t="s">
        <v>537</v>
      </c>
      <c r="I41" s="119">
        <v>0</v>
      </c>
      <c r="J41" s="119">
        <v>0</v>
      </c>
      <c r="K41" s="119">
        <v>0</v>
      </c>
      <c r="L41" s="117" t="s">
        <v>537</v>
      </c>
      <c r="M41" s="119">
        <v>0</v>
      </c>
      <c r="N41" s="117">
        <v>0</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8"/>
        <v>0</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404" customFormat="1" x14ac:dyDescent="0.25">
      <c r="A43" s="60" t="s">
        <v>59</v>
      </c>
      <c r="B43" s="59" t="s">
        <v>149</v>
      </c>
      <c r="C43" s="117" t="s">
        <v>537</v>
      </c>
      <c r="D43" s="117">
        <v>0</v>
      </c>
      <c r="E43" s="117">
        <f t="shared" si="4"/>
        <v>0</v>
      </c>
      <c r="F43" s="119">
        <f>D43-G43-J43-N43</f>
        <v>0</v>
      </c>
      <c r="G43" s="119">
        <v>0</v>
      </c>
      <c r="H43" s="117" t="s">
        <v>537</v>
      </c>
      <c r="I43" s="117">
        <v>0</v>
      </c>
      <c r="J43" s="119">
        <v>0</v>
      </c>
      <c r="K43" s="117">
        <v>0</v>
      </c>
      <c r="L43" s="117" t="s">
        <v>537</v>
      </c>
      <c r="M43" s="117">
        <v>0</v>
      </c>
      <c r="N43" s="408">
        <v>0</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8"/>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v>0</v>
      </c>
      <c r="E45" s="117">
        <f t="shared" si="4"/>
        <v>0</v>
      </c>
      <c r="F45" s="119">
        <f t="shared" si="5"/>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v>0</v>
      </c>
      <c r="E49" s="117">
        <f t="shared" si="4"/>
        <v>0</v>
      </c>
      <c r="F49" s="119">
        <f t="shared" si="5"/>
        <v>0</v>
      </c>
      <c r="G49" s="119">
        <v>0</v>
      </c>
      <c r="H49" s="117" t="s">
        <v>537</v>
      </c>
      <c r="I49" s="119">
        <v>0</v>
      </c>
      <c r="J49" s="119">
        <v>0</v>
      </c>
      <c r="K49" s="119">
        <v>0</v>
      </c>
      <c r="L49" s="117" t="s">
        <v>537</v>
      </c>
      <c r="M49" s="119">
        <v>0</v>
      </c>
      <c r="N49" s="117">
        <v>0</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404"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v>0.02</v>
      </c>
      <c r="E52" s="117">
        <f t="shared" si="4"/>
        <v>0.02</v>
      </c>
      <c r="F52" s="119">
        <f t="shared" si="5"/>
        <v>0</v>
      </c>
      <c r="G52" s="119">
        <v>0</v>
      </c>
      <c r="H52" s="117" t="s">
        <v>537</v>
      </c>
      <c r="I52" s="119">
        <v>0</v>
      </c>
      <c r="J52" s="119">
        <v>0</v>
      </c>
      <c r="K52" s="119">
        <v>0</v>
      </c>
      <c r="L52" s="117" t="s">
        <v>537</v>
      </c>
      <c r="M52" s="119">
        <v>0</v>
      </c>
      <c r="N52" s="117">
        <f>N30</f>
        <v>0.02</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8"/>
        <v>0.02</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v>0</v>
      </c>
      <c r="E54" s="117">
        <f t="shared" si="4"/>
        <v>0</v>
      </c>
      <c r="F54" s="119">
        <f t="shared" si="5"/>
        <v>0</v>
      </c>
      <c r="G54" s="119">
        <v>0</v>
      </c>
      <c r="H54" s="117" t="s">
        <v>537</v>
      </c>
      <c r="I54" s="119">
        <v>0</v>
      </c>
      <c r="J54" s="119">
        <v>0</v>
      </c>
      <c r="K54" s="119">
        <v>0</v>
      </c>
      <c r="L54" s="117" t="s">
        <v>537</v>
      </c>
      <c r="M54" s="119">
        <v>0</v>
      </c>
      <c r="N54" s="117">
        <f>N45</f>
        <v>0</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8"/>
        <v>0</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v>0</v>
      </c>
      <c r="E56" s="117">
        <f t="shared" si="4"/>
        <v>0</v>
      </c>
      <c r="F56" s="119">
        <f t="shared" si="5"/>
        <v>0</v>
      </c>
      <c r="G56" s="119">
        <v>0</v>
      </c>
      <c r="H56" s="117" t="s">
        <v>537</v>
      </c>
      <c r="I56" s="119">
        <v>0</v>
      </c>
      <c r="J56" s="119">
        <v>0</v>
      </c>
      <c r="K56" s="119">
        <v>0</v>
      </c>
      <c r="L56" s="117" t="s">
        <v>537</v>
      </c>
      <c r="M56" s="119">
        <v>0</v>
      </c>
      <c r="N56" s="117">
        <v>0</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8"/>
        <v>0</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404" customFormat="1" ht="36.75" customHeight="1" x14ac:dyDescent="0.25">
      <c r="A58" s="60" t="s">
        <v>56</v>
      </c>
      <c r="B58" s="213" t="s">
        <v>207</v>
      </c>
      <c r="C58" s="117" t="s">
        <v>537</v>
      </c>
      <c r="D58" s="117">
        <v>0.02</v>
      </c>
      <c r="E58" s="117">
        <f t="shared" si="4"/>
        <v>0.02</v>
      </c>
      <c r="F58" s="119">
        <f t="shared" si="5"/>
        <v>0</v>
      </c>
      <c r="G58" s="119">
        <v>0</v>
      </c>
      <c r="H58" s="117" t="s">
        <v>537</v>
      </c>
      <c r="I58" s="117">
        <v>0</v>
      </c>
      <c r="J58" s="119">
        <v>0</v>
      </c>
      <c r="K58" s="117">
        <v>0</v>
      </c>
      <c r="L58" s="117" t="s">
        <v>537</v>
      </c>
      <c r="M58" s="117">
        <v>0</v>
      </c>
      <c r="N58" s="117">
        <f>N52</f>
        <v>0.02</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0.02</v>
      </c>
    </row>
    <row r="59" spans="1:29" s="404"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495"/>
      <c r="C66" s="495"/>
      <c r="D66" s="495"/>
      <c r="E66" s="495"/>
      <c r="F66" s="495"/>
      <c r="G66" s="396"/>
      <c r="H66" s="52"/>
      <c r="I66" s="52"/>
      <c r="J66" s="52"/>
      <c r="K66" s="52"/>
      <c r="L66" s="52"/>
      <c r="M66" s="52"/>
      <c r="N66" s="393"/>
      <c r="O66" s="52"/>
      <c r="P66" s="52"/>
      <c r="Q66" s="52"/>
      <c r="R66" s="52"/>
      <c r="S66" s="52"/>
      <c r="T66" s="52"/>
      <c r="U66" s="52"/>
      <c r="V66" s="52"/>
      <c r="W66" s="52"/>
      <c r="X66" s="52"/>
      <c r="Y66" s="52"/>
      <c r="Z66" s="52"/>
      <c r="AA66" s="52"/>
      <c r="AB66" s="52"/>
    </row>
    <row r="68" spans="1:28" ht="50.25" customHeight="1" x14ac:dyDescent="0.25">
      <c r="B68" s="496"/>
      <c r="C68" s="496"/>
      <c r="D68" s="496"/>
      <c r="E68" s="496"/>
      <c r="F68" s="496"/>
      <c r="G68" s="397"/>
    </row>
    <row r="70" spans="1:28" ht="36.75" customHeight="1" x14ac:dyDescent="0.25">
      <c r="B70" s="495"/>
      <c r="C70" s="495"/>
      <c r="D70" s="495"/>
      <c r="E70" s="495"/>
      <c r="F70" s="495"/>
      <c r="G70" s="396"/>
    </row>
    <row r="71" spans="1:28" x14ac:dyDescent="0.25">
      <c r="B71" s="51"/>
      <c r="C71" s="51"/>
      <c r="D71" s="51"/>
      <c r="E71" s="51"/>
      <c r="F71" s="51"/>
    </row>
    <row r="72" spans="1:28" ht="51" customHeight="1" x14ac:dyDescent="0.25">
      <c r="B72" s="495"/>
      <c r="C72" s="495"/>
      <c r="D72" s="495"/>
      <c r="E72" s="495"/>
      <c r="F72" s="495"/>
      <c r="G72" s="396"/>
    </row>
    <row r="73" spans="1:28" ht="32.25" customHeight="1" x14ac:dyDescent="0.25">
      <c r="B73" s="496"/>
      <c r="C73" s="496"/>
      <c r="D73" s="496"/>
      <c r="E73" s="496"/>
      <c r="F73" s="496"/>
      <c r="G73" s="397"/>
    </row>
    <row r="74" spans="1:28" ht="51.75" customHeight="1" x14ac:dyDescent="0.25">
      <c r="B74" s="495"/>
      <c r="C74" s="495"/>
      <c r="D74" s="495"/>
      <c r="E74" s="495"/>
      <c r="F74" s="495"/>
      <c r="G74" s="396"/>
    </row>
    <row r="75" spans="1:28" ht="21.75" customHeight="1" x14ac:dyDescent="0.25">
      <c r="B75" s="502"/>
      <c r="C75" s="502"/>
      <c r="D75" s="502"/>
      <c r="E75" s="502"/>
      <c r="F75" s="502"/>
      <c r="G75" s="399"/>
    </row>
    <row r="76" spans="1:28" ht="23.25" customHeight="1" x14ac:dyDescent="0.25">
      <c r="B76" s="46"/>
      <c r="C76" s="46"/>
      <c r="D76" s="46"/>
      <c r="E76" s="46"/>
      <c r="F76" s="46"/>
    </row>
    <row r="77" spans="1:28" ht="18.75" customHeight="1" x14ac:dyDescent="0.25">
      <c r="B77" s="494"/>
      <c r="C77" s="494"/>
      <c r="D77" s="494"/>
      <c r="E77" s="494"/>
      <c r="F77" s="494"/>
      <c r="G77" s="39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4"/>
    </row>
    <row r="7" spans="1:48" ht="18.75"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ht="15.75"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5" t="s">
        <v>6</v>
      </c>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ht="15.75" x14ac:dyDescent="0.25">
      <c r="A12" s="426" t="str">
        <f>'1. паспорт местоположение'!A12:C12</f>
        <v>L_21-17</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25" t="s">
        <v>5</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5"/>
      <c r="AN13" s="425"/>
      <c r="AO13" s="425"/>
      <c r="AP13" s="425"/>
      <c r="AQ13" s="425"/>
      <c r="AR13" s="425"/>
      <c r="AS13" s="425"/>
      <c r="AT13" s="425"/>
      <c r="AU13" s="425"/>
      <c r="AV13" s="425"/>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ht="15.75" x14ac:dyDescent="0.25">
      <c r="A15" s="419" t="str">
        <f>'1. паспорт местоположение'!A15:C15</f>
        <v>Строительство  электроснабжения жд г.Пионерский, пос.Рыбное (МакроИнвест)</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5" t="s">
        <v>4</v>
      </c>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180"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180" customFormat="1" x14ac:dyDescent="0.25">
      <c r="A21" s="530" t="s">
        <v>406</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180" customFormat="1" ht="58.5" customHeight="1" x14ac:dyDescent="0.25">
      <c r="A22" s="531" t="s">
        <v>50</v>
      </c>
      <c r="B22" s="535" t="s">
        <v>22</v>
      </c>
      <c r="C22" s="521" t="s">
        <v>49</v>
      </c>
      <c r="D22" s="521" t="s">
        <v>48</v>
      </c>
      <c r="E22" s="538" t="s">
        <v>416</v>
      </c>
      <c r="F22" s="539"/>
      <c r="G22" s="539"/>
      <c r="H22" s="539"/>
      <c r="I22" s="539"/>
      <c r="J22" s="539"/>
      <c r="K22" s="539"/>
      <c r="L22" s="540"/>
      <c r="M22" s="521" t="s">
        <v>47</v>
      </c>
      <c r="N22" s="521" t="s">
        <v>46</v>
      </c>
      <c r="O22" s="521" t="s">
        <v>45</v>
      </c>
      <c r="P22" s="516" t="s">
        <v>228</v>
      </c>
      <c r="Q22" s="516" t="s">
        <v>44</v>
      </c>
      <c r="R22" s="516" t="s">
        <v>43</v>
      </c>
      <c r="S22" s="516" t="s">
        <v>42</v>
      </c>
      <c r="T22" s="516"/>
      <c r="U22" s="541" t="s">
        <v>41</v>
      </c>
      <c r="V22" s="541" t="s">
        <v>40</v>
      </c>
      <c r="W22" s="516" t="s">
        <v>39</v>
      </c>
      <c r="X22" s="516" t="s">
        <v>38</v>
      </c>
      <c r="Y22" s="516" t="s">
        <v>37</v>
      </c>
      <c r="Z22" s="523"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24" t="s">
        <v>23</v>
      </c>
    </row>
    <row r="23" spans="1:48" s="180" customFormat="1" ht="64.5" customHeight="1" x14ac:dyDescent="0.25">
      <c r="A23" s="532"/>
      <c r="B23" s="536"/>
      <c r="C23" s="534"/>
      <c r="D23" s="534"/>
      <c r="E23" s="526" t="s">
        <v>21</v>
      </c>
      <c r="F23" s="517" t="s">
        <v>126</v>
      </c>
      <c r="G23" s="517" t="s">
        <v>125</v>
      </c>
      <c r="H23" s="517" t="s">
        <v>124</v>
      </c>
      <c r="I23" s="519" t="s">
        <v>353</v>
      </c>
      <c r="J23" s="519" t="s">
        <v>354</v>
      </c>
      <c r="K23" s="519" t="s">
        <v>355</v>
      </c>
      <c r="L23" s="517" t="s">
        <v>74</v>
      </c>
      <c r="M23" s="534"/>
      <c r="N23" s="534"/>
      <c r="O23" s="534"/>
      <c r="P23" s="516"/>
      <c r="Q23" s="516"/>
      <c r="R23" s="516"/>
      <c r="S23" s="528" t="s">
        <v>2</v>
      </c>
      <c r="T23" s="528" t="s">
        <v>9</v>
      </c>
      <c r="U23" s="541"/>
      <c r="V23" s="541"/>
      <c r="W23" s="516"/>
      <c r="X23" s="516"/>
      <c r="Y23" s="516"/>
      <c r="Z23" s="516"/>
      <c r="AA23" s="516"/>
      <c r="AB23" s="516"/>
      <c r="AC23" s="516"/>
      <c r="AD23" s="516"/>
      <c r="AE23" s="516"/>
      <c r="AF23" s="516" t="s">
        <v>20</v>
      </c>
      <c r="AG23" s="516"/>
      <c r="AH23" s="516" t="s">
        <v>19</v>
      </c>
      <c r="AI23" s="516"/>
      <c r="AJ23" s="521" t="s">
        <v>18</v>
      </c>
      <c r="AK23" s="521" t="s">
        <v>17</v>
      </c>
      <c r="AL23" s="521" t="s">
        <v>16</v>
      </c>
      <c r="AM23" s="521" t="s">
        <v>15</v>
      </c>
      <c r="AN23" s="521" t="s">
        <v>14</v>
      </c>
      <c r="AO23" s="521" t="s">
        <v>13</v>
      </c>
      <c r="AP23" s="521" t="s">
        <v>12</v>
      </c>
      <c r="AQ23" s="542" t="s">
        <v>9</v>
      </c>
      <c r="AR23" s="516"/>
      <c r="AS23" s="516"/>
      <c r="AT23" s="516"/>
      <c r="AU23" s="516"/>
      <c r="AV23" s="525"/>
    </row>
    <row r="24" spans="1:48" s="180" customFormat="1" ht="96.75" customHeight="1" x14ac:dyDescent="0.25">
      <c r="A24" s="533"/>
      <c r="B24" s="537"/>
      <c r="C24" s="522"/>
      <c r="D24" s="522"/>
      <c r="E24" s="527"/>
      <c r="F24" s="518"/>
      <c r="G24" s="518"/>
      <c r="H24" s="518"/>
      <c r="I24" s="520"/>
      <c r="J24" s="520"/>
      <c r="K24" s="520"/>
      <c r="L24" s="518"/>
      <c r="M24" s="522"/>
      <c r="N24" s="522"/>
      <c r="O24" s="522"/>
      <c r="P24" s="516"/>
      <c r="Q24" s="516"/>
      <c r="R24" s="516"/>
      <c r="S24" s="529"/>
      <c r="T24" s="529"/>
      <c r="U24" s="541"/>
      <c r="V24" s="541"/>
      <c r="W24" s="516"/>
      <c r="X24" s="516"/>
      <c r="Y24" s="516"/>
      <c r="Z24" s="516"/>
      <c r="AA24" s="516"/>
      <c r="AB24" s="516"/>
      <c r="AC24" s="516"/>
      <c r="AD24" s="516"/>
      <c r="AE24" s="516"/>
      <c r="AF24" s="181" t="s">
        <v>11</v>
      </c>
      <c r="AG24" s="181" t="s">
        <v>10</v>
      </c>
      <c r="AH24" s="182" t="s">
        <v>2</v>
      </c>
      <c r="AI24" s="182" t="s">
        <v>9</v>
      </c>
      <c r="AJ24" s="522"/>
      <c r="AK24" s="522"/>
      <c r="AL24" s="522"/>
      <c r="AM24" s="522"/>
      <c r="AN24" s="522"/>
      <c r="AO24" s="522"/>
      <c r="AP24" s="522"/>
      <c r="AQ24" s="543"/>
      <c r="AR24" s="516"/>
      <c r="AS24" s="516"/>
      <c r="AT24" s="516"/>
      <c r="AU24" s="516"/>
      <c r="AV24" s="525"/>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610</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3" zoomScale="90" zoomScaleNormal="90" zoomScaleSheetLayoutView="90" workbookViewId="0">
      <selection activeCell="B22" sqref="B22"/>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9" t="str">
        <f>'1. паспорт местоположение'!A5:C5</f>
        <v>Год раскрытия информации: 2022 год</v>
      </c>
      <c r="B5" s="549"/>
      <c r="C5" s="68"/>
      <c r="D5" s="68"/>
      <c r="E5" s="68"/>
      <c r="F5" s="68"/>
      <c r="G5" s="68"/>
      <c r="H5" s="68"/>
    </row>
    <row r="6" spans="1:8" ht="18.75" x14ac:dyDescent="0.3">
      <c r="A6" s="101"/>
      <c r="B6" s="101"/>
      <c r="C6" s="101"/>
      <c r="D6" s="101"/>
      <c r="E6" s="101"/>
      <c r="F6" s="101"/>
      <c r="G6" s="101"/>
      <c r="H6" s="101"/>
    </row>
    <row r="7" spans="1:8" ht="18.75" x14ac:dyDescent="0.25">
      <c r="A7" s="421" t="s">
        <v>7</v>
      </c>
      <c r="B7" s="421"/>
      <c r="C7" s="138"/>
      <c r="D7" s="138"/>
      <c r="E7" s="138"/>
      <c r="F7" s="138"/>
      <c r="G7" s="138"/>
      <c r="H7" s="138"/>
    </row>
    <row r="8" spans="1:8" ht="18.75" x14ac:dyDescent="0.25">
      <c r="A8" s="138"/>
      <c r="B8" s="138"/>
      <c r="C8" s="138"/>
      <c r="D8" s="138"/>
      <c r="E8" s="138"/>
      <c r="F8" s="138"/>
      <c r="G8" s="138"/>
      <c r="H8" s="138"/>
    </row>
    <row r="9" spans="1:8" x14ac:dyDescent="0.25">
      <c r="A9" s="419" t="str">
        <f>'1. паспорт местоположение'!A9:C9</f>
        <v xml:space="preserve">Акционерное общество "Западная энергетическая компания" </v>
      </c>
      <c r="B9" s="419"/>
      <c r="C9" s="140"/>
      <c r="D9" s="140"/>
      <c r="E9" s="140"/>
      <c r="F9" s="140"/>
      <c r="G9" s="140"/>
      <c r="H9" s="140"/>
    </row>
    <row r="10" spans="1:8" x14ac:dyDescent="0.25">
      <c r="A10" s="425" t="s">
        <v>6</v>
      </c>
      <c r="B10" s="425"/>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19" t="str">
        <f>'1. паспорт местоположение'!A12:C12</f>
        <v>L_21-17</v>
      </c>
      <c r="B12" s="419"/>
      <c r="C12" s="140"/>
      <c r="D12" s="140"/>
      <c r="E12" s="140"/>
      <c r="F12" s="140"/>
      <c r="G12" s="140"/>
      <c r="H12" s="140"/>
    </row>
    <row r="13" spans="1:8" x14ac:dyDescent="0.25">
      <c r="A13" s="425" t="s">
        <v>5</v>
      </c>
      <c r="B13" s="425"/>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4" t="str">
        <f>'1. паспорт местоположение'!A15:C15</f>
        <v>Строительство  электроснабжения жд г.Пионерский, пос.Рыбное (МакроИнвест)</v>
      </c>
      <c r="B15" s="454"/>
      <c r="C15" s="140"/>
      <c r="D15" s="140"/>
      <c r="E15" s="140"/>
      <c r="F15" s="140"/>
      <c r="G15" s="140"/>
      <c r="H15" s="140"/>
    </row>
    <row r="16" spans="1:8" x14ac:dyDescent="0.25">
      <c r="A16" s="425" t="s">
        <v>4</v>
      </c>
      <c r="B16" s="425"/>
      <c r="C16" s="141"/>
      <c r="D16" s="141"/>
      <c r="E16" s="141"/>
      <c r="F16" s="141"/>
      <c r="G16" s="141"/>
      <c r="H16" s="141"/>
    </row>
    <row r="17" spans="1:2" x14ac:dyDescent="0.25">
      <c r="B17" s="75"/>
    </row>
    <row r="18" spans="1:2" ht="33.75" customHeight="1" x14ac:dyDescent="0.25">
      <c r="A18" s="544" t="s">
        <v>407</v>
      </c>
      <c r="B18" s="545"/>
    </row>
    <row r="19" spans="1:2" x14ac:dyDescent="0.25">
      <c r="B19" s="32"/>
    </row>
    <row r="20" spans="1:2" ht="16.5" thickBot="1" x14ac:dyDescent="0.3">
      <c r="B20" s="76"/>
    </row>
    <row r="21" spans="1:2" ht="34.15" customHeight="1" thickBot="1" x14ac:dyDescent="0.3">
      <c r="A21" s="77" t="s">
        <v>304</v>
      </c>
      <c r="B21" s="384" t="str">
        <f>A15</f>
        <v>Строительство  электроснабжения жд г.Пионерский, пос.Рыбное (МакроИнвест)</v>
      </c>
    </row>
    <row r="22" spans="1:2" ht="30" customHeight="1" thickBot="1" x14ac:dyDescent="0.3">
      <c r="A22" s="77" t="s">
        <v>305</v>
      </c>
      <c r="B22" s="78" t="str">
        <f>'1. паспорт местоположение'!C27</f>
        <v xml:space="preserve">п. п.Рыбное </v>
      </c>
    </row>
    <row r="23" spans="1:2" ht="16.5" thickBot="1" x14ac:dyDescent="0.3">
      <c r="A23" s="77" t="s">
        <v>289</v>
      </c>
      <c r="B23" s="79" t="s">
        <v>628</v>
      </c>
    </row>
    <row r="24" spans="1:2" ht="16.5" thickBot="1" x14ac:dyDescent="0.3">
      <c r="A24" s="77" t="s">
        <v>306</v>
      </c>
      <c r="B24" s="79">
        <f>'6.2. Паспорт фин осв ввод'!D45</f>
        <v>0</v>
      </c>
    </row>
    <row r="25" spans="1:2" ht="16.5" thickBot="1" x14ac:dyDescent="0.3">
      <c r="A25" s="80" t="s">
        <v>307</v>
      </c>
      <c r="B25" s="389">
        <f>'6.1. Паспорт сетевой график'!H53</f>
        <v>44561</v>
      </c>
    </row>
    <row r="26" spans="1:2" ht="16.5" thickBot="1" x14ac:dyDescent="0.3">
      <c r="A26" s="81" t="s">
        <v>308</v>
      </c>
      <c r="B26" s="385" t="s">
        <v>629</v>
      </c>
    </row>
    <row r="27" spans="1:2" ht="29.25" thickBot="1" x14ac:dyDescent="0.3">
      <c r="A27" s="88" t="s">
        <v>612</v>
      </c>
      <c r="B27" s="386">
        <f>'6.2. Паспорт фин осв ввод'!D24</f>
        <v>0.02</v>
      </c>
    </row>
    <row r="28" spans="1:2" ht="42" customHeight="1" thickBot="1" x14ac:dyDescent="0.3">
      <c r="A28" s="83" t="s">
        <v>309</v>
      </c>
      <c r="B28" s="83" t="s">
        <v>630</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44499</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625</v>
      </c>
    </row>
    <row r="137" spans="1:2" ht="28.5" customHeight="1" x14ac:dyDescent="0.25">
      <c r="A137" s="82" t="s">
        <v>345</v>
      </c>
      <c r="B137" s="546" t="s">
        <v>542</v>
      </c>
    </row>
    <row r="138" spans="1:2" x14ac:dyDescent="0.25">
      <c r="A138" s="86" t="s">
        <v>346</v>
      </c>
      <c r="B138" s="547"/>
    </row>
    <row r="139" spans="1:2" x14ac:dyDescent="0.25">
      <c r="A139" s="86" t="s">
        <v>347</v>
      </c>
      <c r="B139" s="547"/>
    </row>
    <row r="140" spans="1:2" x14ac:dyDescent="0.25">
      <c r="A140" s="86" t="s">
        <v>348</v>
      </c>
      <c r="B140" s="547"/>
    </row>
    <row r="141" spans="1:2" x14ac:dyDescent="0.25">
      <c r="A141" s="86" t="s">
        <v>349</v>
      </c>
      <c r="B141" s="547"/>
    </row>
    <row r="142" spans="1:2" ht="16.5" thickBot="1" x14ac:dyDescent="0.3">
      <c r="A142" s="96" t="s">
        <v>350</v>
      </c>
      <c r="B142" s="548"/>
    </row>
    <row r="145" spans="1:2" x14ac:dyDescent="0.25">
      <c r="A145" s="97"/>
      <c r="B145" s="98"/>
    </row>
    <row r="146" spans="1:2" x14ac:dyDescent="0.25">
      <c r="B146" s="99"/>
    </row>
    <row r="147" spans="1:2" x14ac:dyDescent="0.25">
      <c r="B147" s="100"/>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tabSelected="1" view="pageBreakPreview" topLeftCell="A19" zoomScale="70" zoomScaleSheetLayoutView="70" workbookViewId="0">
      <selection activeCell="J22" sqref="J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row>
    <row r="5" spans="1:28" s="17" customFormat="1" ht="15.75" x14ac:dyDescent="0.2">
      <c r="A5" s="135"/>
    </row>
    <row r="6" spans="1:28" s="17" customFormat="1" ht="18.75" x14ac:dyDescent="0.2">
      <c r="A6" s="421" t="s">
        <v>7</v>
      </c>
      <c r="B6" s="421"/>
      <c r="C6" s="421"/>
      <c r="D6" s="421"/>
      <c r="E6" s="421"/>
      <c r="F6" s="421"/>
      <c r="G6" s="421"/>
      <c r="H6" s="421"/>
      <c r="I6" s="421"/>
      <c r="J6" s="421"/>
      <c r="K6" s="421"/>
      <c r="L6" s="421"/>
      <c r="M6" s="421"/>
      <c r="N6" s="421"/>
      <c r="O6" s="421"/>
      <c r="P6" s="421"/>
      <c r="Q6" s="421"/>
      <c r="R6" s="421"/>
      <c r="S6" s="421"/>
      <c r="T6" s="138"/>
      <c r="U6" s="138"/>
      <c r="V6" s="138"/>
      <c r="W6" s="138"/>
      <c r="X6" s="138"/>
      <c r="Y6" s="138"/>
      <c r="Z6" s="138"/>
      <c r="AA6" s="138"/>
      <c r="AB6" s="138"/>
    </row>
    <row r="7" spans="1:28" s="17" customFormat="1" ht="18.75" x14ac:dyDescent="0.2">
      <c r="A7" s="421"/>
      <c r="B7" s="421"/>
      <c r="C7" s="421"/>
      <c r="D7" s="421"/>
      <c r="E7" s="421"/>
      <c r="F7" s="421"/>
      <c r="G7" s="421"/>
      <c r="H7" s="421"/>
      <c r="I7" s="421"/>
      <c r="J7" s="421"/>
      <c r="K7" s="421"/>
      <c r="L7" s="421"/>
      <c r="M7" s="421"/>
      <c r="N7" s="421"/>
      <c r="O7" s="421"/>
      <c r="P7" s="421"/>
      <c r="Q7" s="421"/>
      <c r="R7" s="421"/>
      <c r="S7" s="421"/>
      <c r="T7" s="138"/>
      <c r="U7" s="138"/>
      <c r="V7" s="138"/>
      <c r="W7" s="138"/>
      <c r="X7" s="138"/>
      <c r="Y7" s="138"/>
      <c r="Z7" s="138"/>
      <c r="AA7" s="138"/>
      <c r="AB7" s="138"/>
    </row>
    <row r="8" spans="1:28" s="17" customFormat="1" ht="18.75" x14ac:dyDescent="0.2">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138"/>
      <c r="U8" s="138"/>
      <c r="V8" s="138"/>
      <c r="W8" s="138"/>
      <c r="X8" s="138"/>
      <c r="Y8" s="138"/>
      <c r="Z8" s="138"/>
      <c r="AA8" s="138"/>
      <c r="AB8" s="138"/>
    </row>
    <row r="9" spans="1:28" s="17" customFormat="1" ht="18.75" x14ac:dyDescent="0.2">
      <c r="A9" s="425" t="s">
        <v>6</v>
      </c>
      <c r="B9" s="425"/>
      <c r="C9" s="425"/>
      <c r="D9" s="425"/>
      <c r="E9" s="425"/>
      <c r="F9" s="425"/>
      <c r="G9" s="425"/>
      <c r="H9" s="425"/>
      <c r="I9" s="425"/>
      <c r="J9" s="425"/>
      <c r="K9" s="425"/>
      <c r="L9" s="425"/>
      <c r="M9" s="425"/>
      <c r="N9" s="425"/>
      <c r="O9" s="425"/>
      <c r="P9" s="425"/>
      <c r="Q9" s="425"/>
      <c r="R9" s="425"/>
      <c r="S9" s="425"/>
      <c r="T9" s="138"/>
      <c r="U9" s="138"/>
      <c r="V9" s="138"/>
      <c r="W9" s="138"/>
      <c r="X9" s="138"/>
      <c r="Y9" s="138"/>
      <c r="Z9" s="138"/>
      <c r="AA9" s="138"/>
      <c r="AB9" s="138"/>
    </row>
    <row r="10" spans="1:28" s="17" customFormat="1" ht="18.75" x14ac:dyDescent="0.2">
      <c r="A10" s="421"/>
      <c r="B10" s="421"/>
      <c r="C10" s="421"/>
      <c r="D10" s="421"/>
      <c r="E10" s="421"/>
      <c r="F10" s="421"/>
      <c r="G10" s="421"/>
      <c r="H10" s="421"/>
      <c r="I10" s="421"/>
      <c r="J10" s="421"/>
      <c r="K10" s="421"/>
      <c r="L10" s="421"/>
      <c r="M10" s="421"/>
      <c r="N10" s="421"/>
      <c r="O10" s="421"/>
      <c r="P10" s="421"/>
      <c r="Q10" s="421"/>
      <c r="R10" s="421"/>
      <c r="S10" s="421"/>
      <c r="T10" s="138"/>
      <c r="U10" s="138"/>
      <c r="V10" s="138"/>
      <c r="W10" s="138"/>
      <c r="X10" s="138"/>
      <c r="Y10" s="138"/>
      <c r="Z10" s="138"/>
      <c r="AA10" s="138"/>
      <c r="AB10" s="138"/>
    </row>
    <row r="11" spans="1:28" s="17" customFormat="1" ht="18.75" x14ac:dyDescent="0.2">
      <c r="A11" s="426" t="str">
        <f>'1. паспорт местоположение'!A12:C12</f>
        <v>L_21-17</v>
      </c>
      <c r="B11" s="426"/>
      <c r="C11" s="426"/>
      <c r="D11" s="426"/>
      <c r="E11" s="426"/>
      <c r="F11" s="426"/>
      <c r="G11" s="426"/>
      <c r="H11" s="426"/>
      <c r="I11" s="426"/>
      <c r="J11" s="426"/>
      <c r="K11" s="426"/>
      <c r="L11" s="426"/>
      <c r="M11" s="426"/>
      <c r="N11" s="426"/>
      <c r="O11" s="426"/>
      <c r="P11" s="426"/>
      <c r="Q11" s="426"/>
      <c r="R11" s="426"/>
      <c r="S11" s="426"/>
      <c r="T11" s="138"/>
      <c r="U11" s="138"/>
      <c r="V11" s="138"/>
      <c r="W11" s="138"/>
      <c r="X11" s="138"/>
      <c r="Y11" s="138"/>
      <c r="Z11" s="138"/>
      <c r="AA11" s="138"/>
      <c r="AB11" s="138"/>
    </row>
    <row r="12" spans="1:28" s="17" customFormat="1" ht="18.75" x14ac:dyDescent="0.2">
      <c r="A12" s="425" t="s">
        <v>5</v>
      </c>
      <c r="B12" s="425"/>
      <c r="C12" s="425"/>
      <c r="D12" s="425"/>
      <c r="E12" s="425"/>
      <c r="F12" s="425"/>
      <c r="G12" s="425"/>
      <c r="H12" s="425"/>
      <c r="I12" s="425"/>
      <c r="J12" s="425"/>
      <c r="K12" s="425"/>
      <c r="L12" s="425"/>
      <c r="M12" s="425"/>
      <c r="N12" s="425"/>
      <c r="O12" s="425"/>
      <c r="P12" s="425"/>
      <c r="Q12" s="425"/>
      <c r="R12" s="425"/>
      <c r="S12" s="425"/>
      <c r="T12" s="138"/>
      <c r="U12" s="138"/>
      <c r="V12" s="138"/>
      <c r="W12" s="138"/>
      <c r="X12" s="138"/>
      <c r="Y12" s="138"/>
      <c r="Z12" s="138"/>
      <c r="AA12" s="138"/>
      <c r="AB12" s="138"/>
    </row>
    <row r="13" spans="1:28" s="136"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139"/>
      <c r="U13" s="139"/>
      <c r="V13" s="139"/>
      <c r="W13" s="139"/>
      <c r="X13" s="139"/>
      <c r="Y13" s="139"/>
      <c r="Z13" s="139"/>
      <c r="AA13" s="139"/>
      <c r="AB13" s="139"/>
    </row>
    <row r="14" spans="1:28" s="137" customFormat="1" ht="15.75" x14ac:dyDescent="0.2">
      <c r="A14" s="419" t="str">
        <f>'1. паспорт местоположение'!A15:C15</f>
        <v>Строительство  электроснабжения жд г.Пионерский, пос.Рыбное (МакроИнвест)</v>
      </c>
      <c r="B14" s="419"/>
      <c r="C14" s="419"/>
      <c r="D14" s="419"/>
      <c r="E14" s="419"/>
      <c r="F14" s="419"/>
      <c r="G14" s="419"/>
      <c r="H14" s="419"/>
      <c r="I14" s="419"/>
      <c r="J14" s="419"/>
      <c r="K14" s="419"/>
      <c r="L14" s="419"/>
      <c r="M14" s="419"/>
      <c r="N14" s="419"/>
      <c r="O14" s="419"/>
      <c r="P14" s="419"/>
      <c r="Q14" s="419"/>
      <c r="R14" s="419"/>
      <c r="S14" s="419"/>
      <c r="T14" s="140"/>
      <c r="U14" s="140"/>
      <c r="V14" s="140"/>
      <c r="W14" s="140"/>
      <c r="X14" s="140"/>
      <c r="Y14" s="140"/>
      <c r="Z14" s="140"/>
      <c r="AA14" s="140"/>
      <c r="AB14" s="140"/>
    </row>
    <row r="15" spans="1:28" s="137" customFormat="1" ht="15" customHeight="1" x14ac:dyDescent="0.2">
      <c r="A15" s="425" t="s">
        <v>4</v>
      </c>
      <c r="B15" s="425"/>
      <c r="C15" s="425"/>
      <c r="D15" s="425"/>
      <c r="E15" s="425"/>
      <c r="F15" s="425"/>
      <c r="G15" s="425"/>
      <c r="H15" s="425"/>
      <c r="I15" s="425"/>
      <c r="J15" s="425"/>
      <c r="K15" s="425"/>
      <c r="L15" s="425"/>
      <c r="M15" s="425"/>
      <c r="N15" s="425"/>
      <c r="O15" s="425"/>
      <c r="P15" s="425"/>
      <c r="Q15" s="425"/>
      <c r="R15" s="425"/>
      <c r="S15" s="425"/>
      <c r="T15" s="141"/>
      <c r="U15" s="141"/>
      <c r="V15" s="141"/>
      <c r="W15" s="141"/>
      <c r="X15" s="141"/>
      <c r="Y15" s="141"/>
      <c r="Z15" s="141"/>
      <c r="AA15" s="141"/>
      <c r="AB15" s="141"/>
    </row>
    <row r="16" spans="1:28" s="137"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142"/>
      <c r="U16" s="142"/>
      <c r="V16" s="142"/>
      <c r="W16" s="142"/>
      <c r="X16" s="142"/>
      <c r="Y16" s="142"/>
    </row>
    <row r="17" spans="1:28" s="137" customFormat="1" ht="45.75" customHeight="1" x14ac:dyDescent="0.2">
      <c r="A17" s="429" t="s">
        <v>382</v>
      </c>
      <c r="B17" s="429"/>
      <c r="C17" s="429"/>
      <c r="D17" s="429"/>
      <c r="E17" s="429"/>
      <c r="F17" s="429"/>
      <c r="G17" s="429"/>
      <c r="H17" s="429"/>
      <c r="I17" s="429"/>
      <c r="J17" s="429"/>
      <c r="K17" s="429"/>
      <c r="L17" s="429"/>
      <c r="M17" s="429"/>
      <c r="N17" s="429"/>
      <c r="O17" s="429"/>
      <c r="P17" s="429"/>
      <c r="Q17" s="429"/>
      <c r="R17" s="429"/>
      <c r="S17" s="429"/>
      <c r="T17" s="143"/>
      <c r="U17" s="143"/>
      <c r="V17" s="143"/>
      <c r="W17" s="143"/>
      <c r="X17" s="143"/>
      <c r="Y17" s="143"/>
      <c r="Z17" s="143"/>
      <c r="AA17" s="143"/>
      <c r="AB17" s="143"/>
    </row>
    <row r="18" spans="1:28" s="137"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142"/>
      <c r="U18" s="142"/>
      <c r="V18" s="142"/>
      <c r="W18" s="142"/>
      <c r="X18" s="142"/>
      <c r="Y18" s="142"/>
    </row>
    <row r="19" spans="1:28" s="137" customFormat="1" ht="54" customHeight="1" x14ac:dyDescent="0.2">
      <c r="A19" s="420" t="s">
        <v>3</v>
      </c>
      <c r="B19" s="420" t="s">
        <v>94</v>
      </c>
      <c r="C19" s="422" t="s">
        <v>303</v>
      </c>
      <c r="D19" s="420" t="s">
        <v>302</v>
      </c>
      <c r="E19" s="420" t="s">
        <v>93</v>
      </c>
      <c r="F19" s="420" t="s">
        <v>92</v>
      </c>
      <c r="G19" s="420" t="s">
        <v>298</v>
      </c>
      <c r="H19" s="420" t="s">
        <v>91</v>
      </c>
      <c r="I19" s="420" t="s">
        <v>90</v>
      </c>
      <c r="J19" s="420" t="s">
        <v>89</v>
      </c>
      <c r="K19" s="420" t="s">
        <v>88</v>
      </c>
      <c r="L19" s="420" t="s">
        <v>87</v>
      </c>
      <c r="M19" s="420" t="s">
        <v>86</v>
      </c>
      <c r="N19" s="420" t="s">
        <v>85</v>
      </c>
      <c r="O19" s="420" t="s">
        <v>84</v>
      </c>
      <c r="P19" s="420" t="s">
        <v>83</v>
      </c>
      <c r="Q19" s="420" t="s">
        <v>301</v>
      </c>
      <c r="R19" s="420"/>
      <c r="S19" s="424" t="s">
        <v>376</v>
      </c>
      <c r="T19" s="142"/>
      <c r="U19" s="142"/>
      <c r="V19" s="142"/>
      <c r="W19" s="142"/>
      <c r="X19" s="142"/>
      <c r="Y19" s="142"/>
    </row>
    <row r="20" spans="1:28" s="137" customFormat="1" ht="180.75" customHeight="1" x14ac:dyDescent="0.2">
      <c r="A20" s="420"/>
      <c r="B20" s="420"/>
      <c r="C20" s="423"/>
      <c r="D20" s="420"/>
      <c r="E20" s="420"/>
      <c r="F20" s="420"/>
      <c r="G20" s="420"/>
      <c r="H20" s="420"/>
      <c r="I20" s="420"/>
      <c r="J20" s="420"/>
      <c r="K20" s="420"/>
      <c r="L20" s="420"/>
      <c r="M20" s="420"/>
      <c r="N20" s="420"/>
      <c r="O20" s="420"/>
      <c r="P20" s="420"/>
      <c r="Q20" s="144" t="s">
        <v>299</v>
      </c>
      <c r="R20" s="145" t="s">
        <v>300</v>
      </c>
      <c r="S20" s="424"/>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636</v>
      </c>
      <c r="C22" s="230" t="s">
        <v>626</v>
      </c>
      <c r="D22" s="230" t="s">
        <v>622</v>
      </c>
      <c r="E22" s="230" t="s">
        <v>637</v>
      </c>
      <c r="F22" s="230" t="s">
        <v>537</v>
      </c>
      <c r="G22" s="230" t="s">
        <v>638</v>
      </c>
      <c r="H22" s="409">
        <v>0.45200000000000001</v>
      </c>
      <c r="I22" s="230">
        <v>0</v>
      </c>
      <c r="J22" s="409">
        <f>H22</f>
        <v>0.45200000000000001</v>
      </c>
      <c r="K22" s="230" t="s">
        <v>623</v>
      </c>
      <c r="L22" s="230">
        <v>3</v>
      </c>
      <c r="M22" s="230"/>
      <c r="N22" s="230"/>
      <c r="O22" s="230" t="s">
        <v>537</v>
      </c>
      <c r="P22" s="230" t="s">
        <v>537</v>
      </c>
      <c r="Q22" s="378" t="s">
        <v>639</v>
      </c>
      <c r="R22" s="231" t="s">
        <v>537</v>
      </c>
      <c r="S22" s="407">
        <v>15.295609000000001</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7"/>
  <sheetViews>
    <sheetView view="pageBreakPreview" topLeftCell="A17" zoomScale="80" zoomScaleNormal="60" zoomScaleSheetLayoutView="80" workbookViewId="0">
      <selection activeCell="Q28" sqref="Q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4" t="str">
        <f>'1. паспорт местоположение'!A5:C5</f>
        <v>Год раскрытия информации: 2022 год</v>
      </c>
      <c r="B6" s="414"/>
      <c r="C6" s="414"/>
      <c r="D6" s="414"/>
      <c r="E6" s="414"/>
      <c r="F6" s="414"/>
      <c r="G6" s="414"/>
      <c r="H6" s="414"/>
      <c r="I6" s="414"/>
      <c r="J6" s="414"/>
      <c r="K6" s="414"/>
      <c r="L6" s="414"/>
      <c r="M6" s="414"/>
      <c r="N6" s="414"/>
      <c r="O6" s="414"/>
      <c r="P6" s="414"/>
      <c r="Q6" s="414"/>
      <c r="R6" s="414"/>
      <c r="S6" s="414"/>
      <c r="T6" s="414"/>
    </row>
    <row r="7" spans="1:20" s="17" customFormat="1" x14ac:dyDescent="0.2">
      <c r="A7" s="135"/>
      <c r="H7" s="134"/>
    </row>
    <row r="8" spans="1:20" s="17" customFormat="1" ht="18.75" x14ac:dyDescent="0.2">
      <c r="A8" s="421" t="s">
        <v>7</v>
      </c>
      <c r="B8" s="421"/>
      <c r="C8" s="421"/>
      <c r="D8" s="421"/>
      <c r="E8" s="421"/>
      <c r="F8" s="421"/>
      <c r="G8" s="421"/>
      <c r="H8" s="421"/>
      <c r="I8" s="421"/>
      <c r="J8" s="421"/>
      <c r="K8" s="421"/>
      <c r="L8" s="421"/>
      <c r="M8" s="421"/>
      <c r="N8" s="421"/>
      <c r="O8" s="421"/>
      <c r="P8" s="421"/>
      <c r="Q8" s="421"/>
      <c r="R8" s="421"/>
      <c r="S8" s="421"/>
      <c r="T8" s="421"/>
    </row>
    <row r="9" spans="1:20" s="17"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7" customFormat="1" ht="18.75" customHeight="1" x14ac:dyDescent="0.2">
      <c r="A10" s="419" t="str">
        <f>'1. паспорт местоположение'!A9:C9</f>
        <v xml:space="preserve">Акционерное общество "Западная энергетическая компания" </v>
      </c>
      <c r="B10" s="419"/>
      <c r="C10" s="419"/>
      <c r="D10" s="419"/>
      <c r="E10" s="419"/>
      <c r="F10" s="419"/>
      <c r="G10" s="419"/>
      <c r="H10" s="419"/>
      <c r="I10" s="419"/>
      <c r="J10" s="419"/>
      <c r="K10" s="419"/>
      <c r="L10" s="419"/>
      <c r="M10" s="419"/>
      <c r="N10" s="419"/>
      <c r="O10" s="419"/>
      <c r="P10" s="419"/>
      <c r="Q10" s="419"/>
      <c r="R10" s="419"/>
      <c r="S10" s="419"/>
      <c r="T10" s="419"/>
    </row>
    <row r="11" spans="1:20" s="17" customFormat="1" ht="18.75" customHeight="1" x14ac:dyDescent="0.2">
      <c r="A11" s="425" t="s">
        <v>6</v>
      </c>
      <c r="B11" s="425"/>
      <c r="C11" s="425"/>
      <c r="D11" s="425"/>
      <c r="E11" s="425"/>
      <c r="F11" s="425"/>
      <c r="G11" s="425"/>
      <c r="H11" s="425"/>
      <c r="I11" s="425"/>
      <c r="J11" s="425"/>
      <c r="K11" s="425"/>
      <c r="L11" s="425"/>
      <c r="M11" s="425"/>
      <c r="N11" s="425"/>
      <c r="O11" s="425"/>
      <c r="P11" s="425"/>
      <c r="Q11" s="425"/>
      <c r="R11" s="425"/>
      <c r="S11" s="425"/>
      <c r="T11" s="425"/>
    </row>
    <row r="12" spans="1:20" s="17"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7" customFormat="1" ht="18.75" customHeight="1" x14ac:dyDescent="0.2">
      <c r="A13" s="426" t="str">
        <f>'1. паспорт местоположение'!A12:C12</f>
        <v>L_21-17</v>
      </c>
      <c r="B13" s="426"/>
      <c r="C13" s="426"/>
      <c r="D13" s="426"/>
      <c r="E13" s="426"/>
      <c r="F13" s="426"/>
      <c r="G13" s="426"/>
      <c r="H13" s="426"/>
      <c r="I13" s="426"/>
      <c r="J13" s="426"/>
      <c r="K13" s="426"/>
      <c r="L13" s="426"/>
      <c r="M13" s="426"/>
      <c r="N13" s="426"/>
      <c r="O13" s="426"/>
      <c r="P13" s="426"/>
      <c r="Q13" s="426"/>
      <c r="R13" s="426"/>
      <c r="S13" s="426"/>
      <c r="T13" s="426"/>
    </row>
    <row r="14" spans="1:20" s="17" customFormat="1" ht="18.75" customHeight="1" x14ac:dyDescent="0.2">
      <c r="A14" s="425" t="s">
        <v>5</v>
      </c>
      <c r="B14" s="425"/>
      <c r="C14" s="425"/>
      <c r="D14" s="425"/>
      <c r="E14" s="425"/>
      <c r="F14" s="425"/>
      <c r="G14" s="425"/>
      <c r="H14" s="425"/>
      <c r="I14" s="425"/>
      <c r="J14" s="425"/>
      <c r="K14" s="425"/>
      <c r="L14" s="425"/>
      <c r="M14" s="425"/>
      <c r="N14" s="425"/>
      <c r="O14" s="425"/>
      <c r="P14" s="425"/>
      <c r="Q14" s="425"/>
      <c r="R14" s="425"/>
      <c r="S14" s="425"/>
      <c r="T14" s="425"/>
    </row>
    <row r="15" spans="1:20" s="136"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137" customFormat="1" x14ac:dyDescent="0.2">
      <c r="A16" s="419" t="str">
        <f>'1. паспорт местоположение'!A15:C15</f>
        <v>Строительство  электроснабжения жд г.Пионерский, пос.Рыбное (МакроИнвест)</v>
      </c>
      <c r="B16" s="419"/>
      <c r="C16" s="419"/>
      <c r="D16" s="419"/>
      <c r="E16" s="419"/>
      <c r="F16" s="419"/>
      <c r="G16" s="419"/>
      <c r="H16" s="419"/>
      <c r="I16" s="419"/>
      <c r="J16" s="419"/>
      <c r="K16" s="419"/>
      <c r="L16" s="419"/>
      <c r="M16" s="419"/>
      <c r="N16" s="419"/>
      <c r="O16" s="419"/>
      <c r="P16" s="419"/>
      <c r="Q16" s="419"/>
      <c r="R16" s="419"/>
      <c r="S16" s="419"/>
      <c r="T16" s="419"/>
    </row>
    <row r="17" spans="1:20" s="137" customFormat="1" ht="15" customHeight="1" x14ac:dyDescent="0.2">
      <c r="A17" s="425" t="s">
        <v>4</v>
      </c>
      <c r="B17" s="425"/>
      <c r="C17" s="425"/>
      <c r="D17" s="425"/>
      <c r="E17" s="425"/>
      <c r="F17" s="425"/>
      <c r="G17" s="425"/>
      <c r="H17" s="425"/>
      <c r="I17" s="425"/>
      <c r="J17" s="425"/>
      <c r="K17" s="425"/>
      <c r="L17" s="425"/>
      <c r="M17" s="425"/>
      <c r="N17" s="425"/>
      <c r="O17" s="425"/>
      <c r="P17" s="425"/>
      <c r="Q17" s="425"/>
      <c r="R17" s="425"/>
      <c r="S17" s="425"/>
      <c r="T17" s="425"/>
    </row>
    <row r="18" spans="1:20" s="137"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28"/>
    </row>
    <row r="19" spans="1:20" s="137" customFormat="1" ht="15" customHeight="1" x14ac:dyDescent="0.2">
      <c r="A19" s="445" t="s">
        <v>387</v>
      </c>
      <c r="B19" s="445"/>
      <c r="C19" s="445"/>
      <c r="D19" s="445"/>
      <c r="E19" s="445"/>
      <c r="F19" s="445"/>
      <c r="G19" s="445"/>
      <c r="H19" s="445"/>
      <c r="I19" s="445"/>
      <c r="J19" s="445"/>
      <c r="K19" s="445"/>
      <c r="L19" s="445"/>
      <c r="M19" s="445"/>
      <c r="N19" s="445"/>
      <c r="O19" s="445"/>
      <c r="P19" s="445"/>
      <c r="Q19" s="445"/>
      <c r="R19" s="445"/>
      <c r="S19" s="445"/>
      <c r="T19" s="445"/>
    </row>
    <row r="20" spans="1:20" s="41" customFormat="1" ht="21" customHeight="1" x14ac:dyDescent="0.25">
      <c r="A20" s="446"/>
      <c r="B20" s="446"/>
      <c r="C20" s="446"/>
      <c r="D20" s="446"/>
      <c r="E20" s="446"/>
      <c r="F20" s="446"/>
      <c r="G20" s="446"/>
      <c r="H20" s="446"/>
      <c r="I20" s="446"/>
      <c r="J20" s="446"/>
      <c r="K20" s="446"/>
      <c r="L20" s="446"/>
      <c r="M20" s="446"/>
      <c r="N20" s="446"/>
      <c r="O20" s="446"/>
      <c r="P20" s="446"/>
      <c r="Q20" s="446"/>
      <c r="R20" s="446"/>
      <c r="S20" s="446"/>
      <c r="T20" s="446"/>
    </row>
    <row r="21" spans="1:20" ht="46.5" customHeight="1" x14ac:dyDescent="0.25">
      <c r="A21" s="439" t="s">
        <v>3</v>
      </c>
      <c r="B21" s="432" t="s">
        <v>200</v>
      </c>
      <c r="C21" s="433"/>
      <c r="D21" s="436" t="s">
        <v>116</v>
      </c>
      <c r="E21" s="432" t="s">
        <v>415</v>
      </c>
      <c r="F21" s="433"/>
      <c r="G21" s="432" t="s">
        <v>239</v>
      </c>
      <c r="H21" s="433"/>
      <c r="I21" s="432" t="s">
        <v>115</v>
      </c>
      <c r="J21" s="433"/>
      <c r="K21" s="436" t="s">
        <v>114</v>
      </c>
      <c r="L21" s="432" t="s">
        <v>113</v>
      </c>
      <c r="M21" s="433"/>
      <c r="N21" s="432" t="s">
        <v>441</v>
      </c>
      <c r="O21" s="433"/>
      <c r="P21" s="436" t="s">
        <v>112</v>
      </c>
      <c r="Q21" s="442" t="s">
        <v>111</v>
      </c>
      <c r="R21" s="443"/>
      <c r="S21" s="442" t="s">
        <v>110</v>
      </c>
      <c r="T21" s="444"/>
    </row>
    <row r="22" spans="1:20" ht="204.75" customHeight="1" x14ac:dyDescent="0.25">
      <c r="A22" s="440"/>
      <c r="B22" s="434"/>
      <c r="C22" s="435"/>
      <c r="D22" s="438"/>
      <c r="E22" s="434"/>
      <c r="F22" s="435"/>
      <c r="G22" s="434"/>
      <c r="H22" s="435"/>
      <c r="I22" s="434"/>
      <c r="J22" s="435"/>
      <c r="K22" s="437"/>
      <c r="L22" s="434"/>
      <c r="M22" s="435"/>
      <c r="N22" s="434"/>
      <c r="O22" s="435"/>
      <c r="P22" s="437"/>
      <c r="Q22" s="72" t="s">
        <v>109</v>
      </c>
      <c r="R22" s="72" t="s">
        <v>386</v>
      </c>
      <c r="S22" s="72" t="s">
        <v>108</v>
      </c>
      <c r="T22" s="72" t="s">
        <v>107</v>
      </c>
    </row>
    <row r="23" spans="1:20" ht="51.75" customHeight="1" x14ac:dyDescent="0.25">
      <c r="A23" s="441"/>
      <c r="B23" s="104" t="s">
        <v>105</v>
      </c>
      <c r="C23" s="104" t="s">
        <v>106</v>
      </c>
      <c r="D23" s="437"/>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0" customFormat="1" x14ac:dyDescent="0.2">
      <c r="A25" s="380"/>
      <c r="B25" s="380"/>
      <c r="C25" s="380" t="s">
        <v>640</v>
      </c>
      <c r="D25" s="380" t="s">
        <v>641</v>
      </c>
      <c r="E25" s="382"/>
      <c r="F25" s="382" t="s">
        <v>642</v>
      </c>
      <c r="G25" s="382"/>
      <c r="H25" s="382" t="s">
        <v>643</v>
      </c>
      <c r="I25" s="382"/>
      <c r="J25" s="382">
        <v>2021</v>
      </c>
      <c r="K25" s="382"/>
      <c r="L25" s="382"/>
      <c r="M25" s="381" t="s">
        <v>368</v>
      </c>
      <c r="N25" s="382"/>
      <c r="O25" s="382">
        <v>0.63</v>
      </c>
      <c r="P25" s="382"/>
      <c r="Q25" s="382"/>
      <c r="R25" s="382"/>
      <c r="S25" s="382"/>
      <c r="T25" s="382"/>
    </row>
    <row r="26" spans="1:20" s="40" customFormat="1" x14ac:dyDescent="0.2">
      <c r="A26" s="380"/>
      <c r="B26" s="380"/>
      <c r="C26" s="380"/>
      <c r="D26" s="380"/>
      <c r="E26" s="382"/>
      <c r="F26" s="382"/>
      <c r="G26" s="382"/>
      <c r="H26" s="382"/>
      <c r="I26" s="382"/>
      <c r="J26" s="382"/>
      <c r="K26" s="382"/>
      <c r="L26" s="382"/>
      <c r="M26" s="381"/>
      <c r="N26" s="382"/>
      <c r="O26" s="382"/>
      <c r="P26" s="382"/>
      <c r="Q26" s="382"/>
      <c r="R26" s="382"/>
      <c r="S26" s="382"/>
      <c r="T26" s="382"/>
    </row>
    <row r="27" spans="1:20" s="40" customFormat="1" x14ac:dyDescent="0.2">
      <c r="A27" s="380"/>
      <c r="B27" s="380"/>
      <c r="C27" s="380"/>
      <c r="D27" s="380"/>
      <c r="E27" s="382"/>
      <c r="F27" s="382"/>
      <c r="G27" s="382"/>
      <c r="H27" s="382"/>
      <c r="I27" s="382"/>
      <c r="J27" s="382"/>
      <c r="K27" s="382"/>
      <c r="L27" s="382"/>
      <c r="M27" s="381"/>
      <c r="N27" s="382"/>
      <c r="O27" s="382"/>
      <c r="P27" s="382"/>
      <c r="Q27" s="382"/>
      <c r="R27" s="382"/>
      <c r="S27" s="382"/>
      <c r="T27" s="382"/>
    </row>
    <row r="28" spans="1:20" s="40" customFormat="1" x14ac:dyDescent="0.2">
      <c r="A28" s="380"/>
      <c r="B28" s="380"/>
      <c r="C28" s="380"/>
      <c r="D28" s="380"/>
      <c r="E28" s="382"/>
      <c r="F28" s="382"/>
      <c r="G28" s="382"/>
      <c r="H28" s="382"/>
      <c r="I28" s="382"/>
      <c r="J28" s="382"/>
      <c r="K28" s="382"/>
      <c r="L28" s="382"/>
      <c r="M28" s="381"/>
      <c r="N28" s="382"/>
      <c r="O28" s="382"/>
      <c r="P28" s="382"/>
      <c r="Q28" s="382"/>
      <c r="R28" s="382"/>
      <c r="S28" s="382"/>
      <c r="T28" s="382"/>
    </row>
    <row r="29" spans="1:20" s="40" customFormat="1" ht="12.75" x14ac:dyDescent="0.2"/>
    <row r="30" spans="1:20" s="40" customFormat="1" ht="12.75" x14ac:dyDescent="0.2"/>
    <row r="31" spans="1:20" s="40" customFormat="1" ht="12.75" x14ac:dyDescent="0.2"/>
    <row r="32" spans="1:20" s="40" customFormat="1" ht="12.75" x14ac:dyDescent="0.2"/>
    <row r="33" spans="2:113" s="40" customFormat="1" ht="12.75" x14ac:dyDescent="0.2"/>
    <row r="34" spans="2:113" s="40" customFormat="1" ht="12.75" x14ac:dyDescent="0.2"/>
    <row r="35" spans="2:113" s="40" customFormat="1" ht="12.75" x14ac:dyDescent="0.2"/>
    <row r="36" spans="2:113" s="40" customFormat="1" ht="12.75" x14ac:dyDescent="0.2"/>
    <row r="37" spans="2:113" s="40" customFormat="1" ht="12.75" x14ac:dyDescent="0.2"/>
    <row r="38" spans="2:113" s="40" customFormat="1" ht="12.75" x14ac:dyDescent="0.2"/>
    <row r="39" spans="2:113" s="40" customFormat="1" ht="12.75" x14ac:dyDescent="0.2"/>
    <row r="40" spans="2:113" s="40" customFormat="1" ht="12.75" x14ac:dyDescent="0.2"/>
    <row r="41" spans="2:113" s="40" customFormat="1" ht="12.75" x14ac:dyDescent="0.2"/>
    <row r="42" spans="2:113" s="40" customFormat="1" ht="12.75" x14ac:dyDescent="0.2"/>
    <row r="43" spans="2:113" s="40" customFormat="1" x14ac:dyDescent="0.25">
      <c r="B43" s="38" t="s">
        <v>104</v>
      </c>
      <c r="C43" s="38"/>
      <c r="D43" s="38"/>
      <c r="E43" s="38"/>
      <c r="F43" s="38"/>
      <c r="G43" s="38"/>
      <c r="H43" s="38"/>
      <c r="I43" s="38"/>
      <c r="J43" s="38"/>
      <c r="K43" s="38"/>
      <c r="L43" s="38"/>
      <c r="M43" s="38"/>
      <c r="N43" s="38"/>
      <c r="O43" s="38"/>
      <c r="P43" s="38"/>
      <c r="Q43" s="38"/>
      <c r="R43" s="38"/>
    </row>
    <row r="44" spans="2:113" x14ac:dyDescent="0.25">
      <c r="B44" s="431" t="s">
        <v>421</v>
      </c>
      <c r="C44" s="431"/>
      <c r="D44" s="431"/>
      <c r="E44" s="431"/>
      <c r="F44" s="431"/>
      <c r="G44" s="431"/>
      <c r="H44" s="431"/>
      <c r="I44" s="431"/>
      <c r="J44" s="431"/>
      <c r="K44" s="431"/>
      <c r="L44" s="431"/>
      <c r="M44" s="431"/>
      <c r="N44" s="431"/>
      <c r="O44" s="431"/>
      <c r="P44" s="431"/>
      <c r="Q44" s="431"/>
      <c r="R44" s="431"/>
    </row>
    <row r="45" spans="2:113" x14ac:dyDescent="0.25">
      <c r="B45" s="38"/>
      <c r="C45" s="38"/>
      <c r="D45" s="38"/>
      <c r="E45" s="38"/>
      <c r="F45" s="38" t="s">
        <v>611</v>
      </c>
      <c r="G45" s="38"/>
      <c r="H45" s="38"/>
      <c r="I45" s="38"/>
      <c r="J45" s="38"/>
      <c r="K45" s="38"/>
      <c r="L45" s="38"/>
      <c r="M45" s="38"/>
      <c r="N45" s="38"/>
      <c r="O45" s="38"/>
      <c r="P45" s="38"/>
      <c r="Q45" s="38"/>
      <c r="R45" s="38"/>
      <c r="S45" s="38"/>
      <c r="T45" s="38"/>
      <c r="U45" s="38"/>
      <c r="V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row>
    <row r="46" spans="2:113" x14ac:dyDescent="0.25">
      <c r="B46" s="37" t="s">
        <v>385</v>
      </c>
      <c r="C46" s="37"/>
      <c r="D46" s="37"/>
      <c r="E46" s="37"/>
      <c r="F46" s="35"/>
      <c r="G46" s="35"/>
      <c r="H46" s="37"/>
      <c r="I46" s="37"/>
      <c r="J46" s="37"/>
      <c r="K46" s="37"/>
      <c r="L46" s="37"/>
      <c r="M46" s="37"/>
      <c r="N46" s="37"/>
      <c r="O46" s="37"/>
      <c r="P46" s="37"/>
      <c r="Q46" s="37"/>
      <c r="R46" s="37"/>
      <c r="S46" s="39"/>
      <c r="T46" s="39"/>
      <c r="U46" s="39"/>
      <c r="V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row>
    <row r="47" spans="2:113" x14ac:dyDescent="0.25">
      <c r="B47" s="37" t="s">
        <v>103</v>
      </c>
      <c r="C47" s="37"/>
      <c r="D47" s="37"/>
      <c r="E47" s="37"/>
      <c r="F47" s="35"/>
      <c r="G47" s="35"/>
      <c r="H47" s="37"/>
      <c r="I47" s="37"/>
      <c r="J47" s="37"/>
      <c r="K47" s="37"/>
      <c r="L47" s="37"/>
      <c r="M47" s="37"/>
      <c r="N47" s="37"/>
      <c r="O47" s="37"/>
      <c r="P47" s="37"/>
      <c r="Q47" s="37"/>
      <c r="R47" s="37"/>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row>
    <row r="48" spans="2:113" s="35" customFormat="1" x14ac:dyDescent="0.25">
      <c r="B48" s="37" t="s">
        <v>102</v>
      </c>
      <c r="C48" s="37"/>
      <c r="D48" s="37"/>
      <c r="E48" s="37"/>
      <c r="H48" s="37"/>
      <c r="I48" s="37"/>
      <c r="J48" s="37"/>
      <c r="K48" s="37"/>
      <c r="L48" s="37"/>
      <c r="M48" s="37"/>
      <c r="N48" s="37"/>
      <c r="O48" s="37"/>
      <c r="P48" s="37"/>
      <c r="Q48" s="37"/>
      <c r="R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row>
    <row r="49" spans="2:113" s="35" customFormat="1" x14ac:dyDescent="0.25">
      <c r="B49" s="37" t="s">
        <v>101</v>
      </c>
      <c r="C49" s="37"/>
      <c r="D49" s="37"/>
      <c r="E49" s="37"/>
      <c r="H49" s="37"/>
      <c r="I49" s="37"/>
      <c r="J49" s="37"/>
      <c r="K49" s="37"/>
      <c r="L49" s="37"/>
      <c r="M49" s="37"/>
      <c r="N49" s="37"/>
      <c r="O49" s="37"/>
      <c r="P49" s="37"/>
      <c r="Q49" s="37"/>
      <c r="R49" s="37"/>
      <c r="S49" s="37"/>
      <c r="T49" s="37"/>
      <c r="U49" s="37"/>
      <c r="V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s="35" customFormat="1" x14ac:dyDescent="0.25">
      <c r="B50" s="37" t="s">
        <v>100</v>
      </c>
      <c r="C50" s="37"/>
      <c r="D50" s="37"/>
      <c r="E50" s="37"/>
      <c r="H50" s="37"/>
      <c r="I50" s="37"/>
      <c r="J50" s="37"/>
      <c r="K50" s="37"/>
      <c r="L50" s="37"/>
      <c r="M50" s="37"/>
      <c r="N50" s="37"/>
      <c r="O50" s="37"/>
      <c r="P50" s="37"/>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s="35" customFormat="1" x14ac:dyDescent="0.25">
      <c r="B51" s="37" t="s">
        <v>99</v>
      </c>
      <c r="C51" s="37"/>
      <c r="D51" s="37"/>
      <c r="E51" s="37"/>
      <c r="H51" s="37"/>
      <c r="I51" s="37"/>
      <c r="J51" s="37"/>
      <c r="K51" s="37"/>
      <c r="L51" s="37"/>
      <c r="M51" s="37"/>
      <c r="N51" s="37"/>
      <c r="O51" s="37"/>
      <c r="P51" s="37"/>
      <c r="Q51" s="37"/>
      <c r="R51" s="37"/>
      <c r="S51" s="37"/>
      <c r="T51" s="37"/>
      <c r="U51" s="37"/>
      <c r="V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row r="52" spans="2:113" s="35" customFormat="1" x14ac:dyDescent="0.25">
      <c r="B52" s="37" t="s">
        <v>98</v>
      </c>
      <c r="C52" s="37"/>
      <c r="D52" s="37"/>
      <c r="E52" s="37"/>
      <c r="H52" s="37"/>
      <c r="I52" s="37"/>
      <c r="J52" s="37"/>
      <c r="K52" s="37"/>
      <c r="L52" s="37"/>
      <c r="M52" s="37"/>
      <c r="N52" s="37"/>
      <c r="O52" s="37"/>
      <c r="P52" s="37"/>
      <c r="Q52" s="37"/>
      <c r="R52" s="37"/>
      <c r="S52" s="37"/>
      <c r="T52" s="37"/>
      <c r="U52" s="37"/>
      <c r="V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row>
    <row r="53" spans="2:113" s="35" customFormat="1" x14ac:dyDescent="0.25">
      <c r="B53" s="37" t="s">
        <v>97</v>
      </c>
      <c r="C53" s="37"/>
      <c r="D53" s="37"/>
      <c r="E53" s="37"/>
      <c r="H53" s="37"/>
      <c r="I53" s="37"/>
      <c r="J53" s="37"/>
      <c r="K53" s="37"/>
      <c r="L53" s="37"/>
      <c r="M53" s="37"/>
      <c r="N53" s="37"/>
      <c r="O53" s="37"/>
      <c r="P53" s="37"/>
      <c r="Q53" s="37"/>
      <c r="R53" s="37"/>
      <c r="S53" s="37"/>
      <c r="T53" s="37"/>
      <c r="U53" s="37"/>
      <c r="V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96</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95</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4:R44"/>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6" zoomScale="80" zoomScaleSheetLayoutView="80" workbookViewId="0">
      <selection activeCell="R27" sqref="R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1" t="s">
        <v>7</v>
      </c>
      <c r="F7" s="421"/>
      <c r="G7" s="421"/>
      <c r="H7" s="421"/>
      <c r="I7" s="421"/>
      <c r="J7" s="421"/>
      <c r="K7" s="421"/>
      <c r="L7" s="421"/>
      <c r="M7" s="421"/>
      <c r="N7" s="421"/>
      <c r="O7" s="421"/>
      <c r="P7" s="421"/>
      <c r="Q7" s="421"/>
      <c r="R7" s="421"/>
      <c r="S7" s="421"/>
      <c r="T7" s="421"/>
      <c r="U7" s="421"/>
      <c r="V7" s="421"/>
      <c r="W7" s="421"/>
      <c r="X7" s="421"/>
      <c r="Y7" s="421"/>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19" t="str">
        <f>'1. паспорт местоположение'!A9</f>
        <v xml:space="preserve">Акционерное общество "Западная энергетическая компания" </v>
      </c>
      <c r="F9" s="419"/>
      <c r="G9" s="419"/>
      <c r="H9" s="419"/>
      <c r="I9" s="419"/>
      <c r="J9" s="419"/>
      <c r="K9" s="419"/>
      <c r="L9" s="419"/>
      <c r="M9" s="419"/>
      <c r="N9" s="419"/>
      <c r="O9" s="419"/>
      <c r="P9" s="419"/>
      <c r="Q9" s="419"/>
      <c r="R9" s="419"/>
      <c r="S9" s="419"/>
      <c r="T9" s="419"/>
      <c r="U9" s="419"/>
      <c r="V9" s="419"/>
      <c r="W9" s="419"/>
      <c r="X9" s="419"/>
      <c r="Y9" s="419"/>
    </row>
    <row r="10" spans="1:27" s="17" customFormat="1" ht="18.75" customHeight="1" x14ac:dyDescent="0.2">
      <c r="E10" s="425" t="s">
        <v>6</v>
      </c>
      <c r="F10" s="425"/>
      <c r="G10" s="425"/>
      <c r="H10" s="425"/>
      <c r="I10" s="425"/>
      <c r="J10" s="425"/>
      <c r="K10" s="425"/>
      <c r="L10" s="425"/>
      <c r="M10" s="425"/>
      <c r="N10" s="425"/>
      <c r="O10" s="425"/>
      <c r="P10" s="425"/>
      <c r="Q10" s="425"/>
      <c r="R10" s="425"/>
      <c r="S10" s="425"/>
      <c r="T10" s="425"/>
      <c r="U10" s="425"/>
      <c r="V10" s="425"/>
      <c r="W10" s="425"/>
      <c r="X10" s="425"/>
      <c r="Y10" s="425"/>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19" t="str">
        <f>'1. паспорт местоположение'!A12</f>
        <v>L_21-17</v>
      </c>
      <c r="F12" s="419"/>
      <c r="G12" s="419"/>
      <c r="H12" s="419"/>
      <c r="I12" s="419"/>
      <c r="J12" s="419"/>
      <c r="K12" s="419"/>
      <c r="L12" s="419"/>
      <c r="M12" s="419"/>
      <c r="N12" s="419"/>
      <c r="O12" s="419"/>
      <c r="P12" s="419"/>
      <c r="Q12" s="419"/>
      <c r="R12" s="419"/>
      <c r="S12" s="419"/>
      <c r="T12" s="419"/>
      <c r="U12" s="419"/>
      <c r="V12" s="419"/>
      <c r="W12" s="419"/>
      <c r="X12" s="419"/>
      <c r="Y12" s="419"/>
    </row>
    <row r="13" spans="1:27" s="17" customFormat="1" ht="18.75" customHeight="1" x14ac:dyDescent="0.2">
      <c r="E13" s="425" t="s">
        <v>5</v>
      </c>
      <c r="F13" s="425"/>
      <c r="G13" s="425"/>
      <c r="H13" s="425"/>
      <c r="I13" s="425"/>
      <c r="J13" s="425"/>
      <c r="K13" s="425"/>
      <c r="L13" s="425"/>
      <c r="M13" s="425"/>
      <c r="N13" s="425"/>
      <c r="O13" s="425"/>
      <c r="P13" s="425"/>
      <c r="Q13" s="425"/>
      <c r="R13" s="425"/>
      <c r="S13" s="425"/>
      <c r="T13" s="425"/>
      <c r="U13" s="425"/>
      <c r="V13" s="425"/>
      <c r="W13" s="425"/>
      <c r="X13" s="425"/>
      <c r="Y13" s="425"/>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19" t="str">
        <f>'1. паспорт местоположение'!A15</f>
        <v>Строительство  электроснабжения жд г.Пионерский, пос.Рыбное (МакроИнвест)</v>
      </c>
      <c r="F15" s="419"/>
      <c r="G15" s="419"/>
      <c r="H15" s="419"/>
      <c r="I15" s="419"/>
      <c r="J15" s="419"/>
      <c r="K15" s="419"/>
      <c r="L15" s="419"/>
      <c r="M15" s="419"/>
      <c r="N15" s="419"/>
      <c r="O15" s="419"/>
      <c r="P15" s="419"/>
      <c r="Q15" s="419"/>
      <c r="R15" s="419"/>
      <c r="S15" s="419"/>
      <c r="T15" s="419"/>
      <c r="U15" s="419"/>
      <c r="V15" s="419"/>
      <c r="W15" s="419"/>
      <c r="X15" s="419"/>
      <c r="Y15" s="419"/>
    </row>
    <row r="16" spans="1:27" s="137" customFormat="1" ht="15" customHeight="1" x14ac:dyDescent="0.2">
      <c r="E16" s="425" t="s">
        <v>4</v>
      </c>
      <c r="F16" s="425"/>
      <c r="G16" s="425"/>
      <c r="H16" s="425"/>
      <c r="I16" s="425"/>
      <c r="J16" s="425"/>
      <c r="K16" s="425"/>
      <c r="L16" s="425"/>
      <c r="M16" s="425"/>
      <c r="N16" s="425"/>
      <c r="O16" s="425"/>
      <c r="P16" s="425"/>
      <c r="Q16" s="425"/>
      <c r="R16" s="425"/>
      <c r="S16" s="425"/>
      <c r="T16" s="425"/>
      <c r="U16" s="425"/>
      <c r="V16" s="425"/>
      <c r="W16" s="425"/>
      <c r="X16" s="425"/>
      <c r="Y16" s="425"/>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389</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41" customFormat="1" ht="21" customHeight="1" x14ac:dyDescent="0.25"/>
    <row r="21" spans="1:27" ht="15.75" customHeight="1" x14ac:dyDescent="0.25">
      <c r="A21" s="447" t="s">
        <v>3</v>
      </c>
      <c r="B21" s="450" t="s">
        <v>396</v>
      </c>
      <c r="C21" s="451"/>
      <c r="D21" s="450" t="s">
        <v>398</v>
      </c>
      <c r="E21" s="451"/>
      <c r="F21" s="442" t="s">
        <v>88</v>
      </c>
      <c r="G21" s="444"/>
      <c r="H21" s="444"/>
      <c r="I21" s="443"/>
      <c r="J21" s="447" t="s">
        <v>399</v>
      </c>
      <c r="K21" s="450" t="s">
        <v>400</v>
      </c>
      <c r="L21" s="451"/>
      <c r="M21" s="450" t="s">
        <v>401</v>
      </c>
      <c r="N21" s="451"/>
      <c r="O21" s="450" t="s">
        <v>388</v>
      </c>
      <c r="P21" s="451"/>
      <c r="Q21" s="450" t="s">
        <v>121</v>
      </c>
      <c r="R21" s="451"/>
      <c r="S21" s="447" t="s">
        <v>120</v>
      </c>
      <c r="T21" s="447" t="s">
        <v>402</v>
      </c>
      <c r="U21" s="447" t="s">
        <v>397</v>
      </c>
      <c r="V21" s="450" t="s">
        <v>119</v>
      </c>
      <c r="W21" s="451"/>
      <c r="X21" s="442" t="s">
        <v>111</v>
      </c>
      <c r="Y21" s="444"/>
      <c r="Z21" s="442" t="s">
        <v>110</v>
      </c>
      <c r="AA21" s="444"/>
    </row>
    <row r="22" spans="1:27" ht="216" customHeight="1" x14ac:dyDescent="0.25">
      <c r="A22" s="448"/>
      <c r="B22" s="452"/>
      <c r="C22" s="453"/>
      <c r="D22" s="452"/>
      <c r="E22" s="453"/>
      <c r="F22" s="442" t="s">
        <v>118</v>
      </c>
      <c r="G22" s="443"/>
      <c r="H22" s="442" t="s">
        <v>117</v>
      </c>
      <c r="I22" s="443"/>
      <c r="J22" s="449"/>
      <c r="K22" s="452"/>
      <c r="L22" s="453"/>
      <c r="M22" s="452"/>
      <c r="N22" s="453"/>
      <c r="O22" s="452"/>
      <c r="P22" s="453"/>
      <c r="Q22" s="452"/>
      <c r="R22" s="453"/>
      <c r="S22" s="449"/>
      <c r="T22" s="449"/>
      <c r="U22" s="449"/>
      <c r="V22" s="452"/>
      <c r="W22" s="453"/>
      <c r="X22" s="72" t="s">
        <v>109</v>
      </c>
      <c r="Y22" s="72" t="s">
        <v>386</v>
      </c>
      <c r="Z22" s="72" t="s">
        <v>108</v>
      </c>
      <c r="AA22" s="72" t="s">
        <v>107</v>
      </c>
    </row>
    <row r="23" spans="1:27" ht="60" customHeight="1" x14ac:dyDescent="0.25">
      <c r="A23" s="449"/>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624</v>
      </c>
      <c r="D25" s="114" t="s">
        <v>297</v>
      </c>
      <c r="E25" s="114" t="s">
        <v>537</v>
      </c>
      <c r="F25" s="114" t="s">
        <v>537</v>
      </c>
      <c r="G25" s="114">
        <v>15</v>
      </c>
      <c r="H25" s="114" t="s">
        <v>537</v>
      </c>
      <c r="I25" s="114">
        <v>15</v>
      </c>
      <c r="J25" s="114"/>
      <c r="K25" s="114" t="s">
        <v>537</v>
      </c>
      <c r="L25" s="114" t="s">
        <v>537</v>
      </c>
      <c r="M25" s="114" t="s">
        <v>537</v>
      </c>
      <c r="N25" s="114" t="s">
        <v>631</v>
      </c>
      <c r="O25" s="114" t="s">
        <v>537</v>
      </c>
      <c r="P25" s="114" t="s">
        <v>585</v>
      </c>
      <c r="Q25" s="114" t="s">
        <v>537</v>
      </c>
      <c r="R25" s="114">
        <v>0.6</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row>
    <row r="27" spans="1:27" ht="30" customHeight="1" x14ac:dyDescent="0.2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1" zoomScaleSheetLayoutView="100" workbookViewId="0">
      <selection activeCell="C30" sqref="C30"/>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4" t="str">
        <f>'1. паспорт местоположение'!A5:C5</f>
        <v>Год раскрытия информации: 2022 год</v>
      </c>
      <c r="B5" s="414"/>
      <c r="C5" s="414"/>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1" t="s">
        <v>7</v>
      </c>
      <c r="B7" s="421"/>
      <c r="C7" s="421"/>
      <c r="D7" s="138"/>
      <c r="E7" s="138"/>
      <c r="F7" s="138"/>
      <c r="G7" s="138"/>
      <c r="H7" s="138"/>
      <c r="I7" s="138"/>
      <c r="J7" s="138"/>
      <c r="K7" s="138"/>
      <c r="L7" s="138"/>
      <c r="M7" s="138"/>
      <c r="N7" s="138"/>
      <c r="O7" s="138"/>
      <c r="P7" s="138"/>
      <c r="Q7" s="138"/>
      <c r="R7" s="138"/>
      <c r="S7" s="138"/>
      <c r="T7" s="138"/>
      <c r="U7" s="138"/>
    </row>
    <row r="8" spans="1:29" s="17" customFormat="1" ht="18.75" x14ac:dyDescent="0.2">
      <c r="A8" s="421"/>
      <c r="B8" s="421"/>
      <c r="C8" s="421"/>
      <c r="D8" s="153"/>
      <c r="E8" s="153"/>
      <c r="F8" s="153"/>
      <c r="G8" s="153"/>
      <c r="H8" s="138"/>
      <c r="I8" s="138"/>
      <c r="J8" s="138"/>
      <c r="K8" s="138"/>
      <c r="L8" s="138"/>
      <c r="M8" s="138"/>
      <c r="N8" s="138"/>
      <c r="O8" s="138"/>
      <c r="P8" s="138"/>
      <c r="Q8" s="138"/>
      <c r="R8" s="138"/>
      <c r="S8" s="138"/>
      <c r="T8" s="138"/>
      <c r="U8" s="138"/>
    </row>
    <row r="9" spans="1:29" s="17" customFormat="1" ht="18.75" x14ac:dyDescent="0.2">
      <c r="A9" s="419" t="str">
        <f>'1. паспорт местоположение'!A9:C9</f>
        <v xml:space="preserve">Акционерное общество "Западная энергетическая компания" </v>
      </c>
      <c r="B9" s="419"/>
      <c r="C9" s="419"/>
      <c r="D9" s="140"/>
      <c r="E9" s="140"/>
      <c r="F9" s="140"/>
      <c r="G9" s="140"/>
      <c r="H9" s="138"/>
      <c r="I9" s="138"/>
      <c r="J9" s="138"/>
      <c r="K9" s="138"/>
      <c r="L9" s="138"/>
      <c r="M9" s="138"/>
      <c r="N9" s="138"/>
      <c r="O9" s="138"/>
      <c r="P9" s="138"/>
      <c r="Q9" s="138"/>
      <c r="R9" s="138"/>
      <c r="S9" s="138"/>
      <c r="T9" s="138"/>
      <c r="U9" s="138"/>
    </row>
    <row r="10" spans="1:29" s="17" customFormat="1" ht="18.75" x14ac:dyDescent="0.2">
      <c r="A10" s="425" t="s">
        <v>6</v>
      </c>
      <c r="B10" s="425"/>
      <c r="C10" s="425"/>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1"/>
      <c r="B11" s="421"/>
      <c r="C11" s="421"/>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19" t="str">
        <f>'1. паспорт местоположение'!A12:C12</f>
        <v>L_21-17</v>
      </c>
      <c r="B12" s="419"/>
      <c r="C12" s="419"/>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5" t="s">
        <v>5</v>
      </c>
      <c r="B13" s="425"/>
      <c r="C13" s="425"/>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27"/>
      <c r="B14" s="427"/>
      <c r="C14" s="427"/>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4" t="str">
        <f>'1. паспорт местоположение'!A15:C15</f>
        <v>Строительство  электроснабжения жд г.Пионерский, пос.Рыбное (МакроИнвест)</v>
      </c>
      <c r="B15" s="454"/>
      <c r="C15" s="454"/>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5" t="s">
        <v>4</v>
      </c>
      <c r="B16" s="425"/>
      <c r="C16" s="425"/>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28"/>
      <c r="B17" s="428"/>
      <c r="C17" s="428"/>
      <c r="D17" s="142"/>
      <c r="E17" s="142"/>
      <c r="F17" s="142"/>
      <c r="G17" s="142"/>
      <c r="H17" s="142"/>
      <c r="I17" s="142"/>
      <c r="J17" s="142"/>
      <c r="K17" s="142"/>
      <c r="L17" s="142"/>
      <c r="M17" s="142"/>
      <c r="N17" s="142"/>
      <c r="O17" s="142"/>
      <c r="P17" s="142"/>
      <c r="Q17" s="142"/>
      <c r="R17" s="142"/>
    </row>
    <row r="18" spans="1:21" s="137" customFormat="1" ht="27.75" customHeight="1" x14ac:dyDescent="0.2">
      <c r="A18" s="429" t="s">
        <v>381</v>
      </c>
      <c r="B18" s="429"/>
      <c r="C18" s="429"/>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электроснабжения жд г.Пионерский, пос.Рыбное (МакроИнвест)</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644</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645</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87"/>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627</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646</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38"/>
      <c r="AB6" s="138"/>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38"/>
      <c r="AB7" s="138"/>
    </row>
    <row r="8" spans="1:28" ht="15.75" x14ac:dyDescent="0.25">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40"/>
      <c r="AB8" s="140"/>
    </row>
    <row r="9" spans="1:28" ht="15.75"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141"/>
      <c r="AB9" s="141"/>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38"/>
      <c r="AB10" s="138"/>
    </row>
    <row r="11" spans="1:28" ht="15.75" x14ac:dyDescent="0.25">
      <c r="A11" s="426" t="str">
        <f>'1. паспорт местоположение'!A12:C12</f>
        <v>L_21-17</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40"/>
      <c r="AB11" s="140"/>
    </row>
    <row r="12" spans="1:28" ht="15.75"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141"/>
      <c r="AB12" s="141"/>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60"/>
      <c r="AB13" s="160"/>
    </row>
    <row r="14" spans="1:28" ht="15.75" x14ac:dyDescent="0.25">
      <c r="A14" s="419" t="str">
        <f>'1. паспорт местоположение'!A15:C15</f>
        <v>Строительство  электроснабжения жд г.Пионерский, пос.Рыбное (МакроИнвест)</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0"/>
      <c r="AB14" s="140"/>
    </row>
    <row r="15" spans="1:28" ht="15.75"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141"/>
      <c r="AB15" s="141"/>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61"/>
      <c r="AB16" s="161"/>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61"/>
      <c r="AB17" s="161"/>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61"/>
      <c r="AB18" s="161"/>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61"/>
      <c r="AB19" s="161"/>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62"/>
      <c r="AB20" s="162"/>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62"/>
      <c r="AB21" s="162"/>
    </row>
    <row r="22" spans="1:28" x14ac:dyDescent="0.25">
      <c r="A22" s="456" t="s">
        <v>412</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63"/>
      <c r="AB22" s="163"/>
    </row>
    <row r="23" spans="1:28" ht="32.25" customHeight="1" x14ac:dyDescent="0.25">
      <c r="A23" s="458" t="s">
        <v>295</v>
      </c>
      <c r="B23" s="459"/>
      <c r="C23" s="459"/>
      <c r="D23" s="459"/>
      <c r="E23" s="459"/>
      <c r="F23" s="459"/>
      <c r="G23" s="459"/>
      <c r="H23" s="459"/>
      <c r="I23" s="459"/>
      <c r="J23" s="459"/>
      <c r="K23" s="459"/>
      <c r="L23" s="460"/>
      <c r="M23" s="457" t="s">
        <v>296</v>
      </c>
      <c r="N23" s="457"/>
      <c r="O23" s="457"/>
      <c r="P23" s="457"/>
      <c r="Q23" s="457"/>
      <c r="R23" s="457"/>
      <c r="S23" s="457"/>
      <c r="T23" s="457"/>
      <c r="U23" s="457"/>
      <c r="V23" s="457"/>
      <c r="W23" s="457"/>
      <c r="X23" s="457"/>
      <c r="Y23" s="457"/>
      <c r="Z23" s="457"/>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1" t="s">
        <v>7</v>
      </c>
      <c r="B7" s="421"/>
      <c r="C7" s="421"/>
      <c r="D7" s="421"/>
      <c r="E7" s="421"/>
      <c r="F7" s="421"/>
      <c r="G7" s="421"/>
      <c r="H7" s="421"/>
      <c r="I7" s="421"/>
      <c r="J7" s="421"/>
      <c r="K7" s="421"/>
      <c r="L7" s="421"/>
      <c r="M7" s="421"/>
      <c r="N7" s="421"/>
      <c r="O7" s="421"/>
      <c r="P7" s="138"/>
      <c r="Q7" s="138"/>
      <c r="R7" s="138"/>
      <c r="S7" s="138"/>
      <c r="T7" s="138"/>
      <c r="U7" s="138"/>
      <c r="V7" s="138"/>
      <c r="W7" s="138"/>
      <c r="X7" s="138"/>
      <c r="Y7" s="138"/>
      <c r="Z7" s="138"/>
    </row>
    <row r="8" spans="1:28" s="17" customFormat="1" ht="18.75" x14ac:dyDescent="0.2">
      <c r="A8" s="421"/>
      <c r="B8" s="421"/>
      <c r="C8" s="421"/>
      <c r="D8" s="421"/>
      <c r="E8" s="421"/>
      <c r="F8" s="421"/>
      <c r="G8" s="421"/>
      <c r="H8" s="421"/>
      <c r="I8" s="421"/>
      <c r="J8" s="421"/>
      <c r="K8" s="421"/>
      <c r="L8" s="421"/>
      <c r="M8" s="421"/>
      <c r="N8" s="421"/>
      <c r="O8" s="421"/>
      <c r="P8" s="138"/>
      <c r="Q8" s="138"/>
      <c r="R8" s="138"/>
      <c r="S8" s="138"/>
      <c r="T8" s="138"/>
      <c r="U8" s="138"/>
      <c r="V8" s="138"/>
      <c r="W8" s="138"/>
      <c r="X8" s="138"/>
      <c r="Y8" s="138"/>
      <c r="Z8" s="138"/>
    </row>
    <row r="9" spans="1:28" s="17" customFormat="1" ht="18.75" x14ac:dyDescent="0.2">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138"/>
      <c r="Q9" s="138"/>
      <c r="R9" s="138"/>
      <c r="S9" s="138"/>
      <c r="T9" s="138"/>
      <c r="U9" s="138"/>
      <c r="V9" s="138"/>
      <c r="W9" s="138"/>
      <c r="X9" s="138"/>
      <c r="Y9" s="138"/>
      <c r="Z9" s="138"/>
    </row>
    <row r="10" spans="1:28" s="17" customFormat="1" ht="18.75" x14ac:dyDescent="0.2">
      <c r="A10" s="425" t="s">
        <v>6</v>
      </c>
      <c r="B10" s="425"/>
      <c r="C10" s="425"/>
      <c r="D10" s="425"/>
      <c r="E10" s="425"/>
      <c r="F10" s="425"/>
      <c r="G10" s="425"/>
      <c r="H10" s="425"/>
      <c r="I10" s="425"/>
      <c r="J10" s="425"/>
      <c r="K10" s="425"/>
      <c r="L10" s="425"/>
      <c r="M10" s="425"/>
      <c r="N10" s="425"/>
      <c r="O10" s="425"/>
      <c r="P10" s="138"/>
      <c r="Q10" s="138"/>
      <c r="R10" s="138"/>
      <c r="S10" s="138"/>
      <c r="T10" s="138"/>
      <c r="U10" s="138"/>
      <c r="V10" s="138"/>
      <c r="W10" s="138"/>
      <c r="X10" s="138"/>
      <c r="Y10" s="138"/>
      <c r="Z10" s="138"/>
    </row>
    <row r="11" spans="1:28" s="17" customFormat="1" ht="18.75" x14ac:dyDescent="0.2">
      <c r="A11" s="421"/>
      <c r="B11" s="421"/>
      <c r="C11" s="421"/>
      <c r="D11" s="421"/>
      <c r="E11" s="421"/>
      <c r="F11" s="421"/>
      <c r="G11" s="421"/>
      <c r="H11" s="421"/>
      <c r="I11" s="421"/>
      <c r="J11" s="421"/>
      <c r="K11" s="421"/>
      <c r="L11" s="421"/>
      <c r="M11" s="421"/>
      <c r="N11" s="421"/>
      <c r="O11" s="421"/>
      <c r="P11" s="138"/>
      <c r="Q11" s="138"/>
      <c r="R11" s="138"/>
      <c r="S11" s="138"/>
      <c r="T11" s="138"/>
      <c r="U11" s="138"/>
      <c r="V11" s="138"/>
      <c r="W11" s="138"/>
      <c r="X11" s="138"/>
      <c r="Y11" s="138"/>
      <c r="Z11" s="138"/>
    </row>
    <row r="12" spans="1:28" s="17" customFormat="1" ht="18.75" x14ac:dyDescent="0.2">
      <c r="A12" s="426" t="str">
        <f>'1. паспорт местоположение'!A12:C12</f>
        <v>L_21-17</v>
      </c>
      <c r="B12" s="426"/>
      <c r="C12" s="426"/>
      <c r="D12" s="426"/>
      <c r="E12" s="426"/>
      <c r="F12" s="426"/>
      <c r="G12" s="426"/>
      <c r="H12" s="426"/>
      <c r="I12" s="426"/>
      <c r="J12" s="426"/>
      <c r="K12" s="426"/>
      <c r="L12" s="426"/>
      <c r="M12" s="426"/>
      <c r="N12" s="426"/>
      <c r="O12" s="426"/>
      <c r="P12" s="138"/>
      <c r="Q12" s="138"/>
      <c r="R12" s="138"/>
      <c r="S12" s="138"/>
      <c r="T12" s="138"/>
      <c r="U12" s="138"/>
      <c r="V12" s="138"/>
      <c r="W12" s="138"/>
      <c r="X12" s="138"/>
      <c r="Y12" s="138"/>
      <c r="Z12" s="138"/>
    </row>
    <row r="13" spans="1:28" s="17" customFormat="1" ht="18.75" x14ac:dyDescent="0.2">
      <c r="A13" s="425" t="s">
        <v>5</v>
      </c>
      <c r="B13" s="425"/>
      <c r="C13" s="425"/>
      <c r="D13" s="425"/>
      <c r="E13" s="425"/>
      <c r="F13" s="425"/>
      <c r="G13" s="425"/>
      <c r="H13" s="425"/>
      <c r="I13" s="425"/>
      <c r="J13" s="425"/>
      <c r="K13" s="425"/>
      <c r="L13" s="425"/>
      <c r="M13" s="425"/>
      <c r="N13" s="425"/>
      <c r="O13" s="425"/>
      <c r="P13" s="138"/>
      <c r="Q13" s="138"/>
      <c r="R13" s="138"/>
      <c r="S13" s="138"/>
      <c r="T13" s="138"/>
      <c r="U13" s="138"/>
      <c r="V13" s="138"/>
      <c r="W13" s="138"/>
      <c r="X13" s="138"/>
      <c r="Y13" s="138"/>
      <c r="Z13" s="138"/>
    </row>
    <row r="14" spans="1:28" s="136" customFormat="1" ht="15.75" customHeight="1" x14ac:dyDescent="0.2">
      <c r="A14" s="427"/>
      <c r="B14" s="427"/>
      <c r="C14" s="427"/>
      <c r="D14" s="427"/>
      <c r="E14" s="427"/>
      <c r="F14" s="427"/>
      <c r="G14" s="427"/>
      <c r="H14" s="427"/>
      <c r="I14" s="427"/>
      <c r="J14" s="427"/>
      <c r="K14" s="427"/>
      <c r="L14" s="427"/>
      <c r="M14" s="427"/>
      <c r="N14" s="427"/>
      <c r="O14" s="427"/>
      <c r="P14" s="139"/>
      <c r="Q14" s="139"/>
      <c r="R14" s="139"/>
      <c r="S14" s="139"/>
      <c r="T14" s="139"/>
      <c r="U14" s="139"/>
      <c r="V14" s="139"/>
      <c r="W14" s="139"/>
      <c r="X14" s="139"/>
      <c r="Y14" s="139"/>
      <c r="Z14" s="139"/>
    </row>
    <row r="15" spans="1:28" s="137" customFormat="1" ht="15.75" x14ac:dyDescent="0.2">
      <c r="A15" s="419" t="str">
        <f>'1. паспорт местоположение'!A15:C15</f>
        <v>Строительство  электроснабжения жд г.Пионерский, пос.Рыбное (МакроИнвест)</v>
      </c>
      <c r="B15" s="419"/>
      <c r="C15" s="419"/>
      <c r="D15" s="419"/>
      <c r="E15" s="419"/>
      <c r="F15" s="419"/>
      <c r="G15" s="419"/>
      <c r="H15" s="419"/>
      <c r="I15" s="419"/>
      <c r="J15" s="419"/>
      <c r="K15" s="419"/>
      <c r="L15" s="419"/>
      <c r="M15" s="419"/>
      <c r="N15" s="419"/>
      <c r="O15" s="419"/>
      <c r="P15" s="140"/>
      <c r="Q15" s="140"/>
      <c r="R15" s="140"/>
      <c r="S15" s="140"/>
      <c r="T15" s="140"/>
      <c r="U15" s="140"/>
      <c r="V15" s="140"/>
      <c r="W15" s="140"/>
      <c r="X15" s="140"/>
      <c r="Y15" s="140"/>
      <c r="Z15" s="140"/>
    </row>
    <row r="16" spans="1:28" s="137" customFormat="1" ht="15" customHeight="1" x14ac:dyDescent="0.2">
      <c r="A16" s="425" t="s">
        <v>4</v>
      </c>
      <c r="B16" s="425"/>
      <c r="C16" s="425"/>
      <c r="D16" s="425"/>
      <c r="E16" s="425"/>
      <c r="F16" s="425"/>
      <c r="G16" s="425"/>
      <c r="H16" s="425"/>
      <c r="I16" s="425"/>
      <c r="J16" s="425"/>
      <c r="K16" s="425"/>
      <c r="L16" s="425"/>
      <c r="M16" s="425"/>
      <c r="N16" s="425"/>
      <c r="O16" s="425"/>
      <c r="P16" s="141"/>
      <c r="Q16" s="141"/>
      <c r="R16" s="141"/>
      <c r="S16" s="141"/>
      <c r="T16" s="141"/>
      <c r="U16" s="141"/>
      <c r="V16" s="141"/>
      <c r="W16" s="141"/>
      <c r="X16" s="141"/>
      <c r="Y16" s="141"/>
      <c r="Z16" s="141"/>
    </row>
    <row r="17" spans="1:26" s="137" customFormat="1" ht="15" customHeight="1" x14ac:dyDescent="0.2">
      <c r="A17" s="428"/>
      <c r="B17" s="428"/>
      <c r="C17" s="428"/>
      <c r="D17" s="428"/>
      <c r="E17" s="428"/>
      <c r="F17" s="428"/>
      <c r="G17" s="428"/>
      <c r="H17" s="428"/>
      <c r="I17" s="428"/>
      <c r="J17" s="428"/>
      <c r="K17" s="428"/>
      <c r="L17" s="428"/>
      <c r="M17" s="428"/>
      <c r="N17" s="428"/>
      <c r="O17" s="428"/>
      <c r="P17" s="142"/>
      <c r="Q17" s="142"/>
      <c r="R17" s="142"/>
      <c r="S17" s="142"/>
      <c r="T17" s="142"/>
      <c r="U17" s="142"/>
      <c r="V17" s="142"/>
      <c r="W17" s="142"/>
    </row>
    <row r="18" spans="1:26" s="137" customFormat="1" ht="91.5" customHeight="1" x14ac:dyDescent="0.2">
      <c r="A18" s="466" t="s">
        <v>390</v>
      </c>
      <c r="B18" s="466"/>
      <c r="C18" s="466"/>
      <c r="D18" s="466"/>
      <c r="E18" s="466"/>
      <c r="F18" s="466"/>
      <c r="G18" s="466"/>
      <c r="H18" s="466"/>
      <c r="I18" s="466"/>
      <c r="J18" s="466"/>
      <c r="K18" s="466"/>
      <c r="L18" s="466"/>
      <c r="M18" s="466"/>
      <c r="N18" s="466"/>
      <c r="O18" s="466"/>
      <c r="P18" s="143"/>
      <c r="Q18" s="143"/>
      <c r="R18" s="143"/>
      <c r="S18" s="143"/>
      <c r="T18" s="143"/>
      <c r="U18" s="143"/>
      <c r="V18" s="143"/>
      <c r="W18" s="143"/>
      <c r="X18" s="143"/>
      <c r="Y18" s="143"/>
      <c r="Z18" s="143"/>
    </row>
    <row r="19" spans="1:26" s="137" customFormat="1" ht="78" customHeight="1" x14ac:dyDescent="0.2">
      <c r="A19" s="462" t="s">
        <v>3</v>
      </c>
      <c r="B19" s="462" t="s">
        <v>82</v>
      </c>
      <c r="C19" s="462" t="s">
        <v>81</v>
      </c>
      <c r="D19" s="462" t="s">
        <v>73</v>
      </c>
      <c r="E19" s="463" t="s">
        <v>80</v>
      </c>
      <c r="F19" s="464"/>
      <c r="G19" s="464"/>
      <c r="H19" s="464"/>
      <c r="I19" s="465"/>
      <c r="J19" s="462" t="s">
        <v>79</v>
      </c>
      <c r="K19" s="462"/>
      <c r="L19" s="462"/>
      <c r="M19" s="462"/>
      <c r="N19" s="462"/>
      <c r="O19" s="462"/>
      <c r="P19" s="142"/>
      <c r="Q19" s="142"/>
      <c r="R19" s="142"/>
      <c r="S19" s="142"/>
      <c r="T19" s="142"/>
      <c r="U19" s="142"/>
      <c r="V19" s="142"/>
      <c r="W19" s="142"/>
    </row>
    <row r="20" spans="1:26" s="137" customFormat="1" ht="51" customHeight="1" x14ac:dyDescent="0.2">
      <c r="A20" s="462"/>
      <c r="B20" s="462"/>
      <c r="C20" s="462"/>
      <c r="D20" s="462"/>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614</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9" sqref="A99:XFD200"/>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82" t="str">
        <f>'1. паспорт местоположение'!A5:C5</f>
        <v>Год раскрытия информации: 2022 год</v>
      </c>
      <c r="B5" s="482"/>
      <c r="C5" s="482"/>
      <c r="D5" s="482"/>
      <c r="E5" s="482"/>
      <c r="F5" s="482"/>
      <c r="G5" s="482"/>
      <c r="H5" s="482"/>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83" t="s">
        <v>7</v>
      </c>
      <c r="B7" s="483"/>
      <c r="C7" s="483"/>
      <c r="D7" s="483"/>
      <c r="E7" s="483"/>
      <c r="F7" s="483"/>
      <c r="G7" s="483"/>
      <c r="H7" s="483"/>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84" t="str">
        <f>'1. паспорт местоположение'!A9:C10</f>
        <v xml:space="preserve">Акционерное общество "Западная энергетическая компания" </v>
      </c>
      <c r="B9" s="484"/>
      <c r="C9" s="484"/>
      <c r="D9" s="484"/>
      <c r="E9" s="484"/>
      <c r="F9" s="484"/>
      <c r="G9" s="484"/>
      <c r="H9" s="484"/>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85" t="s">
        <v>6</v>
      </c>
      <c r="B10" s="485"/>
      <c r="C10" s="485"/>
      <c r="D10" s="485"/>
      <c r="E10" s="485"/>
      <c r="F10" s="485"/>
      <c r="G10" s="485"/>
      <c r="H10" s="485"/>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84" t="str">
        <f>'1. паспорт местоположение'!A12:C12</f>
        <v>L_21-17</v>
      </c>
      <c r="B12" s="484"/>
      <c r="C12" s="484"/>
      <c r="D12" s="484"/>
      <c r="E12" s="484"/>
      <c r="F12" s="484"/>
      <c r="G12" s="484"/>
      <c r="H12" s="484"/>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85" t="s">
        <v>5</v>
      </c>
      <c r="B13" s="485"/>
      <c r="C13" s="485"/>
      <c r="D13" s="485"/>
      <c r="E13" s="485"/>
      <c r="F13" s="485"/>
      <c r="G13" s="485"/>
      <c r="H13" s="485"/>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86" t="str">
        <f>'1. паспорт местоположение'!A15:C15</f>
        <v>Строительство  электроснабжения жд г.Пионерский, пос.Рыбное (МакроИнвест)</v>
      </c>
      <c r="B15" s="486"/>
      <c r="C15" s="486"/>
      <c r="D15" s="486"/>
      <c r="E15" s="486"/>
      <c r="F15" s="486"/>
      <c r="G15" s="486"/>
      <c r="H15" s="486"/>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85" t="s">
        <v>4</v>
      </c>
      <c r="B16" s="485"/>
      <c r="C16" s="485"/>
      <c r="D16" s="485"/>
      <c r="E16" s="485"/>
      <c r="F16" s="485"/>
      <c r="G16" s="485"/>
      <c r="H16" s="485"/>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84" t="s">
        <v>391</v>
      </c>
      <c r="B18" s="484"/>
      <c r="C18" s="484"/>
      <c r="D18" s="484"/>
      <c r="E18" s="484"/>
      <c r="F18" s="484"/>
      <c r="G18" s="484"/>
      <c r="H18" s="484"/>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16666.666666666668</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69" t="s">
        <v>285</v>
      </c>
      <c r="E28" s="470"/>
      <c r="F28" s="471"/>
      <c r="G28" s="480">
        <f ca="1">IF(SUM(B89:L89)=0,"не окупается",SUM(B89:L89))</f>
        <v>6.2497174883936433</v>
      </c>
      <c r="H28" s="481"/>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16.666666666666668</v>
      </c>
      <c r="C29" s="238"/>
      <c r="D29" s="469" t="s">
        <v>283</v>
      </c>
      <c r="E29" s="470"/>
      <c r="F29" s="471"/>
      <c r="G29" s="480">
        <f ca="1">IF(SUM(B90:L90)=0,"не окупается",SUM(B90:L90))</f>
        <v>7.4856328377455927</v>
      </c>
      <c r="H29" s="481"/>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69" t="s">
        <v>546</v>
      </c>
      <c r="E30" s="470"/>
      <c r="F30" s="471"/>
      <c r="G30" s="472">
        <f ca="1">L87</f>
        <v>2862145.7759737531</v>
      </c>
      <c r="H30" s="473"/>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74"/>
      <c r="E31" s="475"/>
      <c r="F31" s="476"/>
      <c r="G31" s="474"/>
      <c r="H31" s="476"/>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v>15295609</v>
      </c>
      <c r="C50" s="290">
        <f>C108*(1+C49)</f>
        <v>0</v>
      </c>
      <c r="D50" s="290">
        <f>H108*(1+H49)</f>
        <v>153779.96930449648</v>
      </c>
      <c r="E50" s="290">
        <f t="shared" ref="E50:M50" si="3">I108*(1+E49)</f>
        <v>267972.18689751351</v>
      </c>
      <c r="F50" s="290">
        <f t="shared" si="3"/>
        <v>420850.31952254497</v>
      </c>
      <c r="G50" s="290">
        <f t="shared" si="3"/>
        <v>587507.04605347267</v>
      </c>
      <c r="H50" s="290">
        <f t="shared" si="3"/>
        <v>768899.84652248234</v>
      </c>
      <c r="I50" s="290">
        <f t="shared" si="3"/>
        <v>1127053.3950326545</v>
      </c>
      <c r="J50" s="290">
        <f t="shared" si="3"/>
        <v>1180024.9045991893</v>
      </c>
      <c r="K50" s="290">
        <f t="shared" si="3"/>
        <v>1235486.075115351</v>
      </c>
      <c r="L50" s="290">
        <f t="shared" si="3"/>
        <v>1293553.9206457725</v>
      </c>
      <c r="M50" s="290">
        <f t="shared" si="3"/>
        <v>1354350.9549161238</v>
      </c>
      <c r="N50" s="290">
        <f t="shared" ref="N50:AP50" si="4">N108*(1+N49)</f>
        <v>1418005.4497971814</v>
      </c>
      <c r="O50" s="290">
        <f t="shared" si="4"/>
        <v>1484651.7059376487</v>
      </c>
      <c r="P50" s="290">
        <f t="shared" si="4"/>
        <v>1554430.3361167181</v>
      </c>
      <c r="Q50" s="290">
        <f t="shared" si="4"/>
        <v>1627488.5619142039</v>
      </c>
      <c r="R50" s="290">
        <f t="shared" si="4"/>
        <v>1703980.5243241712</v>
      </c>
      <c r="S50" s="290">
        <f t="shared" si="4"/>
        <v>1784067.6089674074</v>
      </c>
      <c r="T50" s="290">
        <f t="shared" si="4"/>
        <v>1867918.7865888753</v>
      </c>
      <c r="U50" s="290">
        <f t="shared" si="4"/>
        <v>1955710.9695585524</v>
      </c>
      <c r="V50" s="290">
        <f t="shared" si="4"/>
        <v>2047629.385127804</v>
      </c>
      <c r="W50" s="290">
        <f t="shared" si="4"/>
        <v>2143867.9662288106</v>
      </c>
      <c r="X50" s="290">
        <f t="shared" si="4"/>
        <v>2244629.7606415646</v>
      </c>
      <c r="Y50" s="290">
        <f t="shared" si="4"/>
        <v>2350127.3593917182</v>
      </c>
      <c r="Z50" s="290">
        <f t="shared" si="4"/>
        <v>2460583.3452831288</v>
      </c>
      <c r="AA50" s="290">
        <f t="shared" si="4"/>
        <v>2576230.7625114354</v>
      </c>
      <c r="AB50" s="290">
        <f t="shared" si="4"/>
        <v>2697313.6083494727</v>
      </c>
      <c r="AC50" s="290">
        <f t="shared" si="4"/>
        <v>2824087.3479418973</v>
      </c>
      <c r="AD50" s="290">
        <f t="shared" si="4"/>
        <v>2956819.4532951661</v>
      </c>
      <c r="AE50" s="290">
        <f t="shared" si="4"/>
        <v>3095789.9676000387</v>
      </c>
      <c r="AF50" s="290">
        <f t="shared" si="4"/>
        <v>3241292.0960772405</v>
      </c>
      <c r="AG50" s="290">
        <f t="shared" si="4"/>
        <v>3393632.8245928707</v>
      </c>
      <c r="AH50" s="290">
        <f t="shared" si="4"/>
        <v>3553133.5673487354</v>
      </c>
      <c r="AI50" s="290">
        <f t="shared" si="4"/>
        <v>3720130.845014126</v>
      </c>
      <c r="AJ50" s="290">
        <f t="shared" si="4"/>
        <v>3894976.9947297894</v>
      </c>
      <c r="AK50" s="290">
        <f t="shared" si="4"/>
        <v>4078040.9134820895</v>
      </c>
      <c r="AL50" s="290">
        <f t="shared" si="4"/>
        <v>4269708.8364157472</v>
      </c>
      <c r="AM50" s="290">
        <f t="shared" si="4"/>
        <v>4470385.1517272871</v>
      </c>
      <c r="AN50" s="290">
        <f t="shared" si="4"/>
        <v>4680493.2538584694</v>
      </c>
      <c r="AO50" s="290">
        <f t="shared" si="4"/>
        <v>4900476.4367898162</v>
      </c>
      <c r="AP50" s="290">
        <f t="shared" si="4"/>
        <v>5130798.8293189378</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15295609</v>
      </c>
      <c r="C59" s="301">
        <f>C50*$B$28</f>
        <v>0</v>
      </c>
      <c r="D59" s="301">
        <f t="shared" ref="D59:AP59" si="10">D50*$B$28</f>
        <v>153779.96930449648</v>
      </c>
      <c r="E59" s="301">
        <f t="shared" si="10"/>
        <v>267972.18689751351</v>
      </c>
      <c r="F59" s="301">
        <f t="shared" si="10"/>
        <v>420850.31952254497</v>
      </c>
      <c r="G59" s="301">
        <f>G50*$B$28</f>
        <v>587507.04605347267</v>
      </c>
      <c r="H59" s="301">
        <f t="shared" si="10"/>
        <v>768899.84652248234</v>
      </c>
      <c r="I59" s="301">
        <f t="shared" si="10"/>
        <v>1127053.3950326545</v>
      </c>
      <c r="J59" s="301">
        <f t="shared" si="10"/>
        <v>1180024.9045991893</v>
      </c>
      <c r="K59" s="301">
        <f t="shared" si="10"/>
        <v>1235486.075115351</v>
      </c>
      <c r="L59" s="301">
        <f t="shared" si="10"/>
        <v>1293553.9206457725</v>
      </c>
      <c r="M59" s="301">
        <f t="shared" si="10"/>
        <v>1354350.9549161238</v>
      </c>
      <c r="N59" s="301">
        <f t="shared" si="10"/>
        <v>1418005.4497971814</v>
      </c>
      <c r="O59" s="301">
        <f t="shared" si="10"/>
        <v>1484651.7059376487</v>
      </c>
      <c r="P59" s="301">
        <f t="shared" si="10"/>
        <v>1554430.3361167181</v>
      </c>
      <c r="Q59" s="301">
        <f t="shared" si="10"/>
        <v>1627488.5619142039</v>
      </c>
      <c r="R59" s="301">
        <f t="shared" si="10"/>
        <v>1703980.5243241712</v>
      </c>
      <c r="S59" s="301">
        <f t="shared" si="10"/>
        <v>1784067.6089674074</v>
      </c>
      <c r="T59" s="301">
        <f t="shared" si="10"/>
        <v>1867918.7865888753</v>
      </c>
      <c r="U59" s="301">
        <f t="shared" si="10"/>
        <v>1955710.9695585524</v>
      </c>
      <c r="V59" s="301">
        <f t="shared" si="10"/>
        <v>2047629.385127804</v>
      </c>
      <c r="W59" s="301">
        <f t="shared" si="10"/>
        <v>2143867.9662288106</v>
      </c>
      <c r="X59" s="301">
        <f t="shared" si="10"/>
        <v>2244629.7606415646</v>
      </c>
      <c r="Y59" s="301">
        <f t="shared" si="10"/>
        <v>2350127.3593917182</v>
      </c>
      <c r="Z59" s="301">
        <f t="shared" si="10"/>
        <v>2460583.3452831288</v>
      </c>
      <c r="AA59" s="301">
        <f t="shared" si="10"/>
        <v>2576230.7625114354</v>
      </c>
      <c r="AB59" s="301">
        <f t="shared" si="10"/>
        <v>2697313.6083494727</v>
      </c>
      <c r="AC59" s="301">
        <f t="shared" si="10"/>
        <v>2824087.3479418973</v>
      </c>
      <c r="AD59" s="301">
        <f t="shared" si="10"/>
        <v>2956819.4532951661</v>
      </c>
      <c r="AE59" s="301">
        <f t="shared" si="10"/>
        <v>3095789.9676000387</v>
      </c>
      <c r="AF59" s="301">
        <f t="shared" si="10"/>
        <v>3241292.0960772405</v>
      </c>
      <c r="AG59" s="301">
        <f t="shared" si="10"/>
        <v>3393632.8245928707</v>
      </c>
      <c r="AH59" s="301">
        <f t="shared" si="10"/>
        <v>3553133.5673487354</v>
      </c>
      <c r="AI59" s="301">
        <f t="shared" si="10"/>
        <v>3720130.845014126</v>
      </c>
      <c r="AJ59" s="301">
        <f t="shared" si="10"/>
        <v>3894976.9947297894</v>
      </c>
      <c r="AK59" s="301">
        <f t="shared" si="10"/>
        <v>4078040.9134820895</v>
      </c>
      <c r="AL59" s="301">
        <f t="shared" si="10"/>
        <v>4269708.8364157472</v>
      </c>
      <c r="AM59" s="301">
        <f t="shared" si="10"/>
        <v>4470385.1517272871</v>
      </c>
      <c r="AN59" s="301">
        <f t="shared" si="10"/>
        <v>4680493.2538584694</v>
      </c>
      <c r="AO59" s="301">
        <f t="shared" si="10"/>
        <v>4900476.4367898162</v>
      </c>
      <c r="AP59" s="301">
        <f t="shared" si="10"/>
        <v>5130798.8293189378</v>
      </c>
    </row>
    <row r="60" spans="1:45" x14ac:dyDescent="0.2">
      <c r="A60" s="293" t="s">
        <v>261</v>
      </c>
      <c r="B60" s="294">
        <f t="shared" ref="B60:AP60" si="11">SUM(B61:B65)</f>
        <v>0</v>
      </c>
      <c r="C60" s="294">
        <f t="shared" si="11"/>
        <v>-354.44444444444446</v>
      </c>
      <c r="D60" s="294">
        <f>SUM(D61:D65)</f>
        <v>-342.22222222222229</v>
      </c>
      <c r="E60" s="294">
        <f>SUM(E61:E65)</f>
        <v>-353.38354478003282</v>
      </c>
      <c r="F60" s="294">
        <f t="shared" si="11"/>
        <v>-342.26034916247221</v>
      </c>
      <c r="G60" s="294">
        <f t="shared" si="11"/>
        <v>-331.1888077953306</v>
      </c>
      <c r="H60" s="294">
        <f t="shared" si="11"/>
        <v>-320.17134842837783</v>
      </c>
      <c r="I60" s="294">
        <f t="shared" si="11"/>
        <v>-309.2105129156227</v>
      </c>
      <c r="J60" s="294">
        <f t="shared" si="11"/>
        <v>-298.30896257821252</v>
      </c>
      <c r="K60" s="294">
        <f t="shared" si="11"/>
        <v>-287.46948381938853</v>
      </c>
      <c r="L60" s="294">
        <f t="shared" si="11"/>
        <v>-276.69499400334428</v>
      </c>
      <c r="M60" s="294">
        <f t="shared" si="11"/>
        <v>-265.98854761039036</v>
      </c>
      <c r="N60" s="294">
        <f t="shared" si="11"/>
        <v>-255.35334268141202</v>
      </c>
      <c r="O60" s="294">
        <f t="shared" si="11"/>
        <v>-244.79272756521615</v>
      </c>
      <c r="P60" s="294">
        <f t="shared" si="11"/>
        <v>-234.31020798300355</v>
      </c>
      <c r="Q60" s="294">
        <f t="shared" si="11"/>
        <v>-223.9094544248714</v>
      </c>
      <c r="R60" s="294">
        <f t="shared" si="11"/>
        <v>-213.59430989395145</v>
      </c>
      <c r="S60" s="294">
        <f t="shared" si="11"/>
        <v>-203.3687980145227</v>
      </c>
      <c r="T60" s="294">
        <f t="shared" si="11"/>
        <v>-193.23713152120524</v>
      </c>
      <c r="U60" s="294">
        <f t="shared" si="11"/>
        <v>-183.2037211471463</v>
      </c>
      <c r="V60" s="294">
        <f t="shared" si="11"/>
        <v>-173.27318492995107</v>
      </c>
      <c r="W60" s="294">
        <f t="shared" si="11"/>
        <v>-163.45035795499206</v>
      </c>
      <c r="X60" s="294">
        <f t="shared" si="11"/>
        <v>-153.74030255665446</v>
      </c>
      <c r="Y60" s="294">
        <f t="shared" si="11"/>
        <v>-144.14831899903942</v>
      </c>
      <c r="Z60" s="294">
        <f t="shared" si="11"/>
        <v>-134.67995665866093</v>
      </c>
      <c r="AA60" s="294">
        <f t="shared" si="11"/>
        <v>-125.34102573272907</v>
      </c>
      <c r="AB60" s="294">
        <f t="shared" si="11"/>
        <v>-116.13760949772288</v>
      </c>
      <c r="AC60" s="294">
        <f t="shared" si="11"/>
        <v>-107.07607714411583</v>
      </c>
      <c r="AD60" s="294">
        <f t="shared" si="11"/>
        <v>-98.163097214333703</v>
      </c>
      <c r="AE60" s="294">
        <f t="shared" si="11"/>
        <v>-89.405651672296244</v>
      </c>
      <c r="AF60" s="294">
        <f t="shared" si="11"/>
        <v>-80.811050634227499</v>
      </c>
      <c r="AG60" s="294">
        <f t="shared" si="11"/>
        <v>-84.609170014035897</v>
      </c>
      <c r="AH60" s="294">
        <f t="shared" si="11"/>
        <v>-88.585801004695583</v>
      </c>
      <c r="AI60" s="294">
        <f t="shared" si="11"/>
        <v>-92.749333651916274</v>
      </c>
      <c r="AJ60" s="294">
        <f t="shared" si="11"/>
        <v>-97.108552333556332</v>
      </c>
      <c r="AK60" s="294">
        <f t="shared" si="11"/>
        <v>-101.67265429323348</v>
      </c>
      <c r="AL60" s="294">
        <f t="shared" si="11"/>
        <v>-106.45126904501544</v>
      </c>
      <c r="AM60" s="294">
        <f t="shared" si="11"/>
        <v>-111.45447869013115</v>
      </c>
      <c r="AN60" s="294">
        <f t="shared" si="11"/>
        <v>-116.69283918856732</v>
      </c>
      <c r="AO60" s="294">
        <f t="shared" si="11"/>
        <v>-122.17740263042997</v>
      </c>
      <c r="AP60" s="294">
        <f t="shared" si="11"/>
        <v>-127.91974055406017</v>
      </c>
    </row>
    <row r="61" spans="1:45" x14ac:dyDescent="0.2">
      <c r="A61" s="302" t="s">
        <v>260</v>
      </c>
      <c r="B61" s="294"/>
      <c r="C61" s="294">
        <f>-IF(C$47&lt;=$B$30,0,$B$29*(1+C$49)*$B$28)</f>
        <v>0</v>
      </c>
      <c r="D61" s="294">
        <f>-IF(D$47&lt;=$B$30,0,$B$29*(1+D$49)*$B$28)</f>
        <v>0</v>
      </c>
      <c r="E61" s="294">
        <f>-IF(E$47&lt;=$B$30,0,$B$29*(1+E$49)*$B$28)</f>
        <v>-23.383544780032786</v>
      </c>
      <c r="F61" s="294">
        <f t="shared" ref="F61:AP61" si="12">-IF(F$47&lt;=$B$30,0,$B$29*(1+F$49)*$B$28)</f>
        <v>-24.482571384694324</v>
      </c>
      <c r="G61" s="294">
        <f t="shared" si="12"/>
        <v>-25.633252239774958</v>
      </c>
      <c r="H61" s="294">
        <f t="shared" si="12"/>
        <v>-26.83801509504438</v>
      </c>
      <c r="I61" s="294">
        <f t="shared" si="12"/>
        <v>-28.099401804511462</v>
      </c>
      <c r="J61" s="294">
        <f t="shared" si="12"/>
        <v>-29.420073689323498</v>
      </c>
      <c r="K61" s="294">
        <f t="shared" si="12"/>
        <v>-30.802817152721701</v>
      </c>
      <c r="L61" s="294">
        <f t="shared" si="12"/>
        <v>-32.250549558899621</v>
      </c>
      <c r="M61" s="294">
        <f t="shared" si="12"/>
        <v>-33.7663253881679</v>
      </c>
      <c r="N61" s="294">
        <f t="shared" si="12"/>
        <v>-35.353342681411789</v>
      </c>
      <c r="O61" s="294">
        <f t="shared" si="12"/>
        <v>-37.014949787438134</v>
      </c>
      <c r="P61" s="294">
        <f t="shared" si="12"/>
        <v>-38.754652427447731</v>
      </c>
      <c r="Q61" s="294">
        <f t="shared" si="12"/>
        <v>-40.576121091537765</v>
      </c>
      <c r="R61" s="294">
        <f t="shared" si="12"/>
        <v>-42.483198782840041</v>
      </c>
      <c r="S61" s="294">
        <f t="shared" si="12"/>
        <v>-44.479909125633519</v>
      </c>
      <c r="T61" s="294">
        <f t="shared" si="12"/>
        <v>-46.570464854538294</v>
      </c>
      <c r="U61" s="294">
        <f t="shared" si="12"/>
        <v>-48.759276702701591</v>
      </c>
      <c r="V61" s="294">
        <f t="shared" si="12"/>
        <v>-51.050962707728559</v>
      </c>
      <c r="W61" s="294">
        <f t="shared" si="12"/>
        <v>-53.450357954991794</v>
      </c>
      <c r="X61" s="294">
        <f t="shared" si="12"/>
        <v>-55.962524778876407</v>
      </c>
      <c r="Y61" s="294">
        <f t="shared" si="12"/>
        <v>-58.592763443483598</v>
      </c>
      <c r="Z61" s="294">
        <f t="shared" si="12"/>
        <v>-61.346623325327322</v>
      </c>
      <c r="AA61" s="294">
        <f t="shared" si="12"/>
        <v>-64.229914621617695</v>
      </c>
      <c r="AB61" s="294">
        <f t="shared" si="12"/>
        <v>-67.248720608833722</v>
      </c>
      <c r="AC61" s="294">
        <f t="shared" si="12"/>
        <v>-70.409410477448901</v>
      </c>
      <c r="AD61" s="294">
        <f t="shared" si="12"/>
        <v>-73.71865276988899</v>
      </c>
      <c r="AE61" s="294">
        <f t="shared" si="12"/>
        <v>-77.18342945007376</v>
      </c>
      <c r="AF61" s="294">
        <f t="shared" si="12"/>
        <v>-80.811050634227229</v>
      </c>
      <c r="AG61" s="294">
        <f t="shared" si="12"/>
        <v>-84.609170014035897</v>
      </c>
      <c r="AH61" s="294">
        <f t="shared" si="12"/>
        <v>-88.585801004695583</v>
      </c>
      <c r="AI61" s="294">
        <f t="shared" si="12"/>
        <v>-92.749333651916274</v>
      </c>
      <c r="AJ61" s="294">
        <f t="shared" si="12"/>
        <v>-97.108552333556332</v>
      </c>
      <c r="AK61" s="294">
        <f t="shared" si="12"/>
        <v>-101.67265429323348</v>
      </c>
      <c r="AL61" s="294">
        <f t="shared" si="12"/>
        <v>-106.45126904501544</v>
      </c>
      <c r="AM61" s="294">
        <f t="shared" si="12"/>
        <v>-111.45447869013115</v>
      </c>
      <c r="AN61" s="294">
        <f t="shared" si="12"/>
        <v>-116.69283918856732</v>
      </c>
      <c r="AO61" s="294">
        <f t="shared" si="12"/>
        <v>-122.17740263042997</v>
      </c>
      <c r="AP61" s="294">
        <f t="shared" si="12"/>
        <v>-127.91974055406017</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5">
        <f>-($B$25+C67)*0.022</f>
        <v>-354.44444444444446</v>
      </c>
      <c r="D65" s="405">
        <f>-($B$25+D67+C67)*0.022</f>
        <v>-342.22222222222229</v>
      </c>
      <c r="E65" s="406">
        <f>-($B$25+E67+C67+D67)*0.022</f>
        <v>-330.00000000000006</v>
      </c>
      <c r="F65" s="406">
        <f>-($B$25+F67+D67+E67+C67)*0.022</f>
        <v>-317.77777777777789</v>
      </c>
      <c r="G65" s="406">
        <f>-($B$25+G67+E67+F67+D67+C67)*0.022</f>
        <v>-305.55555555555566</v>
      </c>
      <c r="H65" s="406">
        <f>-($B$25+H67+F67+G67+E67+C67+D67)*0.022</f>
        <v>-293.33333333333343</v>
      </c>
      <c r="I65" s="406">
        <f>-($B$25+C67+I67+G67+H67+F67+D67+E67)*0.022</f>
        <v>-281.11111111111126</v>
      </c>
      <c r="J65" s="406">
        <f>-($B$25+D67+J67+H67+I67+G67+E67+F67+C67)*0.022</f>
        <v>-268.88888888888903</v>
      </c>
      <c r="K65" s="406">
        <f>-($B$25+E67+K67+I67+J67+H67+F67+G67+C67+D67)*0.022</f>
        <v>-256.66666666666686</v>
      </c>
      <c r="L65" s="406">
        <f>-($B$25+F67+L67+J67+K67+I67+G67+H67+E67+D67+C67)*0.022</f>
        <v>-244.44444444444463</v>
      </c>
      <c r="M65" s="406">
        <f>-($B$25+G67+M67+K67+L67+J67+H67+I67+F67+E67+C67+D67)*0.022</f>
        <v>-232.22222222222243</v>
      </c>
      <c r="N65" s="406">
        <f>-($B$25+H67+N67+L67+M67+K67+I67+J67+G67+F67+E67+C67+D67)*0.022</f>
        <v>-220.00000000000023</v>
      </c>
      <c r="O65" s="406">
        <f>-($B$25+I67+O67+M67+N67+L67+J67+K67+H67+G67+F67+D67+C67+E67)*0.022</f>
        <v>-207.77777777777803</v>
      </c>
      <c r="P65" s="406">
        <f>-($B$25+J67+P67+N67+O67+M67+K67+L67+I67+H67+G67+E67+F67+C67+D67)*0.022</f>
        <v>-195.55555555555583</v>
      </c>
      <c r="Q65" s="406">
        <f>-($B$25+K67+Q67+O67+P67+N67+L67+M67+J67+I67+H67+F67+G67+D67+C67+E67)*0.022</f>
        <v>-183.33333333333363</v>
      </c>
      <c r="R65" s="406">
        <f>-($B$25+L67+R67+P67+Q67+O67+M67+N67+K67+J67+I67+G67+H67+E67+D67+C67+F67)*0.022</f>
        <v>-171.1111111111114</v>
      </c>
      <c r="S65" s="406">
        <f>-($B$25+M67+S67+Q67+R67+P67+N67+O67+L67+K67+J67+H67+I67+F67+E67+D67+C67+G67)*0.022</f>
        <v>-158.88888888888917</v>
      </c>
      <c r="T65" s="406">
        <f>-($B$25+N67+T67+R67+S67+Q67+O67+P67+M67+L67+K67+I67+J67+G67+F67+E67+D67+C67+H67)*0.022</f>
        <v>-146.66666666666694</v>
      </c>
      <c r="U65" s="406">
        <f>-($B$25+O67+U67+S67+T67+R67+P67+Q67+N67+M67+L67+J67+K67+H67+G67+F67+E67+C67+D67++I67)*0.022</f>
        <v>-134.44444444444471</v>
      </c>
      <c r="V65" s="406">
        <f>-($B$25+P67+V67+T67+U67+S67+Q67+R67+O67+N67+M67+K67+L67+I67+H67+G67+F67+D67+E67+C67+J67)*0.022</f>
        <v>-122.2222222222225</v>
      </c>
      <c r="W65" s="406">
        <f>-($B$25+Q67+W67+U67+V67+T67+R67+S67+P67+O67+N67+L67+M67+J67+I67+H67+G67+E67+F67+D67+C67+K67)*0.022</f>
        <v>-110.00000000000027</v>
      </c>
      <c r="X65" s="406">
        <f>-($B$25+R67+X67+V67+W67+U67+S67+T67+Q67+P67+O67+M67+N67+K67+J67+I67+H67+F67+G67+E67+D67+C67+L67)*0.022</f>
        <v>-97.777777777778056</v>
      </c>
      <c r="Y65" s="406">
        <f>-($B$25+S67+Y67+W67+X67+V67+T67+U67+R67+Q67+P67+N67+O67+L67+K67+J67+I67+G67+H67+F67+E67+D67+C67+M67)*0.022</f>
        <v>-85.555555555555827</v>
      </c>
      <c r="Z65" s="406">
        <f>-($B$25+T67+Z67+X67+Y67+W67+U67+V67+S67+R67+Q67+O67+P67+M67+L67+K67+J67+H67+I67+G67+F67+E67+D67+C67+N67)*0.022</f>
        <v>-73.333333333333599</v>
      </c>
      <c r="AA65" s="406">
        <f>-($B$25+U67+AA67+Y67+Z67+X67+V67+W67+T67+S67+R67+P67+Q67+N67+M67+L67+K67+I67+J67+H67+G67+F67+E67+D67+C67+O67)*0.022</f>
        <v>-61.111111111111377</v>
      </c>
      <c r="AB65" s="406">
        <f>-($B$25+V67+AB67+Z67+AA67+Y67+W67+X67+U67+T67+S67+Q67+R67+O67+N67+M67+L67+J67+K67+I67+H67+G67+F67+E67+D67+C67+P67)*0.022</f>
        <v>-48.888888888889156</v>
      </c>
      <c r="AC65" s="406">
        <f>-($B$25+W67+AC67+AA67+AB67+Z67+X67+Y67+V67+U67+T67+R67+S67+P67+O67+N67+M67+K67+L67+J67+I67+H67+G67+F67+E67+D67+C67+Q67)*0.022</f>
        <v>-36.666666666666934</v>
      </c>
      <c r="AD65" s="406">
        <f>-($B$25+X67+AD67+AB67+AC67+AA67+Y67+Z67+W67+V67+U67+S67+T67+Q67+P67+O67+N67+L67+M67+K67+J67+I67+H67+G67+F67+E67+D67+C67+R67)*0.022</f>
        <v>-24.444444444444709</v>
      </c>
      <c r="AE65" s="406">
        <f>-($B$25+Y67+AE67+AC67+AD67+AB67+Z67+AA67+X67+W67+V67+T67+U67+R67+Q67+P67+O67+M67+N67+L67+K67+J67+I67+H67+G67+F67+E67+D67+C67+S67)*0.022</f>
        <v>-12.222222222222486</v>
      </c>
      <c r="AF65" s="406">
        <f>-($B$25+Z67+AF67+AD67+AE67+AC67+AA67+AB67+Y67+X67+W67+U67+V67+S67+R67+Q67+P67+N67+O67+M67+L67+K67+J67+I67+H67+G67+F67+E67+D67+C67+T67)*0.022</f>
        <v>-2.6511770556680856E-13</v>
      </c>
      <c r="AG65" s="294"/>
      <c r="AH65" s="294"/>
      <c r="AI65" s="294"/>
      <c r="AJ65" s="294"/>
      <c r="AK65" s="294"/>
      <c r="AL65" s="294"/>
      <c r="AM65" s="294"/>
      <c r="AN65" s="294"/>
      <c r="AO65" s="294"/>
      <c r="AP65" s="294"/>
    </row>
    <row r="66" spans="1:45" ht="28.5" x14ac:dyDescent="0.2">
      <c r="A66" s="303" t="s">
        <v>549</v>
      </c>
      <c r="B66" s="301">
        <f t="shared" ref="B66:AO66" si="13">B59+B60</f>
        <v>15295609</v>
      </c>
      <c r="C66" s="301">
        <f t="shared" si="13"/>
        <v>-354.44444444444446</v>
      </c>
      <c r="D66" s="301">
        <f t="shared" si="13"/>
        <v>153437.74708227426</v>
      </c>
      <c r="E66" s="301">
        <f t="shared" si="13"/>
        <v>267618.80335273349</v>
      </c>
      <c r="F66" s="301">
        <f t="shared" si="13"/>
        <v>420508.05917338253</v>
      </c>
      <c r="G66" s="301">
        <f t="shared" si="13"/>
        <v>587175.85724567738</v>
      </c>
      <c r="H66" s="301">
        <f t="shared" si="13"/>
        <v>768579.67517405399</v>
      </c>
      <c r="I66" s="301">
        <f t="shared" si="13"/>
        <v>1126744.1845197389</v>
      </c>
      <c r="J66" s="301">
        <f t="shared" si="13"/>
        <v>1179726.5956366111</v>
      </c>
      <c r="K66" s="301">
        <f t="shared" si="13"/>
        <v>1235198.6056315317</v>
      </c>
      <c r="L66" s="301">
        <f t="shared" si="13"/>
        <v>1293277.2256517692</v>
      </c>
      <c r="M66" s="301">
        <f t="shared" si="13"/>
        <v>1354084.9663685134</v>
      </c>
      <c r="N66" s="301">
        <f t="shared" si="13"/>
        <v>1417750.0964545</v>
      </c>
      <c r="O66" s="301">
        <f t="shared" si="13"/>
        <v>1484406.9132100835</v>
      </c>
      <c r="P66" s="301">
        <f t="shared" si="13"/>
        <v>1554196.0259087351</v>
      </c>
      <c r="Q66" s="301">
        <f t="shared" si="13"/>
        <v>1627264.6524597791</v>
      </c>
      <c r="R66" s="301">
        <f t="shared" si="13"/>
        <v>1703766.9300142773</v>
      </c>
      <c r="S66" s="301">
        <f t="shared" si="13"/>
        <v>1783864.2401693929</v>
      </c>
      <c r="T66" s="301">
        <f t="shared" si="13"/>
        <v>1867725.5494573542</v>
      </c>
      <c r="U66" s="301">
        <f t="shared" si="13"/>
        <v>1955527.7658374053</v>
      </c>
      <c r="V66" s="301">
        <f t="shared" si="13"/>
        <v>2047456.111942874</v>
      </c>
      <c r="W66" s="301">
        <f t="shared" si="13"/>
        <v>2143704.5158708557</v>
      </c>
      <c r="X66" s="301">
        <f t="shared" si="13"/>
        <v>2244476.020339008</v>
      </c>
      <c r="Y66" s="301">
        <f t="shared" si="13"/>
        <v>2349983.2110727192</v>
      </c>
      <c r="Z66" s="301">
        <f t="shared" si="13"/>
        <v>2460448.66532647</v>
      </c>
      <c r="AA66" s="301">
        <f t="shared" si="13"/>
        <v>2576105.4214857025</v>
      </c>
      <c r="AB66" s="301">
        <f t="shared" si="13"/>
        <v>2697197.4707399751</v>
      </c>
      <c r="AC66" s="301">
        <f t="shared" si="13"/>
        <v>2823980.2718647532</v>
      </c>
      <c r="AD66" s="301">
        <f t="shared" si="13"/>
        <v>2956721.2901979517</v>
      </c>
      <c r="AE66" s="301">
        <f t="shared" si="13"/>
        <v>3095700.5619483665</v>
      </c>
      <c r="AF66" s="301">
        <f t="shared" si="13"/>
        <v>3241211.2850266062</v>
      </c>
      <c r="AG66" s="301">
        <f t="shared" si="13"/>
        <v>3393548.2154228566</v>
      </c>
      <c r="AH66" s="301">
        <f t="shared" si="13"/>
        <v>3553044.9815477305</v>
      </c>
      <c r="AI66" s="301">
        <f t="shared" si="13"/>
        <v>3720038.0956804743</v>
      </c>
      <c r="AJ66" s="301">
        <f t="shared" si="13"/>
        <v>3894879.886177456</v>
      </c>
      <c r="AK66" s="301">
        <f t="shared" si="13"/>
        <v>4077939.2408277965</v>
      </c>
      <c r="AL66" s="301">
        <f t="shared" si="13"/>
        <v>4269602.3851467017</v>
      </c>
      <c r="AM66" s="301">
        <f t="shared" si="13"/>
        <v>4470273.6972485967</v>
      </c>
      <c r="AN66" s="301">
        <f t="shared" si="13"/>
        <v>4680376.5610192809</v>
      </c>
      <c r="AO66" s="301">
        <f t="shared" si="13"/>
        <v>4900354.2593871858</v>
      </c>
      <c r="AP66" s="301">
        <f>AP59+AP60</f>
        <v>5130670.9095783839</v>
      </c>
    </row>
    <row r="67" spans="1:45" x14ac:dyDescent="0.2">
      <c r="A67" s="302" t="s">
        <v>255</v>
      </c>
      <c r="B67" s="304"/>
      <c r="C67" s="390">
        <f>-($B$25)*$B$28/$B$27</f>
        <v>-555.55555555555554</v>
      </c>
      <c r="D67" s="390">
        <f>C67</f>
        <v>-555.55555555555554</v>
      </c>
      <c r="E67" s="390">
        <f t="shared" ref="E67:L67" si="14">D67</f>
        <v>-555.55555555555554</v>
      </c>
      <c r="F67" s="390">
        <f t="shared" si="14"/>
        <v>-555.55555555555554</v>
      </c>
      <c r="G67" s="390">
        <f t="shared" si="14"/>
        <v>-555.55555555555554</v>
      </c>
      <c r="H67" s="390">
        <f t="shared" si="14"/>
        <v>-555.55555555555554</v>
      </c>
      <c r="I67" s="390">
        <f t="shared" si="14"/>
        <v>-555.55555555555554</v>
      </c>
      <c r="J67" s="390">
        <f t="shared" si="14"/>
        <v>-555.55555555555554</v>
      </c>
      <c r="K67" s="390">
        <f t="shared" si="14"/>
        <v>-555.55555555555554</v>
      </c>
      <c r="L67" s="390">
        <f t="shared" si="14"/>
        <v>-555.55555555555554</v>
      </c>
      <c r="M67" s="294">
        <f t="shared" ref="M67:AP67" si="15">L67</f>
        <v>-555.55555555555554</v>
      </c>
      <c r="N67" s="294">
        <f t="shared" si="15"/>
        <v>-555.55555555555554</v>
      </c>
      <c r="O67" s="294">
        <f t="shared" si="15"/>
        <v>-555.55555555555554</v>
      </c>
      <c r="P67" s="294">
        <f t="shared" si="15"/>
        <v>-555.55555555555554</v>
      </c>
      <c r="Q67" s="294">
        <f t="shared" si="15"/>
        <v>-555.55555555555554</v>
      </c>
      <c r="R67" s="294">
        <f t="shared" si="15"/>
        <v>-555.55555555555554</v>
      </c>
      <c r="S67" s="294">
        <f t="shared" si="15"/>
        <v>-555.55555555555554</v>
      </c>
      <c r="T67" s="294">
        <f t="shared" si="15"/>
        <v>-555.55555555555554</v>
      </c>
      <c r="U67" s="294">
        <f t="shared" si="15"/>
        <v>-555.55555555555554</v>
      </c>
      <c r="V67" s="294">
        <f t="shared" si="15"/>
        <v>-555.55555555555554</v>
      </c>
      <c r="W67" s="294">
        <f t="shared" si="15"/>
        <v>-555.55555555555554</v>
      </c>
      <c r="X67" s="294">
        <f t="shared" si="15"/>
        <v>-555.55555555555554</v>
      </c>
      <c r="Y67" s="294">
        <f t="shared" si="15"/>
        <v>-555.55555555555554</v>
      </c>
      <c r="Z67" s="294">
        <f t="shared" si="15"/>
        <v>-555.55555555555554</v>
      </c>
      <c r="AA67" s="294">
        <f t="shared" si="15"/>
        <v>-555.55555555555554</v>
      </c>
      <c r="AB67" s="294">
        <f t="shared" si="15"/>
        <v>-555.55555555555554</v>
      </c>
      <c r="AC67" s="294">
        <f t="shared" si="15"/>
        <v>-555.55555555555554</v>
      </c>
      <c r="AD67" s="294">
        <f t="shared" si="15"/>
        <v>-555.55555555555554</v>
      </c>
      <c r="AE67" s="294">
        <f t="shared" si="15"/>
        <v>-555.55555555555554</v>
      </c>
      <c r="AF67" s="294">
        <f t="shared" si="15"/>
        <v>-555.55555555555554</v>
      </c>
      <c r="AG67" s="294">
        <f t="shared" si="15"/>
        <v>-555.55555555555554</v>
      </c>
      <c r="AH67" s="294">
        <f t="shared" si="15"/>
        <v>-555.55555555555554</v>
      </c>
      <c r="AI67" s="294">
        <f t="shared" si="15"/>
        <v>-555.55555555555554</v>
      </c>
      <c r="AJ67" s="294">
        <f t="shared" si="15"/>
        <v>-555.55555555555554</v>
      </c>
      <c r="AK67" s="294">
        <f t="shared" si="15"/>
        <v>-555.55555555555554</v>
      </c>
      <c r="AL67" s="294">
        <f t="shared" si="15"/>
        <v>-555.55555555555554</v>
      </c>
      <c r="AM67" s="294">
        <f t="shared" si="15"/>
        <v>-555.55555555555554</v>
      </c>
      <c r="AN67" s="294">
        <f t="shared" si="15"/>
        <v>-555.55555555555554</v>
      </c>
      <c r="AO67" s="294">
        <f t="shared" si="15"/>
        <v>-555.55555555555554</v>
      </c>
      <c r="AP67" s="294">
        <f t="shared" si="15"/>
        <v>-555.55555555555554</v>
      </c>
      <c r="AQ67" s="305"/>
      <c r="AR67" s="306"/>
      <c r="AS67" s="306"/>
    </row>
    <row r="68" spans="1:45" ht="28.5" x14ac:dyDescent="0.2">
      <c r="A68" s="303" t="s">
        <v>550</v>
      </c>
      <c r="B68" s="301">
        <f t="shared" ref="B68:J68" si="16">B66+B67</f>
        <v>15295609</v>
      </c>
      <c r="C68" s="301">
        <f>C66+C67</f>
        <v>-910</v>
      </c>
      <c r="D68" s="301">
        <f>D66+D67</f>
        <v>152882.1915267187</v>
      </c>
      <c r="E68" s="301">
        <f t="shared" si="16"/>
        <v>267063.24779717793</v>
      </c>
      <c r="F68" s="301">
        <f>F66+C67</f>
        <v>419952.50361782697</v>
      </c>
      <c r="G68" s="301">
        <f t="shared" si="16"/>
        <v>586620.30169012188</v>
      </c>
      <c r="H68" s="301">
        <f t="shared" si="16"/>
        <v>768024.11961849849</v>
      </c>
      <c r="I68" s="301">
        <f t="shared" si="16"/>
        <v>1126188.6289641834</v>
      </c>
      <c r="J68" s="301">
        <f t="shared" si="16"/>
        <v>1179171.0400810556</v>
      </c>
      <c r="K68" s="301">
        <f>K66+K67</f>
        <v>1234643.0500759762</v>
      </c>
      <c r="L68" s="301">
        <f>L66+L67</f>
        <v>1292721.6700962137</v>
      </c>
      <c r="M68" s="301">
        <f t="shared" ref="M68:AO68" si="17">M66+M67</f>
        <v>1353529.4108129579</v>
      </c>
      <c r="N68" s="301">
        <f t="shared" si="17"/>
        <v>1417194.5408989445</v>
      </c>
      <c r="O68" s="301">
        <f t="shared" si="17"/>
        <v>1483851.357654528</v>
      </c>
      <c r="P68" s="301">
        <f t="shared" si="17"/>
        <v>1553640.4703531796</v>
      </c>
      <c r="Q68" s="301">
        <f t="shared" si="17"/>
        <v>1626709.0969042236</v>
      </c>
      <c r="R68" s="301">
        <f t="shared" si="17"/>
        <v>1703211.3744587218</v>
      </c>
      <c r="S68" s="301">
        <f t="shared" si="17"/>
        <v>1783308.6846138374</v>
      </c>
      <c r="T68" s="301">
        <f t="shared" si="17"/>
        <v>1867169.9939017987</v>
      </c>
      <c r="U68" s="301">
        <f t="shared" si="17"/>
        <v>1954972.2102818498</v>
      </c>
      <c r="V68" s="301">
        <f t="shared" si="17"/>
        <v>2046900.5563873185</v>
      </c>
      <c r="W68" s="301">
        <f t="shared" si="17"/>
        <v>2143148.9603153002</v>
      </c>
      <c r="X68" s="301">
        <f t="shared" si="17"/>
        <v>2243920.4647834525</v>
      </c>
      <c r="Y68" s="301">
        <f t="shared" si="17"/>
        <v>2349427.6555171637</v>
      </c>
      <c r="Z68" s="301">
        <f t="shared" si="17"/>
        <v>2459893.1097709145</v>
      </c>
      <c r="AA68" s="301">
        <f t="shared" si="17"/>
        <v>2575549.865930147</v>
      </c>
      <c r="AB68" s="301">
        <f t="shared" si="17"/>
        <v>2696641.9151844196</v>
      </c>
      <c r="AC68" s="301">
        <f t="shared" si="17"/>
        <v>2823424.7163091977</v>
      </c>
      <c r="AD68" s="301">
        <f t="shared" si="17"/>
        <v>2956165.7346423962</v>
      </c>
      <c r="AE68" s="301">
        <f t="shared" si="17"/>
        <v>3095145.006392811</v>
      </c>
      <c r="AF68" s="301">
        <f t="shared" si="17"/>
        <v>3240655.7294710507</v>
      </c>
      <c r="AG68" s="301">
        <f t="shared" si="17"/>
        <v>3392992.6598673011</v>
      </c>
      <c r="AH68" s="301">
        <f t="shared" si="17"/>
        <v>3552489.425992175</v>
      </c>
      <c r="AI68" s="301">
        <f t="shared" si="17"/>
        <v>3719482.5401249188</v>
      </c>
      <c r="AJ68" s="301">
        <f t="shared" si="17"/>
        <v>3894324.3306219005</v>
      </c>
      <c r="AK68" s="301">
        <f t="shared" si="17"/>
        <v>4077383.685272241</v>
      </c>
      <c r="AL68" s="301">
        <f t="shared" si="17"/>
        <v>4269046.8295911457</v>
      </c>
      <c r="AM68" s="301">
        <f t="shared" si="17"/>
        <v>4469718.1416930407</v>
      </c>
      <c r="AN68" s="301">
        <f t="shared" si="17"/>
        <v>4679821.005463725</v>
      </c>
      <c r="AO68" s="301">
        <f t="shared" si="17"/>
        <v>4899798.7038316298</v>
      </c>
      <c r="AP68" s="301">
        <f>AP66+AP67</f>
        <v>5130115.3540228279</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15295609</v>
      </c>
      <c r="C70" s="301">
        <f t="shared" si="19"/>
        <v>-910</v>
      </c>
      <c r="D70" s="301">
        <f t="shared" si="19"/>
        <v>152882.1915267187</v>
      </c>
      <c r="E70" s="301">
        <f t="shared" si="19"/>
        <v>267063.24779717793</v>
      </c>
      <c r="F70" s="301">
        <f t="shared" si="19"/>
        <v>419952.50361782697</v>
      </c>
      <c r="G70" s="301">
        <f t="shared" si="19"/>
        <v>586620.30169012188</v>
      </c>
      <c r="H70" s="301">
        <f t="shared" si="19"/>
        <v>768024.11961849849</v>
      </c>
      <c r="I70" s="301">
        <f t="shared" si="19"/>
        <v>1126188.6289641834</v>
      </c>
      <c r="J70" s="301">
        <f t="shared" si="19"/>
        <v>1179171.0400810556</v>
      </c>
      <c r="K70" s="301">
        <f t="shared" si="19"/>
        <v>1234643.0500759762</v>
      </c>
      <c r="L70" s="301">
        <f t="shared" si="19"/>
        <v>1292721.6700962137</v>
      </c>
      <c r="M70" s="301">
        <f t="shared" si="19"/>
        <v>1353529.4108129579</v>
      </c>
      <c r="N70" s="301">
        <f t="shared" si="19"/>
        <v>1417194.5408989445</v>
      </c>
      <c r="O70" s="301">
        <f t="shared" si="19"/>
        <v>1483851.357654528</v>
      </c>
      <c r="P70" s="301">
        <f t="shared" si="19"/>
        <v>1553640.4703531796</v>
      </c>
      <c r="Q70" s="301">
        <f t="shared" si="19"/>
        <v>1626709.0969042236</v>
      </c>
      <c r="R70" s="301">
        <f t="shared" si="19"/>
        <v>1703211.3744587218</v>
      </c>
      <c r="S70" s="301">
        <f t="shared" si="19"/>
        <v>1783308.6846138374</v>
      </c>
      <c r="T70" s="301">
        <f t="shared" si="19"/>
        <v>1867169.9939017987</v>
      </c>
      <c r="U70" s="301">
        <f t="shared" si="19"/>
        <v>1954972.2102818498</v>
      </c>
      <c r="V70" s="301">
        <f t="shared" si="19"/>
        <v>2046900.5563873185</v>
      </c>
      <c r="W70" s="301">
        <f t="shared" si="19"/>
        <v>2143148.9603153002</v>
      </c>
      <c r="X70" s="301">
        <f t="shared" si="19"/>
        <v>2243920.4647834525</v>
      </c>
      <c r="Y70" s="301">
        <f t="shared" si="19"/>
        <v>2349427.6555171637</v>
      </c>
      <c r="Z70" s="301">
        <f t="shared" si="19"/>
        <v>2459893.1097709145</v>
      </c>
      <c r="AA70" s="301">
        <f t="shared" si="19"/>
        <v>2575549.865930147</v>
      </c>
      <c r="AB70" s="301">
        <f t="shared" si="19"/>
        <v>2696641.9151844196</v>
      </c>
      <c r="AC70" s="301">
        <f t="shared" si="19"/>
        <v>2823424.7163091977</v>
      </c>
      <c r="AD70" s="301">
        <f t="shared" si="19"/>
        <v>2956165.7346423962</v>
      </c>
      <c r="AE70" s="301">
        <f t="shared" si="19"/>
        <v>3095145.006392811</v>
      </c>
      <c r="AF70" s="301">
        <f t="shared" si="19"/>
        <v>3240655.7294710507</v>
      </c>
      <c r="AG70" s="301">
        <f t="shared" si="19"/>
        <v>3392992.6598673011</v>
      </c>
      <c r="AH70" s="301">
        <f t="shared" si="19"/>
        <v>3552489.425992175</v>
      </c>
      <c r="AI70" s="301">
        <f t="shared" si="19"/>
        <v>3719482.5401249188</v>
      </c>
      <c r="AJ70" s="301">
        <f t="shared" si="19"/>
        <v>3894324.3306219005</v>
      </c>
      <c r="AK70" s="301">
        <f t="shared" si="19"/>
        <v>4077383.685272241</v>
      </c>
      <c r="AL70" s="301">
        <f t="shared" si="19"/>
        <v>4269046.8295911457</v>
      </c>
      <c r="AM70" s="301">
        <f t="shared" si="19"/>
        <v>4469718.1416930407</v>
      </c>
      <c r="AN70" s="301">
        <f t="shared" si="19"/>
        <v>4679821.005463725</v>
      </c>
      <c r="AO70" s="301">
        <f t="shared" si="19"/>
        <v>4899798.7038316298</v>
      </c>
      <c r="AP70" s="301">
        <f>AP68+AP69</f>
        <v>5130115.3540228279</v>
      </c>
    </row>
    <row r="71" spans="1:45" x14ac:dyDescent="0.2">
      <c r="A71" s="302" t="s">
        <v>253</v>
      </c>
      <c r="B71" s="294">
        <f t="shared" ref="B71:AP71" si="20">-B70*$B$36</f>
        <v>-3059121.8000000003</v>
      </c>
      <c r="C71" s="294">
        <f t="shared" si="20"/>
        <v>182</v>
      </c>
      <c r="D71" s="294">
        <f t="shared" si="20"/>
        <v>-30576.438305343741</v>
      </c>
      <c r="E71" s="294">
        <f t="shared" si="20"/>
        <v>-53412.649559435587</v>
      </c>
      <c r="F71" s="294">
        <f t="shared" si="20"/>
        <v>-83990.500723565405</v>
      </c>
      <c r="G71" s="294">
        <f t="shared" si="20"/>
        <v>-117324.06033802438</v>
      </c>
      <c r="H71" s="294">
        <f t="shared" si="20"/>
        <v>-153604.8239236997</v>
      </c>
      <c r="I71" s="294">
        <f t="shared" si="20"/>
        <v>-225237.72579283669</v>
      </c>
      <c r="J71" s="294">
        <f t="shared" si="20"/>
        <v>-235834.20801621114</v>
      </c>
      <c r="K71" s="294">
        <f t="shared" si="20"/>
        <v>-246928.61001519524</v>
      </c>
      <c r="L71" s="294">
        <f t="shared" si="20"/>
        <v>-258544.33401924276</v>
      </c>
      <c r="M71" s="294">
        <f t="shared" si="20"/>
        <v>-270705.88216259162</v>
      </c>
      <c r="N71" s="294">
        <f t="shared" si="20"/>
        <v>-283438.90817978891</v>
      </c>
      <c r="O71" s="294">
        <f t="shared" si="20"/>
        <v>-296770.27153090562</v>
      </c>
      <c r="P71" s="294">
        <f t="shared" si="20"/>
        <v>-310728.09407063591</v>
      </c>
      <c r="Q71" s="294">
        <f t="shared" si="20"/>
        <v>-325341.81938084471</v>
      </c>
      <c r="R71" s="294">
        <f t="shared" si="20"/>
        <v>-340642.27489174437</v>
      </c>
      <c r="S71" s="294">
        <f t="shared" si="20"/>
        <v>-356661.73692276748</v>
      </c>
      <c r="T71" s="294">
        <f t="shared" si="20"/>
        <v>-373433.99878035975</v>
      </c>
      <c r="U71" s="294">
        <f t="shared" si="20"/>
        <v>-390994.44205636997</v>
      </c>
      <c r="V71" s="294">
        <f t="shared" si="20"/>
        <v>-409380.11127746373</v>
      </c>
      <c r="W71" s="294">
        <f t="shared" si="20"/>
        <v>-428629.79206306004</v>
      </c>
      <c r="X71" s="294">
        <f t="shared" si="20"/>
        <v>-448784.09295669053</v>
      </c>
      <c r="Y71" s="294">
        <f t="shared" si="20"/>
        <v>-469885.53110343276</v>
      </c>
      <c r="Z71" s="294">
        <f t="shared" si="20"/>
        <v>-491978.62195418292</v>
      </c>
      <c r="AA71" s="294">
        <f t="shared" si="20"/>
        <v>-515109.97318602941</v>
      </c>
      <c r="AB71" s="294">
        <f t="shared" si="20"/>
        <v>-539328.3830368839</v>
      </c>
      <c r="AC71" s="294">
        <f t="shared" si="20"/>
        <v>-564684.94326183957</v>
      </c>
      <c r="AD71" s="294">
        <f t="shared" si="20"/>
        <v>-591233.14692847931</v>
      </c>
      <c r="AE71" s="294">
        <f t="shared" si="20"/>
        <v>-619029.00127856224</v>
      </c>
      <c r="AF71" s="294">
        <f t="shared" si="20"/>
        <v>-648131.1458942102</v>
      </c>
      <c r="AG71" s="294">
        <f t="shared" si="20"/>
        <v>-678598.53197346022</v>
      </c>
      <c r="AH71" s="294">
        <f t="shared" si="20"/>
        <v>-710497.88519843505</v>
      </c>
      <c r="AI71" s="294">
        <f t="shared" si="20"/>
        <v>-743896.50802498381</v>
      </c>
      <c r="AJ71" s="294">
        <f t="shared" si="20"/>
        <v>-778864.86612438015</v>
      </c>
      <c r="AK71" s="294">
        <f t="shared" si="20"/>
        <v>-815476.73705444823</v>
      </c>
      <c r="AL71" s="294">
        <f t="shared" si="20"/>
        <v>-853809.36591822922</v>
      </c>
      <c r="AM71" s="294">
        <f t="shared" si="20"/>
        <v>-893943.62833860819</v>
      </c>
      <c r="AN71" s="294">
        <f t="shared" si="20"/>
        <v>-935964.20109274506</v>
      </c>
      <c r="AO71" s="294">
        <f t="shared" si="20"/>
        <v>-979959.74076632597</v>
      </c>
      <c r="AP71" s="294">
        <f t="shared" si="20"/>
        <v>-1026023.0708045657</v>
      </c>
    </row>
    <row r="72" spans="1:45" ht="15" thickBot="1" x14ac:dyDescent="0.25">
      <c r="A72" s="307" t="s">
        <v>257</v>
      </c>
      <c r="B72" s="308">
        <f t="shared" ref="B72:AO72" si="21">B70+B71</f>
        <v>12236487.199999999</v>
      </c>
      <c r="C72" s="308">
        <f t="shared" si="21"/>
        <v>-728</v>
      </c>
      <c r="D72" s="308">
        <f t="shared" si="21"/>
        <v>122305.75322137497</v>
      </c>
      <c r="E72" s="308">
        <f t="shared" si="21"/>
        <v>213650.59823774235</v>
      </c>
      <c r="F72" s="308">
        <f t="shared" si="21"/>
        <v>335962.00289426156</v>
      </c>
      <c r="G72" s="308">
        <f t="shared" si="21"/>
        <v>469296.24135209748</v>
      </c>
      <c r="H72" s="308">
        <f t="shared" si="21"/>
        <v>614419.29569479881</v>
      </c>
      <c r="I72" s="308">
        <f t="shared" si="21"/>
        <v>900950.90317134676</v>
      </c>
      <c r="J72" s="308">
        <f t="shared" si="21"/>
        <v>943336.83206484444</v>
      </c>
      <c r="K72" s="308">
        <f t="shared" si="21"/>
        <v>987714.44006078097</v>
      </c>
      <c r="L72" s="308">
        <f t="shared" si="21"/>
        <v>1034177.3360769709</v>
      </c>
      <c r="M72" s="308">
        <f t="shared" si="21"/>
        <v>1082823.5286503662</v>
      </c>
      <c r="N72" s="308">
        <f t="shared" si="21"/>
        <v>1133755.6327191556</v>
      </c>
      <c r="O72" s="308">
        <f t="shared" si="21"/>
        <v>1187081.0861236225</v>
      </c>
      <c r="P72" s="308">
        <f t="shared" si="21"/>
        <v>1242912.3762825436</v>
      </c>
      <c r="Q72" s="308">
        <f t="shared" si="21"/>
        <v>1301367.2775233788</v>
      </c>
      <c r="R72" s="308">
        <f t="shared" si="21"/>
        <v>1362569.0995669775</v>
      </c>
      <c r="S72" s="308">
        <f t="shared" si="21"/>
        <v>1426646.9476910699</v>
      </c>
      <c r="T72" s="308">
        <f t="shared" si="21"/>
        <v>1493735.995121439</v>
      </c>
      <c r="U72" s="308">
        <f t="shared" si="21"/>
        <v>1563977.7682254799</v>
      </c>
      <c r="V72" s="308">
        <f t="shared" si="21"/>
        <v>1637520.4451098549</v>
      </c>
      <c r="W72" s="308">
        <f t="shared" si="21"/>
        <v>1714519.1682522402</v>
      </c>
      <c r="X72" s="308">
        <f t="shared" si="21"/>
        <v>1795136.3718267619</v>
      </c>
      <c r="Y72" s="308">
        <f t="shared" si="21"/>
        <v>1879542.124413731</v>
      </c>
      <c r="Z72" s="308">
        <f t="shared" si="21"/>
        <v>1967914.4878167317</v>
      </c>
      <c r="AA72" s="308">
        <f t="shared" si="21"/>
        <v>2060439.8927441176</v>
      </c>
      <c r="AB72" s="308">
        <f t="shared" si="21"/>
        <v>2157313.5321475356</v>
      </c>
      <c r="AC72" s="308">
        <f t="shared" si="21"/>
        <v>2258739.7730473583</v>
      </c>
      <c r="AD72" s="308">
        <f t="shared" si="21"/>
        <v>2364932.5877139168</v>
      </c>
      <c r="AE72" s="308">
        <f t="shared" si="21"/>
        <v>2476116.005114249</v>
      </c>
      <c r="AF72" s="308">
        <f t="shared" si="21"/>
        <v>2592524.5835768403</v>
      </c>
      <c r="AG72" s="308">
        <f t="shared" si="21"/>
        <v>2714394.1278938409</v>
      </c>
      <c r="AH72" s="308">
        <f t="shared" si="21"/>
        <v>2841991.5407937402</v>
      </c>
      <c r="AI72" s="308">
        <f t="shared" si="21"/>
        <v>2975586.0320999352</v>
      </c>
      <c r="AJ72" s="308">
        <f t="shared" si="21"/>
        <v>3115459.4644975206</v>
      </c>
      <c r="AK72" s="308">
        <f t="shared" si="21"/>
        <v>3261906.9482177929</v>
      </c>
      <c r="AL72" s="308">
        <f t="shared" si="21"/>
        <v>3415237.4636729164</v>
      </c>
      <c r="AM72" s="308">
        <f t="shared" si="21"/>
        <v>3575774.5133544328</v>
      </c>
      <c r="AN72" s="308">
        <f t="shared" si="21"/>
        <v>3743856.8043709798</v>
      </c>
      <c r="AO72" s="308">
        <f t="shared" si="21"/>
        <v>3919838.9630653039</v>
      </c>
      <c r="AP72" s="308">
        <f>AP70+AP71</f>
        <v>4104092.2832182623</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15295609</v>
      </c>
      <c r="C75" s="301">
        <f t="shared" si="24"/>
        <v>-910</v>
      </c>
      <c r="D75" s="301">
        <f>D68</f>
        <v>152882.1915267187</v>
      </c>
      <c r="E75" s="301">
        <f t="shared" si="24"/>
        <v>267063.24779717793</v>
      </c>
      <c r="F75" s="301">
        <f t="shared" si="24"/>
        <v>419952.50361782697</v>
      </c>
      <c r="G75" s="301">
        <f t="shared" si="24"/>
        <v>586620.30169012188</v>
      </c>
      <c r="H75" s="301">
        <f t="shared" si="24"/>
        <v>768024.11961849849</v>
      </c>
      <c r="I75" s="301">
        <f t="shared" si="24"/>
        <v>1126188.6289641834</v>
      </c>
      <c r="J75" s="301">
        <f t="shared" si="24"/>
        <v>1179171.0400810556</v>
      </c>
      <c r="K75" s="301">
        <f t="shared" si="24"/>
        <v>1234643.0500759762</v>
      </c>
      <c r="L75" s="301">
        <f t="shared" si="24"/>
        <v>1292721.6700962137</v>
      </c>
      <c r="M75" s="301">
        <f t="shared" si="24"/>
        <v>1353529.4108129579</v>
      </c>
      <c r="N75" s="301">
        <f t="shared" si="24"/>
        <v>1417194.5408989445</v>
      </c>
      <c r="O75" s="301">
        <f t="shared" si="24"/>
        <v>1483851.357654528</v>
      </c>
      <c r="P75" s="301">
        <f t="shared" si="24"/>
        <v>1553640.4703531796</v>
      </c>
      <c r="Q75" s="301">
        <f t="shared" si="24"/>
        <v>1626709.0969042236</v>
      </c>
      <c r="R75" s="301">
        <f t="shared" si="24"/>
        <v>1703211.3744587218</v>
      </c>
      <c r="S75" s="301">
        <f t="shared" si="24"/>
        <v>1783308.6846138374</v>
      </c>
      <c r="T75" s="301">
        <f t="shared" si="24"/>
        <v>1867169.9939017987</v>
      </c>
      <c r="U75" s="301">
        <f t="shared" si="24"/>
        <v>1954972.2102818498</v>
      </c>
      <c r="V75" s="301">
        <f t="shared" si="24"/>
        <v>2046900.5563873185</v>
      </c>
      <c r="W75" s="301">
        <f t="shared" si="24"/>
        <v>2143148.9603153002</v>
      </c>
      <c r="X75" s="301">
        <f t="shared" si="24"/>
        <v>2243920.4647834525</v>
      </c>
      <c r="Y75" s="301">
        <f t="shared" si="24"/>
        <v>2349427.6555171637</v>
      </c>
      <c r="Z75" s="301">
        <f t="shared" si="24"/>
        <v>2459893.1097709145</v>
      </c>
      <c r="AA75" s="301">
        <f t="shared" si="24"/>
        <v>2575549.865930147</v>
      </c>
      <c r="AB75" s="301">
        <f t="shared" si="24"/>
        <v>2696641.9151844196</v>
      </c>
      <c r="AC75" s="301">
        <f t="shared" si="24"/>
        <v>2823424.7163091977</v>
      </c>
      <c r="AD75" s="301">
        <f t="shared" si="24"/>
        <v>2956165.7346423962</v>
      </c>
      <c r="AE75" s="301">
        <f t="shared" si="24"/>
        <v>3095145.006392811</v>
      </c>
      <c r="AF75" s="301">
        <f t="shared" si="24"/>
        <v>3240655.7294710507</v>
      </c>
      <c r="AG75" s="301">
        <f t="shared" si="24"/>
        <v>3392992.6598673011</v>
      </c>
      <c r="AH75" s="301">
        <f t="shared" si="24"/>
        <v>3552489.425992175</v>
      </c>
      <c r="AI75" s="301">
        <f t="shared" si="24"/>
        <v>3719482.5401249188</v>
      </c>
      <c r="AJ75" s="301">
        <f t="shared" si="24"/>
        <v>3894324.3306219005</v>
      </c>
      <c r="AK75" s="301">
        <f t="shared" si="24"/>
        <v>4077383.685272241</v>
      </c>
      <c r="AL75" s="301">
        <f t="shared" si="24"/>
        <v>4269046.8295911457</v>
      </c>
      <c r="AM75" s="301">
        <f t="shared" si="24"/>
        <v>4469718.1416930407</v>
      </c>
      <c r="AN75" s="301">
        <f t="shared" si="24"/>
        <v>4679821.005463725</v>
      </c>
      <c r="AO75" s="301">
        <f t="shared" si="24"/>
        <v>4899798.7038316298</v>
      </c>
      <c r="AP75" s="301">
        <f>AP68</f>
        <v>5130115.3540228279</v>
      </c>
    </row>
    <row r="76" spans="1:45" x14ac:dyDescent="0.2">
      <c r="A76" s="302" t="s">
        <v>255</v>
      </c>
      <c r="B76" s="294">
        <f t="shared" ref="B76:AO76" si="25">-B67</f>
        <v>0</v>
      </c>
      <c r="C76" s="294">
        <f>-C67</f>
        <v>555.55555555555554</v>
      </c>
      <c r="D76" s="294">
        <f t="shared" si="25"/>
        <v>555.55555555555554</v>
      </c>
      <c r="E76" s="294">
        <f t="shared" si="25"/>
        <v>555.55555555555554</v>
      </c>
      <c r="F76" s="294">
        <f>-C67</f>
        <v>555.55555555555554</v>
      </c>
      <c r="G76" s="294">
        <f t="shared" si="25"/>
        <v>555.55555555555554</v>
      </c>
      <c r="H76" s="294">
        <f t="shared" si="25"/>
        <v>555.55555555555554</v>
      </c>
      <c r="I76" s="294">
        <f t="shared" si="25"/>
        <v>555.55555555555554</v>
      </c>
      <c r="J76" s="294">
        <f t="shared" si="25"/>
        <v>555.55555555555554</v>
      </c>
      <c r="K76" s="294">
        <f t="shared" si="25"/>
        <v>555.55555555555554</v>
      </c>
      <c r="L76" s="294">
        <f>-L67</f>
        <v>555.55555555555554</v>
      </c>
      <c r="M76" s="294">
        <f>-M67</f>
        <v>555.55555555555554</v>
      </c>
      <c r="N76" s="294">
        <f t="shared" si="25"/>
        <v>555.55555555555554</v>
      </c>
      <c r="O76" s="294">
        <f t="shared" si="25"/>
        <v>555.55555555555554</v>
      </c>
      <c r="P76" s="294">
        <f t="shared" si="25"/>
        <v>555.55555555555554</v>
      </c>
      <c r="Q76" s="294">
        <f t="shared" si="25"/>
        <v>555.55555555555554</v>
      </c>
      <c r="R76" s="294">
        <f t="shared" si="25"/>
        <v>555.55555555555554</v>
      </c>
      <c r="S76" s="294">
        <f t="shared" si="25"/>
        <v>555.55555555555554</v>
      </c>
      <c r="T76" s="294">
        <f t="shared" si="25"/>
        <v>555.55555555555554</v>
      </c>
      <c r="U76" s="294">
        <f t="shared" si="25"/>
        <v>555.55555555555554</v>
      </c>
      <c r="V76" s="294">
        <f t="shared" si="25"/>
        <v>555.55555555555554</v>
      </c>
      <c r="W76" s="294">
        <f t="shared" si="25"/>
        <v>555.55555555555554</v>
      </c>
      <c r="X76" s="294">
        <f t="shared" si="25"/>
        <v>555.55555555555554</v>
      </c>
      <c r="Y76" s="294">
        <f t="shared" si="25"/>
        <v>555.55555555555554</v>
      </c>
      <c r="Z76" s="294">
        <f t="shared" si="25"/>
        <v>555.55555555555554</v>
      </c>
      <c r="AA76" s="294">
        <f t="shared" si="25"/>
        <v>555.55555555555554</v>
      </c>
      <c r="AB76" s="294">
        <f t="shared" si="25"/>
        <v>555.55555555555554</v>
      </c>
      <c r="AC76" s="294">
        <f t="shared" si="25"/>
        <v>555.55555555555554</v>
      </c>
      <c r="AD76" s="294">
        <f t="shared" si="25"/>
        <v>555.55555555555554</v>
      </c>
      <c r="AE76" s="294">
        <f t="shared" si="25"/>
        <v>555.55555555555554</v>
      </c>
      <c r="AF76" s="294">
        <f t="shared" si="25"/>
        <v>555.55555555555554</v>
      </c>
      <c r="AG76" s="294">
        <f t="shared" si="25"/>
        <v>555.55555555555554</v>
      </c>
      <c r="AH76" s="294">
        <f t="shared" si="25"/>
        <v>555.55555555555554</v>
      </c>
      <c r="AI76" s="294">
        <f t="shared" si="25"/>
        <v>555.55555555555554</v>
      </c>
      <c r="AJ76" s="294">
        <f t="shared" si="25"/>
        <v>555.55555555555554</v>
      </c>
      <c r="AK76" s="294">
        <f t="shared" si="25"/>
        <v>555.55555555555554</v>
      </c>
      <c r="AL76" s="294">
        <f t="shared" si="25"/>
        <v>555.55555555555554</v>
      </c>
      <c r="AM76" s="294">
        <f t="shared" si="25"/>
        <v>555.55555555555554</v>
      </c>
      <c r="AN76" s="294">
        <f t="shared" si="25"/>
        <v>555.55555555555554</v>
      </c>
      <c r="AO76" s="294">
        <f t="shared" si="25"/>
        <v>555.55555555555554</v>
      </c>
      <c r="AP76" s="294">
        <f>-AP67</f>
        <v>555.55555555555554</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-3059121.8000000003</v>
      </c>
      <c r="C78" s="294">
        <f>IF(SUM($B$71:C71)+SUM($A$78:B78)&gt;0,0,SUM($B$71:C71)-SUM($A$78:B78))</f>
        <v>182</v>
      </c>
      <c r="D78" s="294">
        <f>IF(SUM($B$71:D71)+SUM($A$78:C78)&gt;0,0,SUM($B$71:D71)-SUM($A$78:C78))</f>
        <v>-30576.438305343967</v>
      </c>
      <c r="E78" s="294">
        <f>IF(SUM($B$71:E71)+SUM($A$78:D78)&gt;0,0,SUM($B$71:E71)-SUM($A$78:D78))</f>
        <v>-53412.649559435435</v>
      </c>
      <c r="F78" s="294">
        <f>IF(SUM($B$71:F71)+SUM($A$78:E78)&gt;0,0,SUM($B$71:F71)-SUM($A$78:E78))</f>
        <v>-83990.500723565463</v>
      </c>
      <c r="G78" s="294">
        <f>IF(SUM($B$71:G71)+SUM($A$78:F78)&gt;0,0,SUM($B$71:G71)-SUM($A$78:F78))</f>
        <v>-117324.06033802452</v>
      </c>
      <c r="H78" s="294">
        <f>IF(SUM($B$71:H71)+SUM($A$78:G78)&gt;0,0,SUM($B$71:H71)-SUM($A$78:G78))</f>
        <v>-153604.82392369956</v>
      </c>
      <c r="I78" s="294">
        <f>IF(SUM($B$71:I71)+SUM($A$78:H78)&gt;0,0,SUM($B$71:I71)-SUM($A$78:H78))</f>
        <v>-225237.72579283686</v>
      </c>
      <c r="J78" s="294">
        <f>IF(SUM($B$71:J71)+SUM($A$78:I78)&gt;0,0,SUM($B$71:J71)-SUM($A$78:I78))</f>
        <v>-235834.20801621117</v>
      </c>
      <c r="K78" s="294">
        <f>IF(SUM($B$71:K71)+SUM($A$78:J78)&gt;0,0,SUM($B$71:K71)-SUM($A$78:J78))</f>
        <v>-246928.61001519533</v>
      </c>
      <c r="L78" s="294">
        <f>IF(SUM($B$71:L71)+SUM($A$78:K78)&gt;0,0,SUM($B$71:L71)-SUM($A$78:K78))</f>
        <v>-258544.33401924279</v>
      </c>
      <c r="M78" s="294">
        <f>IF(SUM($B$71:M71)+SUM($A$78:L78)&gt;0,0,SUM($B$71:M71)-SUM($A$78:L78))</f>
        <v>-270705.88216259144</v>
      </c>
      <c r="N78" s="294">
        <f>IF(SUM($B$71:N71)+SUM($A$78:M78)&gt;0,0,SUM($B$71:N71)-SUM($A$78:M78))</f>
        <v>-283438.90817978885</v>
      </c>
      <c r="O78" s="294">
        <f>IF(SUM($B$71:O71)+SUM($A$78:N78)&gt;0,0,SUM($B$71:O71)-SUM($A$78:N78))</f>
        <v>-296770.27153090574</v>
      </c>
      <c r="P78" s="294">
        <f>IF(SUM($B$71:P71)+SUM($A$78:O78)&gt;0,0,SUM($B$71:P71)-SUM($A$78:O78))</f>
        <v>-310728.09407063574</v>
      </c>
      <c r="Q78" s="294">
        <f>IF(SUM($B$71:Q71)+SUM($A$78:P78)&gt;0,0,SUM($B$71:Q71)-SUM($A$78:P78))</f>
        <v>-325341.81938084494</v>
      </c>
      <c r="R78" s="294">
        <f>IF(SUM($B$71:R71)+SUM($A$78:Q78)&gt;0,0,SUM($B$71:R71)-SUM($A$78:Q78))</f>
        <v>-340642.27489174437</v>
      </c>
      <c r="S78" s="294">
        <f>IF(SUM($B$71:S71)+SUM($A$78:R78)&gt;0,0,SUM($B$71:S71)-SUM($A$78:R78))</f>
        <v>-356661.73692276701</v>
      </c>
      <c r="T78" s="294">
        <f>IF(SUM($B$71:T71)+SUM($A$78:S78)&gt;0,0,SUM($B$71:T71)-SUM($A$78:S78))</f>
        <v>-373433.99878035951</v>
      </c>
      <c r="U78" s="294">
        <f>IF(SUM($B$71:U71)+SUM($A$78:T78)&gt;0,0,SUM($B$71:U71)-SUM($A$78:T78))</f>
        <v>-390994.44205636997</v>
      </c>
      <c r="V78" s="294">
        <f>IF(SUM($B$71:V71)+SUM($A$78:U78)&gt;0,0,SUM($B$71:V71)-SUM($A$78:U78))</f>
        <v>-409380.11127746385</v>
      </c>
      <c r="W78" s="294">
        <f>IF(SUM($B$71:W71)+SUM($A$78:V78)&gt;0,0,SUM($B$71:W71)-SUM($A$78:V78))</f>
        <v>-428629.79206306022</v>
      </c>
      <c r="X78" s="294">
        <f>IF(SUM($B$71:X71)+SUM($A$78:W78)&gt;0,0,SUM($B$71:X71)-SUM($A$78:W78))</f>
        <v>-448784.09295669012</v>
      </c>
      <c r="Y78" s="294">
        <f>IF(SUM($B$71:Y71)+SUM($A$78:X78)&gt;0,0,SUM($B$71:Y71)-SUM($A$78:X78))</f>
        <v>-469885.53110343218</v>
      </c>
      <c r="Z78" s="294">
        <f>IF(SUM($B$71:Z71)+SUM($A$78:Y78)&gt;0,0,SUM($B$71:Z71)-SUM($A$78:Y78))</f>
        <v>-491978.62195418216</v>
      </c>
      <c r="AA78" s="294">
        <f>IF(SUM($B$71:AA71)+SUM($A$78:Z78)&gt;0,0,SUM($B$71:AA71)-SUM($A$78:Z78))</f>
        <v>-515109.97318602912</v>
      </c>
      <c r="AB78" s="294">
        <f>IF(SUM($B$71:AB71)+SUM($A$78:AA78)&gt;0,0,SUM($B$71:AB71)-SUM($A$78:AA78))</f>
        <v>-539328.38303688355</v>
      </c>
      <c r="AC78" s="294">
        <f>IF(SUM($B$71:AC71)+SUM($A$78:AB78)&gt;0,0,SUM($B$71:AC71)-SUM($A$78:AB78))</f>
        <v>-564684.94326183945</v>
      </c>
      <c r="AD78" s="294">
        <f>IF(SUM($B$71:AD71)+SUM($A$78:AC78)&gt;0,0,SUM($B$71:AD71)-SUM($A$78:AC78))</f>
        <v>-591233.14692847989</v>
      </c>
      <c r="AE78" s="294">
        <f>IF(SUM($B$71:AE71)+SUM($A$78:AD78)&gt;0,0,SUM($B$71:AE71)-SUM($A$78:AD78))</f>
        <v>-619029.00127856247</v>
      </c>
      <c r="AF78" s="294">
        <f>IF(SUM($B$71:AF71)+SUM($A$78:AE78)&gt;0,0,SUM($B$71:AF71)-SUM($A$78:AE78))</f>
        <v>-648131.14589421079</v>
      </c>
      <c r="AG78" s="294">
        <f>IF(SUM($B$71:AG71)+SUM($A$78:AF78)&gt;0,0,SUM($B$71:AG71)-SUM($A$78:AF78))</f>
        <v>-678598.53197346069</v>
      </c>
      <c r="AH78" s="294">
        <f>IF(SUM($B$71:AH71)+SUM($A$78:AG78)&gt;0,0,SUM($B$71:AH71)-SUM($A$78:AG78))</f>
        <v>-710497.88519843481</v>
      </c>
      <c r="AI78" s="294">
        <f>IF(SUM($B$71:AI71)+SUM($A$78:AH78)&gt;0,0,SUM($B$71:AI71)-SUM($A$78:AH78))</f>
        <v>-743896.50802498311</v>
      </c>
      <c r="AJ78" s="294">
        <f>IF(SUM($B$71:AJ71)+SUM($A$78:AI78)&gt;0,0,SUM($B$71:AJ71)-SUM($A$78:AI78))</f>
        <v>-778864.86612438038</v>
      </c>
      <c r="AK78" s="294">
        <f>IF(SUM($B$71:AK71)+SUM($A$78:AJ78)&gt;0,0,SUM($B$71:AK71)-SUM($A$78:AJ78))</f>
        <v>-815476.73705444671</v>
      </c>
      <c r="AL78" s="294">
        <f>IF(SUM($B$71:AL71)+SUM($A$78:AK78)&gt;0,0,SUM($B$71:AL71)-SUM($A$78:AK78))</f>
        <v>-853809.36591823027</v>
      </c>
      <c r="AM78" s="294">
        <f>IF(SUM($B$71:AM71)+SUM($A$78:AL78)&gt;0,0,SUM($B$71:AM71)-SUM($A$78:AL78))</f>
        <v>-893943.62833860889</v>
      </c>
      <c r="AN78" s="294">
        <f>IF(SUM($B$71:AN71)+SUM($A$78:AM78)&gt;0,0,SUM($B$71:AN71)-SUM($A$78:AM78))</f>
        <v>-935964.20109274611</v>
      </c>
      <c r="AO78" s="294">
        <f>IF(SUM($B$71:AO71)+SUM($A$78:AN78)&gt;0,0,SUM($B$71:AO71)-SUM($A$78:AN78))</f>
        <v>-979959.7407663241</v>
      </c>
      <c r="AP78" s="294">
        <f>IF(SUM($B$71:AP71)+SUM($A$78:AO78)&gt;0,0,SUM($B$71:AP71)-SUM($A$78:AO78))</f>
        <v>-1026023.0708045661</v>
      </c>
    </row>
    <row r="79" spans="1:45" x14ac:dyDescent="0.2">
      <c r="A79" s="302" t="s">
        <v>252</v>
      </c>
      <c r="B79" s="294">
        <f ca="1">IF(((SUM($B$59:B59)+SUM($B$61:B64))+SUM($B$81:B81))&lt;0,((SUM($B$59:B59)+SUM($B$61:B64))+SUM($B$81:B81))*0.2-SUM($A$79:A79),IF(SUM(A$79:$B79)&lt;0,0-SUM(A$79:$B79),0))</f>
        <v>-496988.79600000003</v>
      </c>
      <c r="C79" s="294">
        <f ca="1">IF(((SUM($B$59:C59)+SUM($B$61:C64))+SUM($B$81:C81))&lt;0,((SUM($B$59:C59)+SUM($B$61:C64))+SUM($B$81:C81))*0.18-SUM($A$79:B79),IF(SUM($B$79:B79)&lt;0,0-SUM($B$79:B79),0))</f>
        <v>49698.879600000044</v>
      </c>
      <c r="D79" s="294">
        <f ca="1">IF(((SUM($B$59:D59)+SUM($B$61:D64))+SUM($B$81:D81))&lt;0,((SUM($B$59:D59)+SUM($B$61:D64))+SUM($B$81:D81))*0.2-SUM($A$79:C79),IF(SUM($B$79:C79)&lt;0,0-SUM($B$79:C79),0))</f>
        <v>11813.108121798548</v>
      </c>
      <c r="E79" s="294">
        <f ca="1">IF(((SUM($B$59:E59)+SUM($B$61:E64))+SUM($B$81:E81))&lt;0,((SUM($B$59:E59)+SUM($B$61:E64))+SUM($B$81:E81))*0.2-SUM($A$79:D79),IF(SUM($B$79:D79)&lt;0,0-SUM($B$79:D79),0))</f>
        <v>106604.28613950458</v>
      </c>
      <c r="F79" s="294">
        <f ca="1">IF(((SUM($B$59:F59)+SUM($B$61:F64))+SUM($B$81:F81))&lt;0,((SUM($B$59:F59)+SUM($B$61:F64))+SUM($B$81:F81))*0.2-SUM($A$79:E79),IF(SUM($B$79:E79)&lt;0,0-SUM($B$79:E79),0))</f>
        <v>167728.06352440067</v>
      </c>
      <c r="G79" s="294">
        <f ca="1">IF(((SUM($B$59:G59)+SUM($B$61:G64))+SUM($B$81:G81))&lt;0,((SUM($B$59:G59)+SUM($B$61:G64))+SUM($B$81:G81))*0.18-SUM($A$79:F79),IF(SUM($B$79:F79)&lt;0,0-SUM($B$79:F79),0))</f>
        <v>161144.45861429619</v>
      </c>
      <c r="H79" s="294">
        <f ca="1">IF(((SUM($B$59:H59)+SUM($B$61:H64))+SUM($B$81:H81))&lt;0,((SUM($B$59:H59)+SUM($B$61:H64))+SUM($B$81:H81))*0.18-SUM($A$79:G79),IF(SUM($B$79:G79)&lt;0,0-SUM($B$79:G79),0))</f>
        <v>0</v>
      </c>
      <c r="I79" s="294">
        <f ca="1">IF(((SUM($B$59:I59)+SUM($B$61:I64))+SUM($B$81:I81))&lt;0,((SUM($B$59:I59)+SUM($B$61:I64))+SUM($B$81:I81))*0.18-SUM($A$79:H79),IF(SUM($B$79:H79)&lt;0,0-SUM($B$79:H79),0))</f>
        <v>0</v>
      </c>
      <c r="J79" s="294">
        <f ca="1">IF(((SUM($B$59:J59)+SUM($B$61:J64))+SUM($B$81:J81))&lt;0,((SUM($B$59:J59)+SUM($B$61:J64))+SUM($B$81:J81))*0.18-SUM($A$79:I79),IF(SUM($B$79:I79)&lt;0,0-SUM($B$79:I79),0))</f>
        <v>0</v>
      </c>
      <c r="K79" s="294">
        <f ca="1">IF(((SUM($B$59:K59)+SUM($B$61:K64))+SUM($B$81:K81))&lt;0,((SUM($B$59:K59)+SUM($B$61:K64))+SUM($B$81:K81))*0.18-SUM($A$79:J79),IF(SUM($B$79:J79)&lt;0,0-SUM($B$79:J79),0))</f>
        <v>0</v>
      </c>
      <c r="L79" s="294">
        <f ca="1">IF(((SUM($B$59:L59)+SUM($B$61:L64))+SUM($B$81:L81))&lt;0,((SUM($B$59:L59)+SUM($B$61:L64))+SUM($B$81:L81))*0.18-SUM($A$79:K79),IF(SUM($B$79:K79)&lt;0,0-SUM($B$79:K79),0))</f>
        <v>0</v>
      </c>
      <c r="M79" s="294">
        <f ca="1">IF(((SUM($B$59:M59)+SUM($B$61:M64))+SUM($B$81:M81))&lt;0,((SUM($B$59:M59)+SUM($B$61:M64))+SUM($B$81:M81))*0.18-SUM($A$79:L79),IF(SUM($B$79:L79)&lt;0,0-SUM($B$79:L79),0))</f>
        <v>0</v>
      </c>
      <c r="N79" s="294">
        <f ca="1">IF(((SUM($B$59:N59)+SUM($B$61:N64))+SUM($B$81:N81))&lt;0,((SUM($B$59:N59)+SUM($B$61:N64))+SUM($B$81:N81))*0.18-SUM($A$79:M79),IF(SUM($B$79:M79)&lt;0,0-SUM($B$79:M79),0))</f>
        <v>0</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-20000</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-20000</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-2984943.98</v>
      </c>
      <c r="C83" s="301">
        <f t="shared" ref="C83:V83" ca="1" si="29">SUM(C75:C82)</f>
        <v>5393.3240444444964</v>
      </c>
      <c r="D83" s="301">
        <f t="shared" ca="1" si="29"/>
        <v>260277.7256756596</v>
      </c>
      <c r="E83" s="301">
        <f t="shared" ca="1" si="29"/>
        <v>513910.31958641182</v>
      </c>
      <c r="F83" s="301">
        <f t="shared" ca="1" si="29"/>
        <v>820751.42873311427</v>
      </c>
      <c r="G83" s="301">
        <f t="shared" ca="1" si="29"/>
        <v>1081925.7404092082</v>
      </c>
      <c r="H83" s="301">
        <f t="shared" ca="1" si="29"/>
        <v>1212111.5084820229</v>
      </c>
      <c r="I83" s="301">
        <f t="shared" ca="1" si="29"/>
        <v>1786253.2696495736</v>
      </c>
      <c r="J83" s="301">
        <f t="shared" ca="1" si="29"/>
        <v>1872097.8399897707</v>
      </c>
      <c r="K83" s="301">
        <f t="shared" ca="1" si="29"/>
        <v>1961919.6606915118</v>
      </c>
      <c r="L83" s="301">
        <f t="shared" ca="1" si="29"/>
        <v>2055905.6625217902</v>
      </c>
      <c r="M83" s="301">
        <f t="shared" ca="1" si="29"/>
        <v>2154251.5619936478</v>
      </c>
      <c r="N83" s="301">
        <f t="shared" ca="1" si="29"/>
        <v>2257162.2742962381</v>
      </c>
      <c r="O83" s="301">
        <f t="shared" ca="1" si="29"/>
        <v>2364852.3456326057</v>
      </c>
      <c r="P83" s="301">
        <f t="shared" ca="1" si="29"/>
        <v>2477546.4058773378</v>
      </c>
      <c r="Q83" s="301">
        <f t="shared" ca="1" si="29"/>
        <v>2595479.642509128</v>
      </c>
      <c r="R83" s="301">
        <f t="shared" ca="1" si="29"/>
        <v>2718898.2968181679</v>
      </c>
      <c r="S83" s="301">
        <f t="shared" ca="1" si="29"/>
        <v>2848060.1834352887</v>
      </c>
      <c r="T83" s="301">
        <f t="shared" ca="1" si="29"/>
        <v>2983235.2342789685</v>
      </c>
      <c r="U83" s="301">
        <f t="shared" ca="1" si="29"/>
        <v>3124706.0680678585</v>
      </c>
      <c r="V83" s="301">
        <f t="shared" ca="1" si="29"/>
        <v>3272768.5866003796</v>
      </c>
      <c r="W83" s="301">
        <f ca="1">SUM(W75:W82)</f>
        <v>3427732.5990594858</v>
      </c>
      <c r="X83" s="301">
        <f ca="1">SUM(X75:X82)</f>
        <v>3589922.4756597271</v>
      </c>
      <c r="Y83" s="301">
        <f ca="1">SUM(Y75:Y82)</f>
        <v>3759677.8320157342</v>
      </c>
      <c r="Z83" s="301">
        <f ca="1">SUM(Z75:Z82)</f>
        <v>3937354.2456760285</v>
      </c>
      <c r="AA83" s="301">
        <f t="shared" ref="AA83:AP83" ca="1" si="30">SUM(AA75:AA82)</f>
        <v>4123324.0063339127</v>
      </c>
      <c r="AB83" s="301">
        <f t="shared" ca="1" si="30"/>
        <v>4317976.9012982724</v>
      </c>
      <c r="AC83" s="301">
        <f t="shared" ca="1" si="30"/>
        <v>4521721.0378815131</v>
      </c>
      <c r="AD83" s="301">
        <f t="shared" ca="1" si="30"/>
        <v>4734983.7044397201</v>
      </c>
      <c r="AE83" s="301">
        <f t="shared" ca="1" si="30"/>
        <v>4958212.2718817201</v>
      </c>
      <c r="AF83" s="301">
        <f t="shared" ca="1" si="30"/>
        <v>5191875.1375490502</v>
      </c>
      <c r="AG83" s="301">
        <f t="shared" ca="1" si="30"/>
        <v>5435240.4912360795</v>
      </c>
      <c r="AH83" s="301">
        <f t="shared" ca="1" si="30"/>
        <v>5690044.0165463965</v>
      </c>
      <c r="AI83" s="301">
        <f t="shared" ca="1" si="30"/>
        <v>5956823.307546299</v>
      </c>
      <c r="AJ83" s="301">
        <f t="shared" ca="1" si="30"/>
        <v>6236141.2252231967</v>
      </c>
      <c r="AK83" s="301">
        <f t="shared" ca="1" si="30"/>
        <v>6528587.0850309087</v>
      </c>
      <c r="AL83" s="301">
        <f t="shared" ca="1" si="30"/>
        <v>6834777.9002495836</v>
      </c>
      <c r="AM83" s="301">
        <f t="shared" ca="1" si="30"/>
        <v>7155359.6837835368</v>
      </c>
      <c r="AN83" s="301">
        <f t="shared" ca="1" si="30"/>
        <v>7491008.8111435827</v>
      </c>
      <c r="AO83" s="301">
        <f t="shared" ca="1" si="30"/>
        <v>7842433.4474895541</v>
      </c>
      <c r="AP83" s="301">
        <f t="shared" ca="1" si="30"/>
        <v>8210375.0417437833</v>
      </c>
    </row>
    <row r="84" spans="1:44" ht="14.25" x14ac:dyDescent="0.2">
      <c r="A84" s="303" t="s">
        <v>551</v>
      </c>
      <c r="B84" s="301">
        <f ca="1">SUM($B$83:B83)</f>
        <v>-2984943.98</v>
      </c>
      <c r="C84" s="301">
        <f ca="1">SUM($B$83:C83)</f>
        <v>-2979550.6559555554</v>
      </c>
      <c r="D84" s="301">
        <f ca="1">SUM($B$83:D83)</f>
        <v>-2719272.9302798957</v>
      </c>
      <c r="E84" s="301">
        <f ca="1">SUM($B$83:E83)</f>
        <v>-2205362.6106934836</v>
      </c>
      <c r="F84" s="301">
        <f ca="1">SUM($B$83:F83)</f>
        <v>-1384611.1819603695</v>
      </c>
      <c r="G84" s="301">
        <f ca="1">SUM($B$83:G83)</f>
        <v>-302685.44155116123</v>
      </c>
      <c r="H84" s="301">
        <f ca="1">SUM($B$83:H83)</f>
        <v>909426.06693086168</v>
      </c>
      <c r="I84" s="301">
        <f ca="1">SUM($B$83:I83)</f>
        <v>2695679.3365804353</v>
      </c>
      <c r="J84" s="301">
        <f ca="1">SUM($B$83:J83)</f>
        <v>4567777.1765702059</v>
      </c>
      <c r="K84" s="301">
        <f ca="1">SUM($B$83:K83)</f>
        <v>6529696.8372617178</v>
      </c>
      <c r="L84" s="301">
        <f ca="1">SUM($B$83:L83)</f>
        <v>8585602.4997835085</v>
      </c>
      <c r="M84" s="301">
        <f ca="1">SUM($B$83:M83)</f>
        <v>10739854.061777156</v>
      </c>
      <c r="N84" s="301">
        <f ca="1">SUM($B$83:N83)</f>
        <v>12997016.336073395</v>
      </c>
      <c r="O84" s="301">
        <f ca="1">SUM($B$83:O83)</f>
        <v>15361868.681706</v>
      </c>
      <c r="P84" s="301">
        <f ca="1">SUM($B$83:P83)</f>
        <v>17839415.087583337</v>
      </c>
      <c r="Q84" s="301">
        <f ca="1">SUM($B$83:Q83)</f>
        <v>20434894.730092466</v>
      </c>
      <c r="R84" s="301">
        <f ca="1">SUM($B$83:R83)</f>
        <v>23153793.026910633</v>
      </c>
      <c r="S84" s="301">
        <f ca="1">SUM($B$83:S83)</f>
        <v>26001853.21034592</v>
      </c>
      <c r="T84" s="301">
        <f ca="1">SUM($B$83:T83)</f>
        <v>28985088.44462489</v>
      </c>
      <c r="U84" s="301">
        <f ca="1">SUM($B$83:U83)</f>
        <v>32109794.51269275</v>
      </c>
      <c r="V84" s="301">
        <f ca="1">SUM($B$83:V83)</f>
        <v>35382563.099293128</v>
      </c>
      <c r="W84" s="301">
        <f ca="1">SUM($B$83:W83)</f>
        <v>38810295.698352613</v>
      </c>
      <c r="X84" s="301">
        <f ca="1">SUM($B$83:X83)</f>
        <v>42400218.174012341</v>
      </c>
      <c r="Y84" s="301">
        <f ca="1">SUM($B$83:Y83)</f>
        <v>46159896.006028071</v>
      </c>
      <c r="Z84" s="301">
        <f ca="1">SUM($B$83:Z83)</f>
        <v>50097250.251704097</v>
      </c>
      <c r="AA84" s="301">
        <f ca="1">SUM($B$83:AA83)</f>
        <v>54220574.258038007</v>
      </c>
      <c r="AB84" s="301">
        <f ca="1">SUM($B$83:AB83)</f>
        <v>58538551.159336276</v>
      </c>
      <c r="AC84" s="301">
        <f ca="1">SUM($B$83:AC83)</f>
        <v>63060272.197217792</v>
      </c>
      <c r="AD84" s="301">
        <f ca="1">SUM($B$83:AD83)</f>
        <v>67795255.901657507</v>
      </c>
      <c r="AE84" s="301">
        <f ca="1">SUM($B$83:AE83)</f>
        <v>72753468.173539221</v>
      </c>
      <c r="AF84" s="301">
        <f ca="1">SUM($B$83:AF83)</f>
        <v>77945343.311088264</v>
      </c>
      <c r="AG84" s="301">
        <f ca="1">SUM($B$83:AG83)</f>
        <v>83380583.80232434</v>
      </c>
      <c r="AH84" s="301">
        <f ca="1">SUM($B$83:AH83)</f>
        <v>89070627.818870738</v>
      </c>
      <c r="AI84" s="301">
        <f ca="1">SUM($B$83:AI83)</f>
        <v>95027451.126417041</v>
      </c>
      <c r="AJ84" s="301">
        <f ca="1">SUM($B$83:AJ83)</f>
        <v>101263592.35164024</v>
      </c>
      <c r="AK84" s="301">
        <f ca="1">SUM($B$83:AK83)</f>
        <v>107792179.43667115</v>
      </c>
      <c r="AL84" s="301">
        <f ca="1">SUM($B$83:AL83)</f>
        <v>114626957.33692074</v>
      </c>
      <c r="AM84" s="301">
        <f ca="1">SUM($B$83:AM83)</f>
        <v>121782317.02070427</v>
      </c>
      <c r="AN84" s="301">
        <f ca="1">SUM($B$83:AN83)</f>
        <v>129273325.83184785</v>
      </c>
      <c r="AO84" s="301">
        <f ca="1">SUM($B$83:AO83)</f>
        <v>137115759.27933741</v>
      </c>
      <c r="AP84" s="301">
        <f ca="1">SUM($B$83:AP83)</f>
        <v>145326134.32108119</v>
      </c>
    </row>
    <row r="85" spans="1:44" x14ac:dyDescent="0.2">
      <c r="A85" s="302" t="s">
        <v>434</v>
      </c>
      <c r="B85" s="391">
        <f>1/POWER((1+$B$44),B73)</f>
        <v>0.95402649883562884</v>
      </c>
      <c r="C85" s="391">
        <f t="shared" ref="C85:AP85" si="31">1/POWER((1+$B$44),C73)</f>
        <v>0.86832301705254278</v>
      </c>
      <c r="D85" s="391">
        <f t="shared" si="31"/>
        <v>0.79031857381682236</v>
      </c>
      <c r="E85" s="391">
        <f t="shared" si="31"/>
        <v>0.71932153801476506</v>
      </c>
      <c r="F85" s="391">
        <f t="shared" si="31"/>
        <v>0.65470241013449082</v>
      </c>
      <c r="G85" s="391">
        <f t="shared" si="31"/>
        <v>0.59588824077044755</v>
      </c>
      <c r="H85" s="391">
        <f t="shared" si="31"/>
        <v>0.54235755053285484</v>
      </c>
      <c r="I85" s="391">
        <f t="shared" si="31"/>
        <v>0.49363570631915432</v>
      </c>
      <c r="J85" s="391">
        <f t="shared" si="31"/>
        <v>0.44929071295090039</v>
      </c>
      <c r="K85" s="391">
        <f t="shared" si="31"/>
        <v>0.40892938286238317</v>
      </c>
      <c r="L85" s="391">
        <f t="shared" si="31"/>
        <v>0.37219384987929666</v>
      </c>
      <c r="M85" s="391">
        <f t="shared" si="31"/>
        <v>0.3387583961766602</v>
      </c>
      <c r="N85" s="391">
        <f t="shared" si="31"/>
        <v>0.30832656428202437</v>
      </c>
      <c r="O85" s="391">
        <f t="shared" si="31"/>
        <v>0.28062852851736092</v>
      </c>
      <c r="P85" s="391">
        <f t="shared" si="31"/>
        <v>0.25541870257336935</v>
      </c>
      <c r="Q85" s="391">
        <f t="shared" si="31"/>
        <v>0.23247356200361272</v>
      </c>
      <c r="R85" s="391">
        <f t="shared" si="31"/>
        <v>0.21158966233149432</v>
      </c>
      <c r="S85" s="391">
        <f t="shared" si="31"/>
        <v>0.19258183519750091</v>
      </c>
      <c r="T85" s="391">
        <f t="shared" si="31"/>
        <v>0.17528154655274497</v>
      </c>
      <c r="U85" s="391">
        <f t="shared" si="31"/>
        <v>0.15953540234162647</v>
      </c>
      <c r="V85" s="391">
        <f t="shared" si="31"/>
        <v>0.14520378842416171</v>
      </c>
      <c r="W85" s="391">
        <f t="shared" si="31"/>
        <v>0.13215963267876735</v>
      </c>
      <c r="X85" s="391">
        <f t="shared" si="31"/>
        <v>0.12028727830960895</v>
      </c>
      <c r="Y85" s="391">
        <f t="shared" si="31"/>
        <v>0.10948145836862559</v>
      </c>
      <c r="Z85" s="391">
        <f t="shared" si="31"/>
        <v>9.9646362399768443E-2</v>
      </c>
      <c r="AA85" s="391">
        <f t="shared" si="31"/>
        <v>9.0694786929797461E-2</v>
      </c>
      <c r="AB85" s="391">
        <f t="shared" si="31"/>
        <v>8.2547362273411681E-2</v>
      </c>
      <c r="AC85" s="391">
        <f t="shared" si="31"/>
        <v>7.5131848797134526E-2</v>
      </c>
      <c r="AD85" s="391">
        <f t="shared" si="31"/>
        <v>6.8382496402234039E-2</v>
      </c>
      <c r="AE85" s="391">
        <f t="shared" si="31"/>
        <v>6.2239461547496142E-2</v>
      </c>
      <c r="AF85" s="391">
        <f t="shared" si="31"/>
        <v>5.6648276642847148E-2</v>
      </c>
      <c r="AG85" s="391">
        <f t="shared" si="31"/>
        <v>5.1559367109171889E-2</v>
      </c>
      <c r="AH85" s="391">
        <f t="shared" si="31"/>
        <v>4.6927611822309881E-2</v>
      </c>
      <c r="AI85" s="391">
        <f t="shared" si="31"/>
        <v>4.2711943043879028E-2</v>
      </c>
      <c r="AJ85" s="391">
        <f t="shared" si="31"/>
        <v>3.88749822916893E-2</v>
      </c>
      <c r="AK85" s="391">
        <f t="shared" si="31"/>
        <v>3.5382708921169827E-2</v>
      </c>
      <c r="AL85" s="391">
        <f t="shared" si="31"/>
        <v>3.2204158479266255E-2</v>
      </c>
      <c r="AM85" s="391">
        <f t="shared" si="31"/>
        <v>2.9311148156244884E-2</v>
      </c>
      <c r="AN85" s="391">
        <f t="shared" si="31"/>
        <v>2.6678026901105743E-2</v>
      </c>
      <c r="AO85" s="391">
        <f t="shared" si="31"/>
        <v>2.4281447984987482E-2</v>
      </c>
      <c r="AP85" s="391">
        <f t="shared" si="31"/>
        <v>2.2100161995983875E-2</v>
      </c>
    </row>
    <row r="86" spans="1:44" ht="28.5" x14ac:dyDescent="0.2">
      <c r="A86" s="300" t="s">
        <v>552</v>
      </c>
      <c r="B86" s="301">
        <f ca="1">B83*B85</f>
        <v>-2847715.6544598872</v>
      </c>
      <c r="C86" s="301">
        <f ca="1">C83*C85</f>
        <v>4683.1474062140678</v>
      </c>
      <c r="D86" s="301">
        <f t="shared" ref="D86:AO86" ca="1" si="32">D83*D85</f>
        <v>205702.32095227341</v>
      </c>
      <c r="E86" s="301">
        <f t="shared" ca="1" si="32"/>
        <v>369666.7614865572</v>
      </c>
      <c r="F86" s="301">
        <f t="shared" ca="1" si="32"/>
        <v>537347.93851289665</v>
      </c>
      <c r="G86" s="301">
        <f t="shared" ca="1" si="32"/>
        <v>644706.82609670702</v>
      </c>
      <c r="H86" s="301">
        <f t="shared" ca="1" si="32"/>
        <v>657397.82871299365</v>
      </c>
      <c r="I86" s="301">
        <f t="shared" ca="1" si="32"/>
        <v>881758.3944283661</v>
      </c>
      <c r="J86" s="301">
        <f t="shared" ca="1" si="32"/>
        <v>841116.17324284476</v>
      </c>
      <c r="K86" s="301">
        <f t="shared" ca="1" si="32"/>
        <v>802286.5960721561</v>
      </c>
      <c r="L86" s="301">
        <f t="shared" ca="1" si="32"/>
        <v>765195.44352263119</v>
      </c>
      <c r="M86" s="301">
        <f t="shared" ca="1" si="32"/>
        <v>729770.80410203326</v>
      </c>
      <c r="N86" s="301">
        <f t="shared" ca="1" si="32"/>
        <v>695943.0890607594</v>
      </c>
      <c r="O86" s="301">
        <f t="shared" ca="1" si="32"/>
        <v>663645.03391570761</v>
      </c>
      <c r="P86" s="301">
        <f t="shared" ca="1" si="32"/>
        <v>632811.68855450395</v>
      </c>
      <c r="Q86" s="301">
        <f t="shared" ca="1" si="32"/>
        <v>603380.39760196034</v>
      </c>
      <c r="R86" s="301">
        <f t="shared" ca="1" si="32"/>
        <v>575290.7725374311</v>
      </c>
      <c r="S86" s="301">
        <f t="shared" ca="1" si="32"/>
        <v>548484.65687889897</v>
      </c>
      <c r="T86" s="301">
        <f t="shared" ca="1" si="32"/>
        <v>522906.0855950581</v>
      </c>
      <c r="U86" s="301">
        <f t="shared" ca="1" si="32"/>
        <v>498501.23976852745</v>
      </c>
      <c r="V86" s="301">
        <f t="shared" ca="1" si="32"/>
        <v>475218.39740996424</v>
      </c>
      <c r="W86" s="301">
        <f t="shared" ca="1" si="32"/>
        <v>453007.88121273817</v>
      </c>
      <c r="X86" s="301">
        <f t="shared" ca="1" si="32"/>
        <v>431822.00393960194</v>
      </c>
      <c r="Y86" s="301">
        <f t="shared" ca="1" si="32"/>
        <v>411615.01204527513</v>
      </c>
      <c r="Z86" s="301">
        <f t="shared" ca="1" si="32"/>
        <v>392343.02806090045</v>
      </c>
      <c r="AA86" s="301">
        <f t="shared" ca="1" si="32"/>
        <v>373963.99219697306</v>
      </c>
      <c r="AB86" s="301">
        <f t="shared" ca="1" si="32"/>
        <v>356437.6035596921</v>
      </c>
      <c r="AC86" s="301">
        <f t="shared" ca="1" si="32"/>
        <v>339725.26132093603</v>
      </c>
      <c r="AD86" s="301">
        <f t="shared" ca="1" si="32"/>
        <v>323790.00613348593</v>
      </c>
      <c r="AE86" s="301">
        <f t="shared" ca="1" si="32"/>
        <v>308596.46204010578</v>
      </c>
      <c r="AF86" s="301">
        <f t="shared" ca="1" si="32"/>
        <v>294110.77908699866</v>
      </c>
      <c r="AG86" s="301">
        <f t="shared" ca="1" si="32"/>
        <v>280237.55981427676</v>
      </c>
      <c r="AH86" s="301">
        <f t="shared" ca="1" si="32"/>
        <v>267020.17686034628</v>
      </c>
      <c r="AI86" s="301">
        <f t="shared" ca="1" si="32"/>
        <v>254427.49783436861</v>
      </c>
      <c r="AJ86" s="301">
        <f t="shared" ca="1" si="32"/>
        <v>242429.87969902539</v>
      </c>
      <c r="AK86" s="301">
        <f t="shared" ca="1" si="32"/>
        <v>230999.09649615726</v>
      </c>
      <c r="AL86" s="301">
        <f t="shared" ca="1" si="32"/>
        <v>220108.27067022424</v>
      </c>
      <c r="AM86" s="301">
        <f t="shared" ca="1" si="32"/>
        <v>209731.80780260079</v>
      </c>
      <c r="AN86" s="301">
        <f t="shared" ca="1" si="32"/>
        <v>199845.33458010864</v>
      </c>
      <c r="AO86" s="301">
        <f t="shared" ca="1" si="32"/>
        <v>190425.63983094366</v>
      </c>
      <c r="AP86" s="301">
        <f ca="1">AP83*AP85</f>
        <v>181450.61847032048</v>
      </c>
    </row>
    <row r="87" spans="1:44" ht="14.25" x14ac:dyDescent="0.2">
      <c r="A87" s="300" t="s">
        <v>553</v>
      </c>
      <c r="B87" s="301">
        <f ca="1">SUM($B$86:B86)</f>
        <v>-2847715.6544598872</v>
      </c>
      <c r="C87" s="301">
        <f ca="1">SUM($B$86:C86)</f>
        <v>-2843032.5070536733</v>
      </c>
      <c r="D87" s="301">
        <f ca="1">SUM($B$86:D86)</f>
        <v>-2637330.1861013998</v>
      </c>
      <c r="E87" s="301">
        <f ca="1">SUM($B$86:E86)</f>
        <v>-2267663.4246148425</v>
      </c>
      <c r="F87" s="301">
        <f ca="1">SUM($B$86:F86)</f>
        <v>-1730315.4861019459</v>
      </c>
      <c r="G87" s="301">
        <f ca="1">SUM($B$86:G86)</f>
        <v>-1085608.6600052388</v>
      </c>
      <c r="H87" s="301">
        <f ca="1">SUM($B$86:H86)</f>
        <v>-428210.83129224519</v>
      </c>
      <c r="I87" s="301">
        <f ca="1">SUM($B$86:I86)</f>
        <v>453547.56313612091</v>
      </c>
      <c r="J87" s="301">
        <f ca="1">SUM($B$86:J86)</f>
        <v>1294663.7363789657</v>
      </c>
      <c r="K87" s="301">
        <f ca="1">SUM($B$86:K86)</f>
        <v>2096950.3324511219</v>
      </c>
      <c r="L87" s="301">
        <f ca="1">SUM($B$86:L86)</f>
        <v>2862145.7759737531</v>
      </c>
      <c r="M87" s="301">
        <f ca="1">SUM($B$86:M86)</f>
        <v>3591916.5800757864</v>
      </c>
      <c r="N87" s="301">
        <f ca="1">SUM($B$86:N86)</f>
        <v>4287859.6691365456</v>
      </c>
      <c r="O87" s="301">
        <f ca="1">SUM($B$86:O86)</f>
        <v>4951504.7030522535</v>
      </c>
      <c r="P87" s="301">
        <f ca="1">SUM($B$86:P86)</f>
        <v>5584316.3916067574</v>
      </c>
      <c r="Q87" s="301">
        <f ca="1">SUM($B$86:Q86)</f>
        <v>6187696.7892087176</v>
      </c>
      <c r="R87" s="301">
        <f ca="1">SUM($B$86:R86)</f>
        <v>6762987.5617461484</v>
      </c>
      <c r="S87" s="301">
        <f ca="1">SUM($B$86:S86)</f>
        <v>7311472.2186250472</v>
      </c>
      <c r="T87" s="301">
        <f ca="1">SUM($B$86:T86)</f>
        <v>7834378.3042201055</v>
      </c>
      <c r="U87" s="301">
        <f ca="1">SUM($B$86:U86)</f>
        <v>8332879.543988633</v>
      </c>
      <c r="V87" s="301">
        <f ca="1">SUM($B$86:V86)</f>
        <v>8808097.9413985964</v>
      </c>
      <c r="W87" s="301">
        <f ca="1">SUM($B$86:W86)</f>
        <v>9261105.8226113338</v>
      </c>
      <c r="X87" s="301">
        <f ca="1">SUM($B$86:X86)</f>
        <v>9692927.8265509363</v>
      </c>
      <c r="Y87" s="301">
        <f ca="1">SUM($B$86:Y86)</f>
        <v>10104542.838596212</v>
      </c>
      <c r="Z87" s="301">
        <f ca="1">SUM($B$86:Z86)</f>
        <v>10496885.866657112</v>
      </c>
      <c r="AA87" s="301">
        <f ca="1">SUM($B$86:AA86)</f>
        <v>10870849.858854085</v>
      </c>
      <c r="AB87" s="301">
        <f ca="1">SUM($B$86:AB86)</f>
        <v>11227287.462413777</v>
      </c>
      <c r="AC87" s="301">
        <f ca="1">SUM($B$86:AC86)</f>
        <v>11567012.723734712</v>
      </c>
      <c r="AD87" s="301">
        <f ca="1">SUM($B$86:AD86)</f>
        <v>11890802.729868198</v>
      </c>
      <c r="AE87" s="301">
        <f ca="1">SUM($B$86:AE86)</f>
        <v>12199399.191908304</v>
      </c>
      <c r="AF87" s="301">
        <f ca="1">SUM($B$86:AF86)</f>
        <v>12493509.970995303</v>
      </c>
      <c r="AG87" s="301">
        <f ca="1">SUM($B$86:AG86)</f>
        <v>12773747.530809579</v>
      </c>
      <c r="AH87" s="301">
        <f ca="1">SUM($B$86:AH86)</f>
        <v>13040767.707669925</v>
      </c>
      <c r="AI87" s="301">
        <f ca="1">SUM($B$86:AI86)</f>
        <v>13295195.205504294</v>
      </c>
      <c r="AJ87" s="301">
        <f ca="1">SUM($B$86:AJ86)</f>
        <v>13537625.08520332</v>
      </c>
      <c r="AK87" s="301">
        <f ca="1">SUM($B$86:AK86)</f>
        <v>13768624.181699477</v>
      </c>
      <c r="AL87" s="301">
        <f ca="1">SUM($B$86:AL86)</f>
        <v>13988732.452369701</v>
      </c>
      <c r="AM87" s="301">
        <f ca="1">SUM($B$86:AM86)</f>
        <v>14198464.260172302</v>
      </c>
      <c r="AN87" s="301">
        <f ca="1">SUM($B$86:AN86)</f>
        <v>14398309.59475241</v>
      </c>
      <c r="AO87" s="301">
        <f ca="1">SUM($B$86:AO86)</f>
        <v>14588735.234583354</v>
      </c>
      <c r="AP87" s="301">
        <f ca="1">SUM($B$86:AP86)</f>
        <v>14770185.853053674</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5.9715104809415553E-2</v>
      </c>
      <c r="I88" s="310">
        <f ca="1">IF((ISERR(IRR($B$83:I83))),0,IF(IRR($B$83:I83)&lt;0,0,IRR($B$83:I83)))</f>
        <v>0.13088498822639938</v>
      </c>
      <c r="J88" s="310">
        <f ca="1">IF((ISERR(IRR($B$83:J83))),0,IF(IRR($B$83:J83)&lt;0,0,IRR($B$83:J83)))</f>
        <v>0.17443714284881717</v>
      </c>
      <c r="K88" s="310">
        <f ca="1">IF((ISERR(IRR($B$83:K83))),0,IF(IRR($B$83:K83)&lt;0,0,IRR($B$83:K83)))</f>
        <v>0.20328724930752751</v>
      </c>
      <c r="L88" s="310">
        <f ca="1">IF((ISERR(IRR($B$83:L83))),0,IF(IRR($B$83:L83)&lt;0,0,IRR($B$83:L83)))</f>
        <v>0.22330347928126759</v>
      </c>
      <c r="M88" s="310">
        <f ca="1">IF((ISERR(IRR($B$83:M83))),0,IF(IRR($B$83:M83)&lt;0,0,IRR($B$83:M83)))</f>
        <v>0.23763664549313201</v>
      </c>
      <c r="N88" s="310">
        <f ca="1">IF((ISERR(IRR($B$83:N83))),0,IF(IRR($B$83:N83)&lt;0,0,IRR($B$83:N83)))</f>
        <v>0.24814292129857241</v>
      </c>
      <c r="O88" s="310">
        <f ca="1">IF((ISERR(IRR($B$83:O83))),0,IF(IRR($B$83:O83)&lt;0,0,IRR($B$83:O83)))</f>
        <v>0.25598461502624215</v>
      </c>
      <c r="P88" s="310">
        <f ca="1">IF((ISERR(IRR($B$83:P83))),0,IF(IRR($B$83:P83)&lt;0,0,IRR($B$83:P83)))</f>
        <v>0.26192248806440444</v>
      </c>
      <c r="Q88" s="310">
        <f ca="1">IF((ISERR(IRR($B$83:Q83))),0,IF(IRR($B$83:Q83)&lt;0,0,IRR($B$83:Q83)))</f>
        <v>0.26647174551942499</v>
      </c>
      <c r="R88" s="310">
        <f ca="1">IF((ISERR(IRR($B$83:R83))),0,IF(IRR($B$83:R83)&lt;0,0,IRR($B$83:R83)))</f>
        <v>0.26999095067980727</v>
      </c>
      <c r="S88" s="310">
        <f ca="1">IF((ISERR(IRR($B$83:S83))),0,IF(IRR($B$83:S83)&lt;0,0,IRR($B$83:S83)))</f>
        <v>0.27273531251868843</v>
      </c>
      <c r="T88" s="310">
        <f ca="1">IF((ISERR(IRR($B$83:T83))),0,IF(IRR($B$83:T83)&lt;0,0,IRR($B$83:T83)))</f>
        <v>0.27488992159747161</v>
      </c>
      <c r="U88" s="310">
        <f ca="1">IF((ISERR(IRR($B$83:U83))),0,IF(IRR($B$83:U83)&lt;0,0,IRR($B$83:U83)))</f>
        <v>0.27659117085867146</v>
      </c>
      <c r="V88" s="310">
        <f ca="1">IF((ISERR(IRR($B$83:V83))),0,IF(IRR($B$83:V83)&lt;0,0,IRR($B$83:V83)))</f>
        <v>0.2779409482110915</v>
      </c>
      <c r="W88" s="310">
        <f ca="1">IF((ISERR(IRR($B$83:W83))),0,IF(IRR($B$83:W83)&lt;0,0,IRR($B$83:W83)))</f>
        <v>0.27901626546425895</v>
      </c>
      <c r="X88" s="310">
        <f ca="1">IF((ISERR(IRR($B$83:X83))),0,IF(IRR($B$83:X83)&lt;0,0,IRR($B$83:X83)))</f>
        <v>0.27987592709490849</v>
      </c>
      <c r="Y88" s="310">
        <f ca="1">IF((ISERR(IRR($B$83:Y83))),0,IF(IRR($B$83:Y83)&lt;0,0,IRR($B$83:Y83)))</f>
        <v>0.28056523331985828</v>
      </c>
      <c r="Z88" s="310">
        <f ca="1">IF((ISERR(IRR($B$83:Z83))),0,IF(IRR($B$83:Z83)&lt;0,0,IRR($B$83:Z83)))</f>
        <v>0.2811193505848224</v>
      </c>
      <c r="AA88" s="310">
        <f ca="1">IF((ISERR(IRR($B$83:AA83))),0,IF(IRR($B$83:AA83)&lt;0,0,IRR($B$83:AA83)))</f>
        <v>0.2815657618955294</v>
      </c>
      <c r="AB88" s="310">
        <f ca="1">IF((ISERR(IRR($B$83:AB83))),0,IF(IRR($B$83:AB83)&lt;0,0,IRR($B$83:AB83)))</f>
        <v>0.28192607120244406</v>
      </c>
      <c r="AC88" s="310">
        <f ca="1">IF((ISERR(IRR($B$83:AC83))),0,IF(IRR($B$83:AC83)&lt;0,0,IRR($B$83:AC83)))</f>
        <v>0.28221734752626748</v>
      </c>
      <c r="AD88" s="310">
        <f ca="1">IF((ISERR(IRR($B$83:AD83))),0,IF(IRR($B$83:AD83)&lt;0,0,IRR($B$83:AD83)))</f>
        <v>0.28245313666637206</v>
      </c>
      <c r="AE88" s="310">
        <f ca="1">IF((ISERR(IRR($B$83:AE83))),0,IF(IRR($B$83:AE83)&lt;0,0,IRR($B$83:AE83)))</f>
        <v>0.2826442298469003</v>
      </c>
      <c r="AF88" s="310">
        <f ca="1">IF((ISERR(IRR($B$83:AF83))),0,IF(IRR($B$83:AF83)&lt;0,0,IRR($B$83:AF83)))</f>
        <v>0.28279925262360828</v>
      </c>
      <c r="AG88" s="310">
        <f ca="1">IF((ISERR(IRR($B$83:AG83))),0,IF(IRR($B$83:AG83)&lt;0,0,IRR($B$83:AG83)))</f>
        <v>0.28292509127270971</v>
      </c>
      <c r="AH88" s="310">
        <f ca="1">IF((ISERR(IRR($B$83:AH83))),0,IF(IRR($B$83:AH83)&lt;0,0,IRR($B$83:AH83)))</f>
        <v>0.28302731532720826</v>
      </c>
      <c r="AI88" s="310">
        <f ca="1">IF((ISERR(IRR($B$83:AI83))),0,IF(IRR($B$83:AI83)&lt;0,0,IRR($B$83:AI83)))</f>
        <v>0.28311040852041547</v>
      </c>
      <c r="AJ88" s="310">
        <f ca="1">IF((ISERR(IRR($B$83:AJ83))),0,IF(IRR($B$83:AJ83)&lt;0,0,IRR($B$83:AJ83)))</f>
        <v>0.2831779873448137</v>
      </c>
      <c r="AK88" s="310">
        <f ca="1">IF((ISERR(IRR($B$83:AK83))),0,IF(IRR($B$83:AK83)&lt;0,0,IRR($B$83:AK83)))</f>
        <v>0.28323297358492838</v>
      </c>
      <c r="AL88" s="310">
        <f ca="1">IF((ISERR(IRR($B$83:AL83))),0,IF(IRR($B$83:AL83)&lt;0,0,IRR($B$83:AL83)))</f>
        <v>0.2832777311040553</v>
      </c>
      <c r="AM88" s="310">
        <f ca="1">IF((ISERR(IRR($B$83:AM83))),0,IF(IRR($B$83:AM83)&lt;0,0,IRR($B$83:AM83)))</f>
        <v>0.28331417470376419</v>
      </c>
      <c r="AN88" s="310">
        <f ca="1">IF((ISERR(IRR($B$83:AN83))),0,IF(IRR($B$83:AN83)&lt;0,0,IRR($B$83:AN83)))</f>
        <v>0.28334385704836196</v>
      </c>
      <c r="AO88" s="310">
        <f ca="1">IF((ISERR(IRR($B$83:AO83))),0,IF(IRR($B$83:AO83)&lt;0,0,IRR($B$83:AO83)))</f>
        <v>0.28336803827808343</v>
      </c>
      <c r="AP88" s="310">
        <f ca="1">IF((ISERR(IRR($B$83:AP83))),0,IF(IRR($B$83:AP83)&lt;0,0,IRR($B$83:AP83)))</f>
        <v>0.28338774190192395</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6.2497174883936433</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0</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7.4856328377455927</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77" t="s">
        <v>562</v>
      </c>
      <c r="B97" s="477"/>
      <c r="C97" s="477"/>
      <c r="D97" s="477"/>
      <c r="E97" s="477"/>
      <c r="F97" s="477"/>
      <c r="G97" s="477"/>
      <c r="H97" s="477"/>
      <c r="I97" s="477"/>
      <c r="J97" s="477"/>
      <c r="K97" s="477"/>
      <c r="L97" s="477"/>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x14ac:dyDescent="0.2">
      <c r="C98" s="319"/>
    </row>
    <row r="99" spans="1:71" s="325" customFormat="1" ht="16.5" hidden="1" thickTop="1" x14ac:dyDescent="0.2">
      <c r="A99" s="320" t="s">
        <v>563</v>
      </c>
      <c r="B99" s="321">
        <f>B81*B85</f>
        <v>-19080.529976712576</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-19080.529976712576</v>
      </c>
      <c r="AR99" s="324"/>
      <c r="AS99" s="324"/>
    </row>
    <row r="100" spans="1:71" s="328" customFormat="1" hidden="1" x14ac:dyDescent="0.2">
      <c r="A100" s="326">
        <f>AQ99</f>
        <v>-19080.529976712576</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14770185.853053674</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7.1927780291555443</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2.8621457759737532</v>
      </c>
      <c r="B105" s="335">
        <f ca="1">L88</f>
        <v>0.22330347928126759</v>
      </c>
      <c r="C105" s="336">
        <f ca="1">G28</f>
        <v>6.2497174883936433</v>
      </c>
      <c r="D105" s="336">
        <f ca="1">G29</f>
        <v>7.4856328377455927</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95498.846667000005</v>
      </c>
      <c r="I108" s="342">
        <f t="shared" si="38"/>
        <v>190997.69333400001</v>
      </c>
      <c r="J108" s="342">
        <f t="shared" si="38"/>
        <v>286496.54000100004</v>
      </c>
      <c r="K108" s="342">
        <f t="shared" si="38"/>
        <v>381995.38666800002</v>
      </c>
      <c r="L108" s="342">
        <f t="shared" si="38"/>
        <v>477494.23333500006</v>
      </c>
      <c r="M108" s="342">
        <f t="shared" si="38"/>
        <v>668491.92666900007</v>
      </c>
      <c r="N108" s="342">
        <f t="shared" si="38"/>
        <v>668491.92666900007</v>
      </c>
      <c r="O108" s="342">
        <f t="shared" si="38"/>
        <v>668491.92666900007</v>
      </c>
      <c r="P108" s="342">
        <f t="shared" si="38"/>
        <v>668491.92666900007</v>
      </c>
      <c r="Q108" s="342">
        <f t="shared" si="38"/>
        <v>668491.92666900007</v>
      </c>
      <c r="R108" s="342">
        <f t="shared" si="38"/>
        <v>668491.92666900007</v>
      </c>
      <c r="S108" s="342">
        <f t="shared" si="38"/>
        <v>668491.92666900007</v>
      </c>
      <c r="T108" s="342">
        <f t="shared" si="38"/>
        <v>668491.92666900007</v>
      </c>
      <c r="U108" s="342">
        <f t="shared" si="38"/>
        <v>668491.92666900007</v>
      </c>
      <c r="V108" s="342">
        <f t="shared" si="38"/>
        <v>668491.92666900007</v>
      </c>
      <c r="W108" s="342">
        <f t="shared" si="38"/>
        <v>668491.92666900007</v>
      </c>
      <c r="X108" s="342">
        <f t="shared" si="38"/>
        <v>668491.92666900007</v>
      </c>
      <c r="Y108" s="342">
        <f t="shared" si="38"/>
        <v>668491.92666900007</v>
      </c>
      <c r="Z108" s="342">
        <f t="shared" si="38"/>
        <v>668491.92666900007</v>
      </c>
      <c r="AA108" s="342">
        <f t="shared" si="38"/>
        <v>668491.92666900007</v>
      </c>
      <c r="AB108" s="342">
        <f t="shared" si="38"/>
        <v>668491.92666900007</v>
      </c>
      <c r="AC108" s="342">
        <f t="shared" si="38"/>
        <v>668491.92666900007</v>
      </c>
      <c r="AD108" s="342">
        <f t="shared" si="38"/>
        <v>668491.92666900007</v>
      </c>
      <c r="AE108" s="342">
        <f t="shared" si="38"/>
        <v>668491.92666900007</v>
      </c>
      <c r="AF108" s="342">
        <f t="shared" si="38"/>
        <v>668491.92666900007</v>
      </c>
      <c r="AG108" s="342">
        <f t="shared" si="38"/>
        <v>668491.92666900007</v>
      </c>
      <c r="AH108" s="342">
        <f t="shared" si="38"/>
        <v>668491.92666900007</v>
      </c>
      <c r="AI108" s="342">
        <f t="shared" si="38"/>
        <v>668491.92666900007</v>
      </c>
      <c r="AJ108" s="342">
        <f t="shared" si="38"/>
        <v>668491.92666900007</v>
      </c>
      <c r="AK108" s="342">
        <f t="shared" si="38"/>
        <v>668491.92666900007</v>
      </c>
      <c r="AL108" s="342">
        <f t="shared" si="38"/>
        <v>668491.92666900007</v>
      </c>
      <c r="AM108" s="342">
        <f t="shared" si="38"/>
        <v>668491.92666900007</v>
      </c>
      <c r="AN108" s="342">
        <f t="shared" si="38"/>
        <v>668491.92666900007</v>
      </c>
      <c r="AO108" s="342">
        <f t="shared" si="38"/>
        <v>668491.92666900007</v>
      </c>
      <c r="AP108" s="342">
        <f t="shared" si="38"/>
        <v>668491.92666900007</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2.9295000000000005E-2</v>
      </c>
      <c r="I109" s="340">
        <f t="shared" si="39"/>
        <v>5.859000000000001E-2</v>
      </c>
      <c r="J109" s="340">
        <f t="shared" si="39"/>
        <v>8.7885000000000019E-2</v>
      </c>
      <c r="K109" s="340">
        <f t="shared" si="39"/>
        <v>0.11718000000000002</v>
      </c>
      <c r="L109" s="340">
        <f t="shared" si="39"/>
        <v>0.14647500000000002</v>
      </c>
      <c r="M109" s="340">
        <f t="shared" si="39"/>
        <v>0.20506500000000003</v>
      </c>
      <c r="N109" s="340">
        <f t="shared" si="39"/>
        <v>0.20506500000000003</v>
      </c>
      <c r="O109" s="340">
        <f t="shared" si="39"/>
        <v>0.20506500000000003</v>
      </c>
      <c r="P109" s="340">
        <f t="shared" si="39"/>
        <v>0.20506500000000003</v>
      </c>
      <c r="Q109" s="340">
        <f t="shared" si="39"/>
        <v>0.20506500000000003</v>
      </c>
      <c r="R109" s="340">
        <f t="shared" si="39"/>
        <v>0.20506500000000003</v>
      </c>
      <c r="S109" s="340">
        <f t="shared" si="39"/>
        <v>0.20506500000000003</v>
      </c>
      <c r="T109" s="340">
        <f t="shared" si="39"/>
        <v>0.20506500000000003</v>
      </c>
      <c r="U109" s="340">
        <f t="shared" si="39"/>
        <v>0.20506500000000003</v>
      </c>
      <c r="V109" s="340">
        <f t="shared" si="39"/>
        <v>0.20506500000000003</v>
      </c>
      <c r="W109" s="340">
        <f t="shared" si="39"/>
        <v>0.20506500000000003</v>
      </c>
      <c r="X109" s="340">
        <f t="shared" si="39"/>
        <v>0.20506500000000003</v>
      </c>
      <c r="Y109" s="340">
        <f t="shared" si="39"/>
        <v>0.20506500000000003</v>
      </c>
      <c r="Z109" s="340">
        <f t="shared" si="39"/>
        <v>0.20506500000000003</v>
      </c>
      <c r="AA109" s="340">
        <f t="shared" si="39"/>
        <v>0.20506500000000003</v>
      </c>
      <c r="AB109" s="340">
        <f t="shared" si="39"/>
        <v>0.20506500000000003</v>
      </c>
      <c r="AC109" s="340">
        <f t="shared" si="39"/>
        <v>0.20506500000000003</v>
      </c>
      <c r="AD109" s="340">
        <f t="shared" si="39"/>
        <v>0.20506500000000003</v>
      </c>
      <c r="AE109" s="340">
        <f t="shared" si="39"/>
        <v>0.20506500000000003</v>
      </c>
      <c r="AF109" s="340">
        <f t="shared" si="39"/>
        <v>0.20506500000000003</v>
      </c>
      <c r="AG109" s="340">
        <f t="shared" si="39"/>
        <v>0.20506500000000003</v>
      </c>
      <c r="AH109" s="340">
        <f t="shared" si="39"/>
        <v>0.20506500000000003</v>
      </c>
      <c r="AI109" s="340">
        <f t="shared" si="39"/>
        <v>0.20506500000000003</v>
      </c>
      <c r="AJ109" s="340">
        <f t="shared" si="39"/>
        <v>0.20506500000000003</v>
      </c>
      <c r="AK109" s="340">
        <f t="shared" si="39"/>
        <v>0.20506500000000003</v>
      </c>
      <c r="AL109" s="340">
        <f t="shared" si="39"/>
        <v>0.20506500000000003</v>
      </c>
      <c r="AM109" s="340">
        <f t="shared" si="39"/>
        <v>0.20506500000000003</v>
      </c>
      <c r="AN109" s="340">
        <f t="shared" si="39"/>
        <v>0.20506500000000003</v>
      </c>
      <c r="AO109" s="340">
        <f t="shared" si="39"/>
        <v>0.20506500000000003</v>
      </c>
      <c r="AP109" s="340">
        <f t="shared" si="39"/>
        <v>0.20506500000000003</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78" t="s">
        <v>576</v>
      </c>
      <c r="C116" s="479"/>
      <c r="D116" s="478" t="s">
        <v>577</v>
      </c>
      <c r="E116" s="479"/>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0.63</v>
      </c>
      <c r="H118" s="338" t="s">
        <v>579</v>
      </c>
      <c r="I118" s="338">
        <f>$B$110*G118</f>
        <v>0.58590000000000009</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0.63</v>
      </c>
      <c r="H120" s="338" t="s">
        <v>579</v>
      </c>
      <c r="I120" s="343">
        <f>I118</f>
        <v>0.58590000000000009</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88">
        <f>'6.2. Паспорт фин осв ввод'!F27</f>
        <v>0</v>
      </c>
      <c r="C122" s="241"/>
      <c r="D122" s="467" t="s">
        <v>284</v>
      </c>
      <c r="E122" s="353" t="s">
        <v>584</v>
      </c>
      <c r="F122" s="354">
        <v>35</v>
      </c>
      <c r="G122" s="468"/>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67"/>
      <c r="E123" s="353" t="s">
        <v>585</v>
      </c>
      <c r="F123" s="354">
        <v>30</v>
      </c>
      <c r="G123" s="468"/>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67"/>
      <c r="E124" s="353" t="s">
        <v>588</v>
      </c>
      <c r="F124" s="354">
        <v>30</v>
      </c>
      <c r="G124" s="468"/>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67"/>
      <c r="E125" s="353" t="s">
        <v>589</v>
      </c>
      <c r="F125" s="354">
        <v>30</v>
      </c>
      <c r="G125" s="468"/>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20000</v>
      </c>
      <c r="C126" s="359">
        <f>'6.2. Паспорт фин осв ввод'!D24*1000000</f>
        <v>20000</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615</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616</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hidden="1"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hidden="1"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hidden="1"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hidden="1"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hidden="1"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hidden="1"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hidden="1"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hidden="1"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hidden="1"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hidden="1"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hidden="1"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hidden="1"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J52" sqref="J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4" t="str">
        <f>'1. паспорт местоположение'!A5:C5</f>
        <v>Год раскрытия информации: 2022 год</v>
      </c>
      <c r="B5" s="414"/>
      <c r="C5" s="414"/>
      <c r="D5" s="414"/>
      <c r="E5" s="414"/>
      <c r="F5" s="414"/>
      <c r="G5" s="414"/>
      <c r="H5" s="414"/>
      <c r="I5" s="414"/>
      <c r="J5" s="414"/>
      <c r="K5" s="414"/>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1" t="s">
        <v>7</v>
      </c>
      <c r="B7" s="421"/>
      <c r="C7" s="421"/>
      <c r="D7" s="421"/>
      <c r="E7" s="421"/>
      <c r="F7" s="421"/>
      <c r="G7" s="421"/>
      <c r="H7" s="421"/>
      <c r="I7" s="421"/>
      <c r="J7" s="421"/>
      <c r="K7" s="421"/>
    </row>
    <row r="8" spans="1:43" ht="18.75" x14ac:dyDescent="0.25">
      <c r="A8" s="421"/>
      <c r="B8" s="421"/>
      <c r="C8" s="421"/>
      <c r="D8" s="421"/>
      <c r="E8" s="421"/>
      <c r="F8" s="421"/>
      <c r="G8" s="421"/>
      <c r="H8" s="421"/>
      <c r="I8" s="421"/>
      <c r="J8" s="421"/>
      <c r="K8" s="421"/>
    </row>
    <row r="9" spans="1:43"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row>
    <row r="10" spans="1:43" x14ac:dyDescent="0.25">
      <c r="A10" s="425" t="s">
        <v>6</v>
      </c>
      <c r="B10" s="425"/>
      <c r="C10" s="425"/>
      <c r="D10" s="425"/>
      <c r="E10" s="425"/>
      <c r="F10" s="425"/>
      <c r="G10" s="425"/>
      <c r="H10" s="425"/>
      <c r="I10" s="425"/>
      <c r="J10" s="425"/>
      <c r="K10" s="425"/>
    </row>
    <row r="11" spans="1:43" ht="18.75" x14ac:dyDescent="0.25">
      <c r="A11" s="421"/>
      <c r="B11" s="421"/>
      <c r="C11" s="421"/>
      <c r="D11" s="421"/>
      <c r="E11" s="421"/>
      <c r="F11" s="421"/>
      <c r="G11" s="421"/>
      <c r="H11" s="421"/>
      <c r="I11" s="421"/>
      <c r="J11" s="421"/>
      <c r="K11" s="421"/>
    </row>
    <row r="12" spans="1:43" x14ac:dyDescent="0.25">
      <c r="A12" s="426" t="str">
        <f>'1. паспорт местоположение'!A12:C12</f>
        <v>L_21-17</v>
      </c>
      <c r="B12" s="426"/>
      <c r="C12" s="426"/>
      <c r="D12" s="426"/>
      <c r="E12" s="426"/>
      <c r="F12" s="426"/>
      <c r="G12" s="426"/>
      <c r="H12" s="426"/>
      <c r="I12" s="426"/>
      <c r="J12" s="426"/>
      <c r="K12" s="426"/>
    </row>
    <row r="13" spans="1:43" x14ac:dyDescent="0.25">
      <c r="A13" s="425" t="s">
        <v>5</v>
      </c>
      <c r="B13" s="425"/>
      <c r="C13" s="425"/>
      <c r="D13" s="425"/>
      <c r="E13" s="425"/>
      <c r="F13" s="425"/>
      <c r="G13" s="425"/>
      <c r="H13" s="425"/>
      <c r="I13" s="425"/>
      <c r="J13" s="425"/>
      <c r="K13" s="425"/>
    </row>
    <row r="14" spans="1:43" ht="18.75" x14ac:dyDescent="0.25">
      <c r="A14" s="427"/>
      <c r="B14" s="427"/>
      <c r="C14" s="427"/>
      <c r="D14" s="427"/>
      <c r="E14" s="427"/>
      <c r="F14" s="427"/>
      <c r="G14" s="427"/>
      <c r="H14" s="427"/>
      <c r="I14" s="427"/>
      <c r="J14" s="427"/>
      <c r="K14" s="427"/>
    </row>
    <row r="15" spans="1:43" x14ac:dyDescent="0.25">
      <c r="A15" s="419" t="str">
        <f>'1. паспорт местоположение'!A15:C15</f>
        <v>Строительство  электроснабжения жд г.Пионерский, пос.Рыбное (МакроИнвест)</v>
      </c>
      <c r="B15" s="419"/>
      <c r="C15" s="419"/>
      <c r="D15" s="419"/>
      <c r="E15" s="419"/>
      <c r="F15" s="419"/>
      <c r="G15" s="419"/>
      <c r="H15" s="419"/>
      <c r="I15" s="419"/>
      <c r="J15" s="419"/>
      <c r="K15" s="419"/>
    </row>
    <row r="16" spans="1:43" x14ac:dyDescent="0.25">
      <c r="A16" s="415" t="s">
        <v>4</v>
      </c>
      <c r="B16" s="415"/>
      <c r="C16" s="415"/>
      <c r="D16" s="415"/>
      <c r="E16" s="415"/>
      <c r="F16" s="415"/>
      <c r="G16" s="415"/>
      <c r="H16" s="415"/>
      <c r="I16" s="415"/>
      <c r="J16" s="415"/>
      <c r="K16" s="415"/>
    </row>
    <row r="17" spans="1:11" ht="15.75" customHeight="1" x14ac:dyDescent="0.25"/>
    <row r="18" spans="1:11" x14ac:dyDescent="0.25">
      <c r="K18" s="70"/>
    </row>
    <row r="19" spans="1:11" ht="15.75" customHeight="1" x14ac:dyDescent="0.25">
      <c r="A19" s="493" t="s">
        <v>392</v>
      </c>
      <c r="B19" s="493"/>
      <c r="C19" s="493"/>
      <c r="D19" s="493"/>
      <c r="E19" s="493"/>
      <c r="F19" s="493"/>
      <c r="G19" s="493"/>
      <c r="H19" s="493"/>
      <c r="I19" s="493"/>
      <c r="J19" s="493"/>
      <c r="K19" s="493"/>
    </row>
    <row r="20" spans="1:11" x14ac:dyDescent="0.25">
      <c r="A20" s="48"/>
      <c r="B20" s="48"/>
      <c r="C20" s="69"/>
      <c r="D20" s="69"/>
      <c r="E20" s="69"/>
      <c r="F20" s="69"/>
      <c r="G20" s="69"/>
      <c r="H20" s="69"/>
      <c r="I20" s="69"/>
      <c r="J20" s="69"/>
      <c r="K20" s="69"/>
    </row>
    <row r="21" spans="1:11" ht="28.5" customHeight="1" x14ac:dyDescent="0.25">
      <c r="A21" s="487" t="s">
        <v>199</v>
      </c>
      <c r="B21" s="487" t="s">
        <v>483</v>
      </c>
      <c r="C21" s="487" t="s">
        <v>351</v>
      </c>
      <c r="D21" s="487"/>
      <c r="E21" s="487"/>
      <c r="F21" s="487"/>
      <c r="G21" s="487"/>
      <c r="H21" s="487"/>
      <c r="I21" s="488" t="s">
        <v>198</v>
      </c>
      <c r="J21" s="489" t="s">
        <v>352</v>
      </c>
      <c r="K21" s="487" t="s">
        <v>197</v>
      </c>
    </row>
    <row r="22" spans="1:11" ht="58.5" customHeight="1" x14ac:dyDescent="0.25">
      <c r="A22" s="487"/>
      <c r="B22" s="487"/>
      <c r="C22" s="492" t="s">
        <v>534</v>
      </c>
      <c r="D22" s="492"/>
      <c r="E22" s="492" t="s">
        <v>9</v>
      </c>
      <c r="F22" s="492"/>
      <c r="G22" s="492" t="s">
        <v>535</v>
      </c>
      <c r="H22" s="492"/>
      <c r="I22" s="488"/>
      <c r="J22" s="490"/>
      <c r="K22" s="487"/>
    </row>
    <row r="23" spans="1:11" ht="31.5" x14ac:dyDescent="0.25">
      <c r="A23" s="487"/>
      <c r="B23" s="487"/>
      <c r="C23" s="199" t="s">
        <v>196</v>
      </c>
      <c r="D23" s="199" t="s">
        <v>195</v>
      </c>
      <c r="E23" s="199" t="s">
        <v>196</v>
      </c>
      <c r="F23" s="199" t="s">
        <v>195</v>
      </c>
      <c r="G23" s="199" t="s">
        <v>196</v>
      </c>
      <c r="H23" s="199" t="s">
        <v>195</v>
      </c>
      <c r="I23" s="488"/>
      <c r="J23" s="491"/>
      <c r="K23" s="487"/>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44896</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44636</v>
      </c>
      <c r="H35" s="206">
        <v>44772</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44271</v>
      </c>
      <c r="H40" s="206">
        <v>44499</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44285</v>
      </c>
      <c r="H43" s="206">
        <v>44499</v>
      </c>
      <c r="I43" s="218"/>
      <c r="J43" s="196"/>
      <c r="K43" s="196"/>
    </row>
    <row r="44" spans="1:11" x14ac:dyDescent="0.25">
      <c r="A44" s="204" t="s">
        <v>516</v>
      </c>
      <c r="B44" s="209" t="s">
        <v>189</v>
      </c>
      <c r="C44" s="233" t="s">
        <v>537</v>
      </c>
      <c r="D44" s="233" t="s">
        <v>537</v>
      </c>
      <c r="E44" s="217">
        <v>43084</v>
      </c>
      <c r="F44" s="217">
        <v>43266</v>
      </c>
      <c r="G44" s="206">
        <v>44499</v>
      </c>
      <c r="H44" s="206">
        <v>44531</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44531</v>
      </c>
      <c r="H47" s="234">
        <v>44561</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44531</v>
      </c>
      <c r="H49" s="234">
        <v>44561</v>
      </c>
      <c r="I49" s="218"/>
      <c r="J49" s="196"/>
      <c r="K49" s="196"/>
    </row>
    <row r="50" spans="1:11" ht="78.75" x14ac:dyDescent="0.25">
      <c r="A50" s="207" t="s">
        <v>523</v>
      </c>
      <c r="B50" s="209" t="s">
        <v>522</v>
      </c>
      <c r="C50" s="206" t="s">
        <v>537</v>
      </c>
      <c r="D50" s="206" t="s">
        <v>537</v>
      </c>
      <c r="E50" s="217">
        <v>43343</v>
      </c>
      <c r="F50" s="217">
        <v>43343</v>
      </c>
      <c r="G50" s="234">
        <v>44531</v>
      </c>
      <c r="H50" s="206">
        <v>44561</v>
      </c>
      <c r="I50" s="218"/>
      <c r="J50" s="196"/>
      <c r="K50" s="196"/>
    </row>
    <row r="51" spans="1:11" ht="63" x14ac:dyDescent="0.25">
      <c r="A51" s="204" t="s">
        <v>525</v>
      </c>
      <c r="B51" s="209" t="s">
        <v>524</v>
      </c>
      <c r="C51" s="206" t="s">
        <v>537</v>
      </c>
      <c r="D51" s="206" t="s">
        <v>537</v>
      </c>
      <c r="E51" s="217">
        <v>43343</v>
      </c>
      <c r="F51" s="217">
        <v>43343</v>
      </c>
      <c r="G51" s="234">
        <v>44531</v>
      </c>
      <c r="H51" s="206">
        <v>44561</v>
      </c>
      <c r="I51" s="218"/>
      <c r="J51" s="196"/>
      <c r="K51" s="196"/>
    </row>
    <row r="52" spans="1:11" ht="63" x14ac:dyDescent="0.25">
      <c r="A52" s="204" t="s">
        <v>526</v>
      </c>
      <c r="B52" s="209" t="s">
        <v>185</v>
      </c>
      <c r="C52" s="206" t="s">
        <v>537</v>
      </c>
      <c r="D52" s="206" t="s">
        <v>537</v>
      </c>
      <c r="E52" s="217"/>
      <c r="F52" s="217"/>
      <c r="G52" s="234">
        <v>44531</v>
      </c>
      <c r="H52" s="206">
        <v>44561</v>
      </c>
      <c r="I52" s="218"/>
      <c r="J52" s="196"/>
      <c r="K52" s="196"/>
    </row>
    <row r="53" spans="1:11" ht="31.5" x14ac:dyDescent="0.25">
      <c r="A53" s="204" t="s">
        <v>528</v>
      </c>
      <c r="B53" s="209" t="s">
        <v>527</v>
      </c>
      <c r="C53" s="235" t="s">
        <v>537</v>
      </c>
      <c r="D53" s="235" t="s">
        <v>537</v>
      </c>
      <c r="E53" s="217">
        <v>43343</v>
      </c>
      <c r="F53" s="217">
        <v>43343</v>
      </c>
      <c r="G53" s="234">
        <v>44531</v>
      </c>
      <c r="H53" s="206">
        <v>44561</v>
      </c>
      <c r="I53" s="218"/>
      <c r="J53" s="196"/>
      <c r="K53" s="196"/>
    </row>
    <row r="54" spans="1:11" ht="31.5" x14ac:dyDescent="0.25">
      <c r="A54" s="204" t="s">
        <v>532</v>
      </c>
      <c r="B54" s="209" t="s">
        <v>184</v>
      </c>
      <c r="C54" s="235" t="s">
        <v>537</v>
      </c>
      <c r="D54" s="235" t="s">
        <v>537</v>
      </c>
      <c r="E54" s="217">
        <v>43353</v>
      </c>
      <c r="F54" s="217">
        <v>43353</v>
      </c>
      <c r="G54" s="234">
        <v>44531</v>
      </c>
      <c r="H54" s="206">
        <v>44561</v>
      </c>
      <c r="I54" s="218"/>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2022-02-25T12:21:23Z</dcterms:modified>
</cp:coreProperties>
</file>