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24226"/>
  <mc:AlternateContent xmlns:mc="http://schemas.openxmlformats.org/markup-compatibility/2006">
    <mc:Choice Requires="x15">
      <x15ac:absPath xmlns:x15ac="http://schemas.microsoft.com/office/spreadsheetml/2010/11/ac" url="C:\Users\Пользователь\Desktop\2022кор ИПР\формулы_  кор ИПР_ 2022\паспорта,карты,формы 20, РС, ПЗ, акты — формулы\J 19-02 факт\J  19-02_ паспорт_карта\"/>
    </mc:Choice>
  </mc:AlternateContent>
  <xr:revisionPtr revIDLastSave="0" documentId="13_ncr:1_{3AEE9BF0-E984-4E00-BC3B-35DFC98478D8}" xr6:coauthVersionLast="47" xr6:coauthVersionMax="47" xr10:uidLastSave="{00000000-0000-0000-0000-000000000000}"/>
  <bookViews>
    <workbookView xWindow="-120" yWindow="-120" windowWidth="29040" windowHeight="15840" tabRatio="859" firstSheet="8"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2. Паспорт фин осв ввод факт" sheetId="15" state="hidden" r:id="rId8"/>
    <sheet name="5.анализ эк эфф.1" sheetId="33" r:id="rId9"/>
    <sheet name="6.1. Паспорт сетевой график" sheetId="16"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ТП'!$A$1:$S$34</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9">'6.1. Паспорт сетевой график'!$A$1:$K$54</definedName>
    <definedName name="_xlnm.Print_Area" localSheetId="10">'6.2. Паспорт фин осв ввод'!$A$1:$AC$64</definedName>
    <definedName name="_xlnm.Print_Area" localSheetId="7">'6.2. Паспорт фин осв ввод факт'!$A$1:$AC$64</definedName>
    <definedName name="_xlnm.Print_Area" localSheetId="12">'8. Общие сведения'!$A$1:$B$122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Z32" i="29" l="1"/>
  <c r="Z27" i="29"/>
  <c r="AC27" i="29" s="1"/>
  <c r="Z28" i="29"/>
  <c r="Z30" i="29" l="1"/>
  <c r="N34" i="29"/>
  <c r="Z34" i="29" s="1"/>
  <c r="N31" i="29"/>
  <c r="Z31" i="29" s="1"/>
  <c r="R24" i="29"/>
  <c r="F31" i="29"/>
  <c r="F27" i="29" s="1"/>
  <c r="F24" i="29" s="1"/>
  <c r="R32" i="29"/>
  <c r="R30" i="29" s="1"/>
  <c r="Z25" i="29"/>
  <c r="Z26" i="29"/>
  <c r="Z29" i="29"/>
  <c r="Z33" i="29"/>
  <c r="Z35" i="29"/>
  <c r="Z36" i="29"/>
  <c r="Z37" i="29"/>
  <c r="Z38" i="29"/>
  <c r="Z39" i="29"/>
  <c r="Z40" i="29"/>
  <c r="Z41" i="29"/>
  <c r="Z42" i="29"/>
  <c r="Z43" i="29"/>
  <c r="Z44" i="29"/>
  <c r="Z45" i="29"/>
  <c r="Z46" i="29"/>
  <c r="Z47" i="29"/>
  <c r="Z48" i="29"/>
  <c r="Z49" i="29"/>
  <c r="Z50" i="29"/>
  <c r="Z51" i="29"/>
  <c r="Z52" i="29"/>
  <c r="Z53" i="29"/>
  <c r="Z54" i="29"/>
  <c r="Z55" i="29"/>
  <c r="Z56" i="29"/>
  <c r="Z57" i="29"/>
  <c r="Z59" i="29"/>
  <c r="Z60" i="29"/>
  <c r="Z61" i="29"/>
  <c r="Z62" i="29"/>
  <c r="Z63" i="29"/>
  <c r="Z64" i="29"/>
  <c r="X52" i="29"/>
  <c r="AC58" i="29"/>
  <c r="AB53" i="29"/>
  <c r="AB54" i="29"/>
  <c r="AB55" i="29"/>
  <c r="AB56" i="29"/>
  <c r="AB57" i="29"/>
  <c r="AB58" i="29"/>
  <c r="AB52" i="29"/>
  <c r="D52" i="29"/>
  <c r="C52" i="29"/>
  <c r="F30" i="29" l="1"/>
  <c r="N24" i="29"/>
  <c r="C81" i="33"/>
  <c r="D179" i="33"/>
  <c r="E179" i="33" s="1"/>
  <c r="F179" i="33" s="1"/>
  <c r="G179" i="33" s="1"/>
  <c r="H179" i="33" s="1"/>
  <c r="I179" i="33" s="1"/>
  <c r="J179" i="33" s="1"/>
  <c r="K179" i="33" s="1"/>
  <c r="L179" i="33" s="1"/>
  <c r="M179" i="33" s="1"/>
  <c r="AC30" i="29" l="1"/>
  <c r="B81" i="33" l="1"/>
  <c r="B79" i="33" s="1"/>
  <c r="B83" i="33" s="1"/>
  <c r="B84" i="33" s="1"/>
  <c r="B70" i="26"/>
  <c r="B30" i="26" s="1"/>
  <c r="D31" i="29"/>
  <c r="D116" i="33"/>
  <c r="A14" i="29"/>
  <c r="A11" i="29"/>
  <c r="A4" i="29"/>
  <c r="A12" i="33"/>
  <c r="A9" i="33"/>
  <c r="A15" i="33"/>
  <c r="A5" i="33"/>
  <c r="I117" i="33"/>
  <c r="B110" i="33"/>
  <c r="B116" i="33" s="1"/>
  <c r="F139" i="33"/>
  <c r="E139" i="33"/>
  <c r="D139" i="33"/>
  <c r="C139" i="33"/>
  <c r="B139" i="33"/>
  <c r="G138" i="33"/>
  <c r="C137" i="33"/>
  <c r="D137" i="33" s="1"/>
  <c r="E137" i="33" s="1"/>
  <c r="F137" i="33" s="1"/>
  <c r="G137" i="33" s="1"/>
  <c r="H137" i="33" s="1"/>
  <c r="I137" i="33" s="1"/>
  <c r="J137" i="33" s="1"/>
  <c r="K137" i="33" s="1"/>
  <c r="L137" i="33" s="1"/>
  <c r="M137" i="33" s="1"/>
  <c r="N137" i="33" s="1"/>
  <c r="O137" i="33" s="1"/>
  <c r="P137" i="33" s="1"/>
  <c r="Q137" i="33" s="1"/>
  <c r="R137" i="33" s="1"/>
  <c r="S137" i="33" s="1"/>
  <c r="T137" i="33" s="1"/>
  <c r="U137" i="33" s="1"/>
  <c r="V137" i="33" s="1"/>
  <c r="W137" i="33" s="1"/>
  <c r="X137" i="33" s="1"/>
  <c r="Y137" i="33" s="1"/>
  <c r="Z137" i="33" s="1"/>
  <c r="AA137" i="33" s="1"/>
  <c r="AB137" i="33" s="1"/>
  <c r="AC137" i="33" s="1"/>
  <c r="AD137" i="33" s="1"/>
  <c r="AE137" i="33" s="1"/>
  <c r="AF137" i="33" s="1"/>
  <c r="AG137" i="33" s="1"/>
  <c r="AH137" i="33" s="1"/>
  <c r="AI137" i="33" s="1"/>
  <c r="AJ137" i="33" s="1"/>
  <c r="AK137" i="33" s="1"/>
  <c r="AL137" i="33" s="1"/>
  <c r="AM137" i="33" s="1"/>
  <c r="AN137" i="33" s="1"/>
  <c r="AO137" i="33" s="1"/>
  <c r="AP137" i="33" s="1"/>
  <c r="AQ137" i="33" s="1"/>
  <c r="AR137" i="33" s="1"/>
  <c r="AS137" i="33" s="1"/>
  <c r="AT137" i="33" s="1"/>
  <c r="AU137" i="33" s="1"/>
  <c r="AV137" i="33" s="1"/>
  <c r="AW137" i="33" s="1"/>
  <c r="AX137" i="33" s="1"/>
  <c r="AY137" i="33" s="1"/>
  <c r="C135" i="33"/>
  <c r="D135" i="33" s="1"/>
  <c r="E135" i="33" s="1"/>
  <c r="F135" i="33" s="1"/>
  <c r="G135" i="33" s="1"/>
  <c r="H135" i="33" s="1"/>
  <c r="I135" i="33" s="1"/>
  <c r="J135" i="33" s="1"/>
  <c r="K135" i="33" s="1"/>
  <c r="L135" i="33" s="1"/>
  <c r="M135" i="33" s="1"/>
  <c r="N135" i="33" s="1"/>
  <c r="O135" i="33" s="1"/>
  <c r="P135" i="33" s="1"/>
  <c r="Q135" i="33" s="1"/>
  <c r="R135" i="33" s="1"/>
  <c r="S135" i="33" s="1"/>
  <c r="T135" i="33" s="1"/>
  <c r="U135" i="33" s="1"/>
  <c r="V135" i="33" s="1"/>
  <c r="W135" i="33" s="1"/>
  <c r="X135" i="33" s="1"/>
  <c r="Y135" i="33" s="1"/>
  <c r="Z135" i="33" s="1"/>
  <c r="AA135" i="33" s="1"/>
  <c r="AB135" i="33" s="1"/>
  <c r="AC135" i="33" s="1"/>
  <c r="AD135" i="33" s="1"/>
  <c r="AE135" i="33" s="1"/>
  <c r="AF135" i="33" s="1"/>
  <c r="AG135" i="33" s="1"/>
  <c r="AH135" i="33" s="1"/>
  <c r="AI135" i="33" s="1"/>
  <c r="AJ135" i="33" s="1"/>
  <c r="AK135" i="33" s="1"/>
  <c r="AL135" i="33" s="1"/>
  <c r="AM135" i="33" s="1"/>
  <c r="AN135" i="33" s="1"/>
  <c r="AO135" i="33" s="1"/>
  <c r="AP135" i="33" s="1"/>
  <c r="AQ135" i="33" s="1"/>
  <c r="AR135" i="33" s="1"/>
  <c r="AS135" i="33" s="1"/>
  <c r="AT135" i="33" s="1"/>
  <c r="AU135" i="33" s="1"/>
  <c r="AU134" i="33"/>
  <c r="AV134" i="33" s="1"/>
  <c r="AW134" i="33" s="1"/>
  <c r="AX134" i="33" s="1"/>
  <c r="AY134" i="33" s="1"/>
  <c r="C133" i="33"/>
  <c r="D133" i="33" s="1"/>
  <c r="E133" i="33" s="1"/>
  <c r="F133" i="33" s="1"/>
  <c r="G133" i="33" s="1"/>
  <c r="H133" i="33" s="1"/>
  <c r="I133" i="33" s="1"/>
  <c r="J133" i="33" s="1"/>
  <c r="K133" i="33" s="1"/>
  <c r="L133" i="33" s="1"/>
  <c r="M133" i="33" s="1"/>
  <c r="N133" i="33" s="1"/>
  <c r="O133" i="33" s="1"/>
  <c r="P133" i="33" s="1"/>
  <c r="Q133" i="33" s="1"/>
  <c r="R133" i="33" s="1"/>
  <c r="S133" i="33" s="1"/>
  <c r="T133" i="33" s="1"/>
  <c r="U133" i="33" s="1"/>
  <c r="V133" i="33" s="1"/>
  <c r="W133" i="33" s="1"/>
  <c r="X133" i="33" s="1"/>
  <c r="Y133" i="33" s="1"/>
  <c r="Z133" i="33" s="1"/>
  <c r="AA133" i="33" s="1"/>
  <c r="AB133" i="33" s="1"/>
  <c r="AC133" i="33" s="1"/>
  <c r="AD133" i="33" s="1"/>
  <c r="AE133" i="33" s="1"/>
  <c r="AF133" i="33" s="1"/>
  <c r="AG133" i="33" s="1"/>
  <c r="AH133" i="33" s="1"/>
  <c r="AI133" i="33" s="1"/>
  <c r="AJ133" i="33" s="1"/>
  <c r="AK133" i="33" s="1"/>
  <c r="AL133" i="33" s="1"/>
  <c r="AM133" i="33" s="1"/>
  <c r="AN133" i="33" s="1"/>
  <c r="AO133" i="33" s="1"/>
  <c r="AP133" i="33" s="1"/>
  <c r="AQ133" i="33" s="1"/>
  <c r="AR133" i="33" s="1"/>
  <c r="AS133" i="33" s="1"/>
  <c r="AT133" i="33" s="1"/>
  <c r="AU133" i="33" s="1"/>
  <c r="AV133" i="33" s="1"/>
  <c r="AW133" i="33" s="1"/>
  <c r="AX133" i="33" s="1"/>
  <c r="AY133" i="33" s="1"/>
  <c r="B126" i="33"/>
  <c r="B124" i="33" s="1"/>
  <c r="B120" i="33" s="1"/>
  <c r="G116" i="33"/>
  <c r="I116" i="33" s="1"/>
  <c r="I118" i="33" s="1"/>
  <c r="C107" i="33"/>
  <c r="C106" i="33" s="1"/>
  <c r="D105" i="33"/>
  <c r="E105" i="33" s="1"/>
  <c r="F105" i="33" s="1"/>
  <c r="G105" i="33" s="1"/>
  <c r="H105" i="33" s="1"/>
  <c r="I105" i="33" s="1"/>
  <c r="J105" i="33" s="1"/>
  <c r="K105" i="33" s="1"/>
  <c r="L105" i="33" s="1"/>
  <c r="M105" i="33" s="1"/>
  <c r="N105" i="33" s="1"/>
  <c r="O105" i="33" s="1"/>
  <c r="P105" i="33" s="1"/>
  <c r="Q105" i="33" s="1"/>
  <c r="R105" i="33" s="1"/>
  <c r="S105" i="33" s="1"/>
  <c r="T105" i="33" s="1"/>
  <c r="U105" i="33" s="1"/>
  <c r="V105" i="33" s="1"/>
  <c r="W105" i="33" s="1"/>
  <c r="X105" i="33" s="1"/>
  <c r="Y105" i="33" s="1"/>
  <c r="Z105" i="33" s="1"/>
  <c r="AA105" i="33" s="1"/>
  <c r="AB105" i="33" s="1"/>
  <c r="AC105" i="33" s="1"/>
  <c r="AD105" i="33" s="1"/>
  <c r="AE105" i="33" s="1"/>
  <c r="AF105" i="33" s="1"/>
  <c r="AG105" i="33" s="1"/>
  <c r="AH105" i="33" s="1"/>
  <c r="AI105" i="33" s="1"/>
  <c r="AJ105" i="33" s="1"/>
  <c r="AK105" i="33" s="1"/>
  <c r="AL105" i="33" s="1"/>
  <c r="AM105" i="33" s="1"/>
  <c r="AN105" i="33" s="1"/>
  <c r="AO105" i="33" s="1"/>
  <c r="AP105" i="33" s="1"/>
  <c r="C103" i="33"/>
  <c r="B100" i="33"/>
  <c r="D24" i="29" l="1"/>
  <c r="AC28" i="29"/>
  <c r="AV135" i="33"/>
  <c r="AW135" i="33" s="1"/>
  <c r="AX135" i="33" s="1"/>
  <c r="AY135" i="33" s="1"/>
  <c r="G118" i="33"/>
  <c r="D107" i="33"/>
  <c r="E107" i="33" s="1"/>
  <c r="H138" i="33"/>
  <c r="I138" i="33" s="1"/>
  <c r="G139" i="33"/>
  <c r="AC24" i="29" l="1"/>
  <c r="Z24" i="29"/>
  <c r="B27" i="26"/>
  <c r="B72" i="26" s="1"/>
  <c r="E81" i="33"/>
  <c r="F67" i="33" s="1"/>
  <c r="F65" i="33" s="1"/>
  <c r="I139" i="33"/>
  <c r="D106" i="33"/>
  <c r="J138" i="33"/>
  <c r="K138" i="33" s="1"/>
  <c r="K139" i="33" s="1"/>
  <c r="E106" i="33"/>
  <c r="F107" i="33"/>
  <c r="H139" i="33"/>
  <c r="G67" i="33" l="1"/>
  <c r="G65" i="33" s="1"/>
  <c r="L138" i="33"/>
  <c r="L139" i="33"/>
  <c r="F106" i="33"/>
  <c r="G107" i="33"/>
  <c r="J139" i="33"/>
  <c r="M138" i="33"/>
  <c r="G76" i="33" l="1"/>
  <c r="G106" i="33"/>
  <c r="H107" i="33"/>
  <c r="N138" i="33"/>
  <c r="N139" i="33" s="1"/>
  <c r="M139" i="33"/>
  <c r="I107" i="33" l="1"/>
  <c r="H106" i="33"/>
  <c r="O138" i="33"/>
  <c r="J107" i="33" l="1"/>
  <c r="I106" i="33"/>
  <c r="P138" i="33"/>
  <c r="P139" i="33" s="1"/>
  <c r="O139" i="33"/>
  <c r="K107" i="33" l="1"/>
  <c r="J106" i="33"/>
  <c r="Q138" i="33"/>
  <c r="L107" i="33" l="1"/>
  <c r="K106" i="33"/>
  <c r="R138" i="33"/>
  <c r="R139" i="33" s="1"/>
  <c r="Q139" i="33"/>
  <c r="M107" i="33" l="1"/>
  <c r="L106" i="33"/>
  <c r="S138" i="33"/>
  <c r="N107" i="33" l="1"/>
  <c r="M106" i="33"/>
  <c r="T138" i="33"/>
  <c r="S139" i="33"/>
  <c r="O107" i="33" l="1"/>
  <c r="N106" i="33"/>
  <c r="U138" i="33"/>
  <c r="T139" i="33"/>
  <c r="P107" i="33" l="1"/>
  <c r="O106" i="33"/>
  <c r="V138" i="33"/>
  <c r="V139" i="33" s="1"/>
  <c r="U139" i="33"/>
  <c r="Q107" i="33" l="1"/>
  <c r="P106" i="33"/>
  <c r="W138" i="33"/>
  <c r="R107" i="33" l="1"/>
  <c r="Q106" i="33"/>
  <c r="X138" i="33"/>
  <c r="X139" i="33" s="1"/>
  <c r="W139" i="33"/>
  <c r="S107" i="33" l="1"/>
  <c r="R106" i="33"/>
  <c r="Y138" i="33"/>
  <c r="T107" i="33" l="1"/>
  <c r="S106" i="33"/>
  <c r="Z138" i="33"/>
  <c r="Z139" i="33" s="1"/>
  <c r="Y139" i="33"/>
  <c r="U107" i="33" l="1"/>
  <c r="T106" i="33"/>
  <c r="AA138" i="33"/>
  <c r="V107" i="33" l="1"/>
  <c r="U106" i="33"/>
  <c r="AB138" i="33"/>
  <c r="AB139" i="33" s="1"/>
  <c r="AA139" i="33"/>
  <c r="W107" i="33" l="1"/>
  <c r="V106" i="33"/>
  <c r="AC138" i="33"/>
  <c r="X107" i="33" l="1"/>
  <c r="W106" i="33"/>
  <c r="AD138" i="33"/>
  <c r="AD139" i="33" s="1"/>
  <c r="AC139" i="33"/>
  <c r="Y107" i="33" l="1"/>
  <c r="X106" i="33"/>
  <c r="AE138" i="33"/>
  <c r="Z107" i="33" l="1"/>
  <c r="Y106" i="33"/>
  <c r="AF138" i="33"/>
  <c r="AF139" i="33"/>
  <c r="AE139" i="33"/>
  <c r="AA107" i="33" l="1"/>
  <c r="Z106" i="33"/>
  <c r="AG138" i="33"/>
  <c r="AG139" i="33"/>
  <c r="AB107" i="33" l="1"/>
  <c r="AA106" i="33"/>
  <c r="AH138" i="33"/>
  <c r="AC107" i="33" l="1"/>
  <c r="AB106" i="33"/>
  <c r="AI138" i="33"/>
  <c r="AI139" i="33" s="1"/>
  <c r="AH139" i="33"/>
  <c r="AD107" i="33" l="1"/>
  <c r="AC106" i="33"/>
  <c r="AJ138" i="33"/>
  <c r="AJ139" i="33" s="1"/>
  <c r="AE107" i="33" l="1"/>
  <c r="AD106" i="33"/>
  <c r="AK138" i="33"/>
  <c r="AF107" i="33" l="1"/>
  <c r="AE106" i="33"/>
  <c r="AL138" i="33"/>
  <c r="AK139" i="33"/>
  <c r="AG107" i="33" l="1"/>
  <c r="AF106" i="33"/>
  <c r="AM138" i="33"/>
  <c r="AM139" i="33" s="1"/>
  <c r="AL139" i="33"/>
  <c r="AH107" i="33" l="1"/>
  <c r="AG106" i="33"/>
  <c r="AN138" i="33"/>
  <c r="AN139" i="33"/>
  <c r="AI107" i="33" l="1"/>
  <c r="AH106" i="33"/>
  <c r="AO138" i="33"/>
  <c r="AJ107" i="33" l="1"/>
  <c r="AI106" i="33"/>
  <c r="AP138" i="33"/>
  <c r="AO139" i="33"/>
  <c r="AK107" i="33" l="1"/>
  <c r="AJ106" i="33"/>
  <c r="AQ138" i="33"/>
  <c r="AQ139" i="33" s="1"/>
  <c r="AP139" i="33"/>
  <c r="AL107" i="33" l="1"/>
  <c r="AK106" i="33"/>
  <c r="AR138" i="33"/>
  <c r="AR139" i="33"/>
  <c r="AM107" i="33" l="1"/>
  <c r="AL106" i="33"/>
  <c r="AS138" i="33"/>
  <c r="AN107" i="33" l="1"/>
  <c r="AM106" i="33"/>
  <c r="AT138" i="33"/>
  <c r="AT139" i="33" s="1"/>
  <c r="AS139" i="33"/>
  <c r="AO107" i="33" l="1"/>
  <c r="AN106" i="33"/>
  <c r="AU138" i="33"/>
  <c r="AP107" i="33" l="1"/>
  <c r="AP106" i="33" s="1"/>
  <c r="AO106" i="33"/>
  <c r="AV138" i="33"/>
  <c r="AU139" i="33"/>
  <c r="AW138" i="33" l="1"/>
  <c r="AV139" i="33"/>
  <c r="AX138" i="33" l="1"/>
  <c r="AX139" i="33" s="1"/>
  <c r="AW139" i="33"/>
  <c r="AY138" i="33" l="1"/>
  <c r="AY139" i="33" s="1"/>
  <c r="C92" i="33" l="1"/>
  <c r="D92" i="33" s="1"/>
  <c r="E92" i="33" s="1"/>
  <c r="F92" i="33" s="1"/>
  <c r="G92" i="33" s="1"/>
  <c r="H92" i="33" s="1"/>
  <c r="I92" i="33" s="1"/>
  <c r="J92" i="33" s="1"/>
  <c r="K92" i="33" s="1"/>
  <c r="L92" i="33" s="1"/>
  <c r="M92" i="33" s="1"/>
  <c r="N92" i="33" s="1"/>
  <c r="O92" i="33" s="1"/>
  <c r="P92" i="33" s="1"/>
  <c r="Q92" i="33" s="1"/>
  <c r="R92" i="33" s="1"/>
  <c r="S92" i="33" s="1"/>
  <c r="T92" i="33" s="1"/>
  <c r="U92" i="33" s="1"/>
  <c r="V92" i="33" s="1"/>
  <c r="W92" i="33" s="1"/>
  <c r="X92" i="33" s="1"/>
  <c r="Y92" i="33" s="1"/>
  <c r="Z92" i="33" s="1"/>
  <c r="AA92" i="33" s="1"/>
  <c r="AB92" i="33" s="1"/>
  <c r="AC92" i="33" s="1"/>
  <c r="AD92" i="33" s="1"/>
  <c r="AE92" i="33" s="1"/>
  <c r="C91" i="33"/>
  <c r="D91" i="33" s="1"/>
  <c r="E91" i="33" s="1"/>
  <c r="F91" i="33" s="1"/>
  <c r="G91" i="33" s="1"/>
  <c r="H91" i="33" s="1"/>
  <c r="I91" i="33" s="1"/>
  <c r="J91" i="33" s="1"/>
  <c r="K91" i="33" s="1"/>
  <c r="L91" i="33" s="1"/>
  <c r="M91" i="33" s="1"/>
  <c r="N91" i="33" s="1"/>
  <c r="O91" i="33" s="1"/>
  <c r="P91" i="33" s="1"/>
  <c r="Q91" i="33" s="1"/>
  <c r="R91" i="33" s="1"/>
  <c r="S91" i="33" s="1"/>
  <c r="T91" i="33" s="1"/>
  <c r="U91" i="33" s="1"/>
  <c r="V91" i="33" s="1"/>
  <c r="W91" i="33" s="1"/>
  <c r="X91" i="33" s="1"/>
  <c r="Y91" i="33" s="1"/>
  <c r="Z91" i="33" s="1"/>
  <c r="AA91" i="33" s="1"/>
  <c r="AB91" i="33" s="1"/>
  <c r="AC91" i="33" s="1"/>
  <c r="AD91" i="33" s="1"/>
  <c r="AE91" i="33" s="1"/>
  <c r="AE85" i="33"/>
  <c r="AD85" i="33"/>
  <c r="AC85" i="33"/>
  <c r="AB85" i="33"/>
  <c r="AA85" i="33"/>
  <c r="Z85" i="33"/>
  <c r="Y85" i="33"/>
  <c r="X85" i="33"/>
  <c r="W85" i="33"/>
  <c r="V85" i="33"/>
  <c r="U85" i="33"/>
  <c r="T85" i="33"/>
  <c r="S85" i="33"/>
  <c r="R85" i="33"/>
  <c r="Q85" i="33"/>
  <c r="P85" i="33"/>
  <c r="O85" i="33"/>
  <c r="N85" i="33"/>
  <c r="M85" i="33"/>
  <c r="L85" i="33"/>
  <c r="K85" i="33"/>
  <c r="J85" i="33"/>
  <c r="I85" i="33"/>
  <c r="H85" i="33"/>
  <c r="G85" i="33"/>
  <c r="F85" i="33"/>
  <c r="E85" i="33"/>
  <c r="D85" i="33"/>
  <c r="C85" i="33"/>
  <c r="B85" i="33"/>
  <c r="AE77" i="33"/>
  <c r="AD77" i="33"/>
  <c r="AC77" i="33"/>
  <c r="AB77" i="33"/>
  <c r="AA77" i="33"/>
  <c r="Z77" i="33"/>
  <c r="Y77" i="33"/>
  <c r="X77" i="33"/>
  <c r="W77" i="33"/>
  <c r="V77" i="33"/>
  <c r="U77" i="33"/>
  <c r="T77" i="33"/>
  <c r="S77" i="33"/>
  <c r="R77" i="33"/>
  <c r="Q77" i="33"/>
  <c r="P77" i="33"/>
  <c r="O77" i="33"/>
  <c r="N77" i="33"/>
  <c r="M77" i="33"/>
  <c r="L77" i="33"/>
  <c r="K77" i="33"/>
  <c r="J77" i="33"/>
  <c r="I77" i="33"/>
  <c r="H77" i="33"/>
  <c r="G77" i="33"/>
  <c r="F77" i="33"/>
  <c r="E77" i="33"/>
  <c r="D77" i="33"/>
  <c r="C77" i="33"/>
  <c r="B77" i="33"/>
  <c r="F76" i="33"/>
  <c r="E76" i="33"/>
  <c r="D76" i="33"/>
  <c r="C76" i="33"/>
  <c r="B76" i="33"/>
  <c r="AE59" i="33"/>
  <c r="AC59" i="33"/>
  <c r="G59" i="33"/>
  <c r="F59" i="33"/>
  <c r="E59" i="33"/>
  <c r="D59" i="33"/>
  <c r="C59" i="33"/>
  <c r="B59" i="33"/>
  <c r="E58" i="33"/>
  <c r="D58" i="33"/>
  <c r="D80" i="33" s="1"/>
  <c r="C58" i="33"/>
  <c r="C80" i="33" s="1"/>
  <c r="B58" i="33"/>
  <c r="B49" i="33"/>
  <c r="B48" i="33"/>
  <c r="C48" i="33" s="1"/>
  <c r="D48" i="33" s="1"/>
  <c r="E48" i="33" s="1"/>
  <c r="B45" i="33"/>
  <c r="B34" i="33"/>
  <c r="N62" i="33" s="1"/>
  <c r="V62" i="33" s="1"/>
  <c r="B28" i="33"/>
  <c r="L60" i="33" s="1"/>
  <c r="AC25" i="29"/>
  <c r="AC26" i="29"/>
  <c r="AC29" i="29"/>
  <c r="C51" i="7"/>
  <c r="AC31" i="29"/>
  <c r="AC32" i="29"/>
  <c r="AC33" i="29"/>
  <c r="AC34" i="29"/>
  <c r="AC35" i="29"/>
  <c r="AC36" i="29"/>
  <c r="AC37" i="29"/>
  <c r="AC38" i="29"/>
  <c r="AC39" i="29"/>
  <c r="AC40" i="29"/>
  <c r="AC41" i="29"/>
  <c r="AC42" i="29"/>
  <c r="AC43" i="29"/>
  <c r="AC44" i="29"/>
  <c r="AC45" i="29"/>
  <c r="AC46" i="29"/>
  <c r="AC47" i="29"/>
  <c r="AC48" i="29"/>
  <c r="AC49" i="29"/>
  <c r="AC50" i="29"/>
  <c r="AC51" i="29"/>
  <c r="AC52" i="29"/>
  <c r="AC53" i="29"/>
  <c r="AC54" i="29"/>
  <c r="AC55" i="29"/>
  <c r="AC56" i="29"/>
  <c r="AC57" i="29"/>
  <c r="AC59" i="29"/>
  <c r="AC60" i="29"/>
  <c r="AC61" i="29"/>
  <c r="AC62" i="29"/>
  <c r="AC63" i="29"/>
  <c r="AC64" i="29"/>
  <c r="C50" i="7"/>
  <c r="B66" i="33" l="1"/>
  <c r="B68" i="33" s="1"/>
  <c r="B75" i="33" s="1"/>
  <c r="F48" i="33"/>
  <c r="B70" i="33"/>
  <c r="AD62" i="33"/>
  <c r="AD59" i="33" s="1"/>
  <c r="E80" i="33"/>
  <c r="E66" i="33"/>
  <c r="E68" i="33" s="1"/>
  <c r="D66" i="33"/>
  <c r="D68" i="33" s="1"/>
  <c r="B80" i="33"/>
  <c r="H67" i="33"/>
  <c r="C66" i="33"/>
  <c r="C68" i="33" s="1"/>
  <c r="F49" i="33" l="1"/>
  <c r="F58" i="33" s="1"/>
  <c r="F80" i="33" s="1"/>
  <c r="G48" i="33"/>
  <c r="H48" i="33" s="1"/>
  <c r="H65" i="33"/>
  <c r="H59" i="33" s="1"/>
  <c r="C70" i="33"/>
  <c r="C75" i="33"/>
  <c r="D70" i="33"/>
  <c r="D75" i="33"/>
  <c r="E75" i="33"/>
  <c r="E70" i="33"/>
  <c r="B71" i="33"/>
  <c r="B72" i="33" s="1"/>
  <c r="C79" i="33"/>
  <c r="H76" i="33"/>
  <c r="I67" i="33"/>
  <c r="G49" i="33" l="1"/>
  <c r="G58" i="33" s="1"/>
  <c r="G80" i="33" s="1"/>
  <c r="I65" i="33"/>
  <c r="I59" i="33" s="1"/>
  <c r="F66" i="33"/>
  <c r="F68" i="33" s="1"/>
  <c r="F70" i="33" s="1"/>
  <c r="F71" i="33" s="1"/>
  <c r="F72" i="33" s="1"/>
  <c r="I48" i="33"/>
  <c r="H49" i="33"/>
  <c r="H58" i="33" s="1"/>
  <c r="D71" i="33"/>
  <c r="D72" i="33" s="1"/>
  <c r="C71" i="33"/>
  <c r="C72" i="33" s="1"/>
  <c r="B78" i="33"/>
  <c r="J67" i="33"/>
  <c r="I76" i="33"/>
  <c r="E71" i="33"/>
  <c r="E72" i="33" s="1"/>
  <c r="D79" i="33"/>
  <c r="E79" i="33" s="1"/>
  <c r="G66" i="33" l="1"/>
  <c r="G68" i="33" s="1"/>
  <c r="G70" i="33" s="1"/>
  <c r="G71" i="33" s="1"/>
  <c r="G72" i="33" s="1"/>
  <c r="J65" i="33"/>
  <c r="J59" i="33" s="1"/>
  <c r="F75" i="33"/>
  <c r="J48" i="33"/>
  <c r="I49" i="33"/>
  <c r="I58" i="33" s="1"/>
  <c r="H80" i="33"/>
  <c r="H66" i="33"/>
  <c r="H68" i="33" s="1"/>
  <c r="F79" i="33"/>
  <c r="G79" i="33" s="1"/>
  <c r="C78" i="33"/>
  <c r="J76" i="33"/>
  <c r="K67" i="33"/>
  <c r="B86" i="33"/>
  <c r="B88" i="33"/>
  <c r="B89" i="33"/>
  <c r="G75" i="33" l="1"/>
  <c r="K65" i="33"/>
  <c r="K59" i="33" s="1"/>
  <c r="H70" i="33"/>
  <c r="H71" i="33" s="1"/>
  <c r="H72" i="33" s="1"/>
  <c r="H75" i="33"/>
  <c r="I66" i="33"/>
  <c r="I68" i="33" s="1"/>
  <c r="I80" i="33"/>
  <c r="K48" i="33"/>
  <c r="J49" i="33"/>
  <c r="J58" i="33" s="1"/>
  <c r="H79" i="33"/>
  <c r="I79" i="33" s="1"/>
  <c r="L67" i="33"/>
  <c r="K76" i="33"/>
  <c r="B87" i="33"/>
  <c r="B90" i="33" s="1"/>
  <c r="C83" i="33"/>
  <c r="C84" i="33" s="1"/>
  <c r="D78" i="33"/>
  <c r="L65" i="33" l="1"/>
  <c r="L59" i="33" s="1"/>
  <c r="I75" i="33"/>
  <c r="I70" i="33"/>
  <c r="I71" i="33" s="1"/>
  <c r="I72" i="33" s="1"/>
  <c r="J80" i="33"/>
  <c r="J66" i="33"/>
  <c r="J68" i="33" s="1"/>
  <c r="L48" i="33"/>
  <c r="K49" i="33"/>
  <c r="K58" i="33" s="1"/>
  <c r="J79" i="33"/>
  <c r="C86" i="33"/>
  <c r="C88" i="33"/>
  <c r="C89" i="33"/>
  <c r="D83" i="33"/>
  <c r="D86" i="33" s="1"/>
  <c r="E78" i="33"/>
  <c r="E83" i="33" s="1"/>
  <c r="E86" i="33" s="1"/>
  <c r="L76" i="33"/>
  <c r="M67" i="33"/>
  <c r="M65" i="33" l="1"/>
  <c r="M59" i="33" s="1"/>
  <c r="F78" i="33"/>
  <c r="F83" i="33" s="1"/>
  <c r="F86" i="33" s="1"/>
  <c r="F87" i="33" s="1"/>
  <c r="M48" i="33"/>
  <c r="L49" i="33"/>
  <c r="L58" i="33" s="1"/>
  <c r="J70" i="33"/>
  <c r="J71" i="33" s="1"/>
  <c r="J72" i="33" s="1"/>
  <c r="J75" i="33"/>
  <c r="K80" i="33"/>
  <c r="K66" i="33"/>
  <c r="K68" i="33" s="1"/>
  <c r="N67" i="33"/>
  <c r="M76" i="33"/>
  <c r="K79" i="33"/>
  <c r="D88" i="33"/>
  <c r="E88" i="33"/>
  <c r="D84" i="33"/>
  <c r="D89" i="33" s="1"/>
  <c r="E84" i="33"/>
  <c r="C87" i="33"/>
  <c r="C90" i="33" s="1"/>
  <c r="E87" i="33"/>
  <c r="D87" i="33"/>
  <c r="F88" i="33" l="1"/>
  <c r="G78" i="33"/>
  <c r="G83" i="33" s="1"/>
  <c r="G84" i="33" s="1"/>
  <c r="N65" i="33"/>
  <c r="N59" i="33" s="1"/>
  <c r="F84" i="33"/>
  <c r="F89" i="33" s="1"/>
  <c r="L79" i="33"/>
  <c r="E89" i="33"/>
  <c r="N48" i="33"/>
  <c r="M49" i="33"/>
  <c r="M58" i="33" s="1"/>
  <c r="K75" i="33"/>
  <c r="K70" i="33"/>
  <c r="K71" i="33" s="1"/>
  <c r="K72" i="33" s="1"/>
  <c r="L80" i="33"/>
  <c r="L66" i="33"/>
  <c r="L68" i="33" s="1"/>
  <c r="D90" i="33"/>
  <c r="F90" i="33"/>
  <c r="E90" i="33"/>
  <c r="N76" i="33"/>
  <c r="O67" i="33"/>
  <c r="G88" i="33" l="1"/>
  <c r="H78" i="33"/>
  <c r="H83" i="33" s="1"/>
  <c r="H86" i="33" s="1"/>
  <c r="G86" i="33"/>
  <c r="G87" i="33" s="1"/>
  <c r="G90" i="33" s="1"/>
  <c r="G89" i="33"/>
  <c r="M79" i="33"/>
  <c r="O65" i="33"/>
  <c r="O59" i="33" s="1"/>
  <c r="O48" i="33"/>
  <c r="N49" i="33"/>
  <c r="N58" i="33" s="1"/>
  <c r="L70" i="33"/>
  <c r="L71" i="33" s="1"/>
  <c r="L75" i="33"/>
  <c r="M80" i="33"/>
  <c r="M66" i="33"/>
  <c r="M68" i="33" s="1"/>
  <c r="P67" i="33"/>
  <c r="O76" i="33"/>
  <c r="H87" i="33" l="1"/>
  <c r="H90" i="33" s="1"/>
  <c r="H84" i="33"/>
  <c r="H89" i="33" s="1"/>
  <c r="H88" i="33"/>
  <c r="I78" i="33"/>
  <c r="I83" i="33" s="1"/>
  <c r="N79" i="33"/>
  <c r="P65" i="33"/>
  <c r="P59" i="33" s="1"/>
  <c r="L72" i="33"/>
  <c r="M75" i="33"/>
  <c r="M70" i="33"/>
  <c r="M71" i="33" s="1"/>
  <c r="M72" i="33" s="1"/>
  <c r="N80" i="33"/>
  <c r="N66" i="33"/>
  <c r="N68" i="33" s="1"/>
  <c r="P48" i="33"/>
  <c r="O49" i="33"/>
  <c r="O58" i="33" s="1"/>
  <c r="O79" i="33" s="1"/>
  <c r="P76" i="33"/>
  <c r="Q67" i="33"/>
  <c r="J78" i="33" l="1"/>
  <c r="J83" i="33" s="1"/>
  <c r="J86" i="33" s="1"/>
  <c r="Q65" i="33"/>
  <c r="Q59" i="33" s="1"/>
  <c r="N75" i="33"/>
  <c r="N70" i="33"/>
  <c r="N71" i="33" s="1"/>
  <c r="O80" i="33"/>
  <c r="O66" i="33"/>
  <c r="O68" i="33" s="1"/>
  <c r="Q48" i="33"/>
  <c r="P49" i="33"/>
  <c r="P58" i="33" s="1"/>
  <c r="P79" i="33" s="1"/>
  <c r="K78" i="33"/>
  <c r="K83" i="33" s="1"/>
  <c r="K86" i="33" s="1"/>
  <c r="I86" i="33"/>
  <c r="I84" i="33"/>
  <c r="I89" i="33" s="1"/>
  <c r="I88" i="33"/>
  <c r="R67" i="33"/>
  <c r="Q76" i="33"/>
  <c r="J88" i="33" l="1"/>
  <c r="J84" i="33"/>
  <c r="J89" i="33" s="1"/>
  <c r="R65" i="33"/>
  <c r="R59" i="33" s="1"/>
  <c r="N72" i="33"/>
  <c r="P80" i="33"/>
  <c r="P66" i="33"/>
  <c r="P68" i="33" s="1"/>
  <c r="R48" i="33"/>
  <c r="Q49" i="33"/>
  <c r="Q58" i="33" s="1"/>
  <c r="O70" i="33"/>
  <c r="O71" i="33" s="1"/>
  <c r="O75" i="33"/>
  <c r="K84" i="33"/>
  <c r="K88" i="33"/>
  <c r="I87" i="33"/>
  <c r="I90" i="33" s="1"/>
  <c r="K87" i="33"/>
  <c r="J87" i="33"/>
  <c r="L78" i="33"/>
  <c r="R76" i="33"/>
  <c r="S67" i="33"/>
  <c r="K89" i="33" l="1"/>
  <c r="S65" i="33"/>
  <c r="S59" i="33" s="1"/>
  <c r="O72" i="33"/>
  <c r="P70" i="33"/>
  <c r="P71" i="33" s="1"/>
  <c r="P75" i="33"/>
  <c r="Q66" i="33"/>
  <c r="Q68" i="33" s="1"/>
  <c r="Q80" i="33"/>
  <c r="Q79" i="33"/>
  <c r="S48" i="33"/>
  <c r="R49" i="33"/>
  <c r="R58" i="33" s="1"/>
  <c r="J90" i="33"/>
  <c r="K90" i="33"/>
  <c r="L83" i="33"/>
  <c r="M78" i="33"/>
  <c r="M83" i="33" s="1"/>
  <c r="T67" i="33"/>
  <c r="S76" i="33"/>
  <c r="T65" i="33" l="1"/>
  <c r="T59" i="33" s="1"/>
  <c r="R79" i="33"/>
  <c r="R80" i="33"/>
  <c r="R66" i="33"/>
  <c r="R68" i="33" s="1"/>
  <c r="Q75" i="33"/>
  <c r="Q70" i="33"/>
  <c r="Q71" i="33" s="1"/>
  <c r="Q72" i="33" s="1"/>
  <c r="P72" i="33"/>
  <c r="T48" i="33"/>
  <c r="S49" i="33"/>
  <c r="S58" i="33" s="1"/>
  <c r="M84" i="33"/>
  <c r="M86" i="33"/>
  <c r="N78" i="33"/>
  <c r="L88" i="33"/>
  <c r="L86" i="33"/>
  <c r="M88" i="33"/>
  <c r="L84" i="33"/>
  <c r="L89" i="33" s="1"/>
  <c r="T76" i="33"/>
  <c r="U67" i="33"/>
  <c r="U65" i="33" l="1"/>
  <c r="U59" i="33" s="1"/>
  <c r="S79" i="33"/>
  <c r="S80" i="33"/>
  <c r="S66" i="33"/>
  <c r="S68" i="33" s="1"/>
  <c r="U48" i="33"/>
  <c r="T49" i="33"/>
  <c r="T58" i="33" s="1"/>
  <c r="R70" i="33"/>
  <c r="R71" i="33" s="1"/>
  <c r="R72" i="33" s="1"/>
  <c r="R75" i="33"/>
  <c r="B103" i="33"/>
  <c r="L87" i="33"/>
  <c r="M87" i="33"/>
  <c r="N83" i="33"/>
  <c r="O78" i="33"/>
  <c r="P78" i="33" s="1"/>
  <c r="P83" i="33" s="1"/>
  <c r="P86" i="33" s="1"/>
  <c r="M89" i="33"/>
  <c r="V67" i="33"/>
  <c r="U76" i="33"/>
  <c r="V65" i="33" l="1"/>
  <c r="V59" i="33" s="1"/>
  <c r="L90" i="33"/>
  <c r="G29" i="33"/>
  <c r="T80" i="33"/>
  <c r="T66" i="33"/>
  <c r="T68" i="33" s="1"/>
  <c r="T79" i="33"/>
  <c r="V48" i="33"/>
  <c r="U49" i="33"/>
  <c r="U58" i="33" s="1"/>
  <c r="S75" i="33"/>
  <c r="S70" i="33"/>
  <c r="S71" i="33" s="1"/>
  <c r="S72" i="33" s="1"/>
  <c r="M90" i="33"/>
  <c r="N86" i="33"/>
  <c r="N84" i="33"/>
  <c r="N89" i="33" s="1"/>
  <c r="N88" i="33"/>
  <c r="O83" i="33"/>
  <c r="O88" i="33" s="1"/>
  <c r="Q78" i="33"/>
  <c r="W67" i="33"/>
  <c r="W65" i="33" s="1"/>
  <c r="W59" i="33" s="1"/>
  <c r="V76" i="33"/>
  <c r="W48" i="33" l="1"/>
  <c r="V49" i="33"/>
  <c r="V58" i="33" s="1"/>
  <c r="U79" i="33"/>
  <c r="T75" i="33"/>
  <c r="T70" i="33"/>
  <c r="T71" i="33" s="1"/>
  <c r="U80" i="33"/>
  <c r="U66" i="33"/>
  <c r="U68" i="33" s="1"/>
  <c r="N87" i="33"/>
  <c r="N90" i="33" s="1"/>
  <c r="Q83" i="33"/>
  <c r="Q88" i="33" s="1"/>
  <c r="R78" i="33"/>
  <c r="R83" i="33" s="1"/>
  <c r="R86" i="33" s="1"/>
  <c r="O86" i="33"/>
  <c r="O87" i="33" s="1"/>
  <c r="P84" i="33"/>
  <c r="O84" i="33"/>
  <c r="O89" i="33" s="1"/>
  <c r="P88" i="33"/>
  <c r="X67" i="33"/>
  <c r="X65" i="33" s="1"/>
  <c r="X59" i="33" s="1"/>
  <c r="W76" i="33"/>
  <c r="V79" i="33" l="1"/>
  <c r="T72" i="33"/>
  <c r="U75" i="33"/>
  <c r="U70" i="33"/>
  <c r="U71" i="33" s="1"/>
  <c r="U72" i="33" s="1"/>
  <c r="V80" i="33"/>
  <c r="V66" i="33"/>
  <c r="V68" i="33" s="1"/>
  <c r="X48" i="33"/>
  <c r="W49" i="33"/>
  <c r="W58" i="33" s="1"/>
  <c r="O90" i="33"/>
  <c r="P87" i="33"/>
  <c r="P89" i="33"/>
  <c r="R88" i="33"/>
  <c r="Q86" i="33"/>
  <c r="Q87" i="33" s="1"/>
  <c r="Q84" i="33"/>
  <c r="Q89" i="33" s="1"/>
  <c r="S78" i="33"/>
  <c r="S83" i="33" s="1"/>
  <c r="R84" i="33"/>
  <c r="X76" i="33"/>
  <c r="Y67" i="33"/>
  <c r="Y65" i="33" s="1"/>
  <c r="Y59" i="33" s="1"/>
  <c r="R89" i="33" l="1"/>
  <c r="W80" i="33"/>
  <c r="W66" i="33"/>
  <c r="W68" i="33" s="1"/>
  <c r="W79" i="33"/>
  <c r="X79" i="33" s="1"/>
  <c r="Y48" i="33"/>
  <c r="X49" i="33"/>
  <c r="X58" i="33" s="1"/>
  <c r="V75" i="33"/>
  <c r="V70" i="33"/>
  <c r="P90" i="33"/>
  <c r="Q90" i="33"/>
  <c r="S86" i="33"/>
  <c r="S87" i="33" s="1"/>
  <c r="S84" i="33"/>
  <c r="S89" i="33" s="1"/>
  <c r="R87" i="33"/>
  <c r="R90" i="33" s="1"/>
  <c r="T78" i="33"/>
  <c r="T83" i="33" s="1"/>
  <c r="T86" i="33" s="1"/>
  <c r="S88" i="33"/>
  <c r="Z67" i="33"/>
  <c r="Z65" i="33" s="1"/>
  <c r="Z59" i="33" s="1"/>
  <c r="Y76" i="33"/>
  <c r="W75" i="33" l="1"/>
  <c r="W70" i="33"/>
  <c r="W71" i="33" s="1"/>
  <c r="Z48" i="33"/>
  <c r="Y49" i="33"/>
  <c r="Y58" i="33" s="1"/>
  <c r="V71" i="33"/>
  <c r="V72" i="33" s="1"/>
  <c r="X80" i="33"/>
  <c r="X66" i="33"/>
  <c r="X68" i="33" s="1"/>
  <c r="T87" i="33"/>
  <c r="T90" i="33" s="1"/>
  <c r="T84" i="33"/>
  <c r="T89" i="33" s="1"/>
  <c r="T88" i="33"/>
  <c r="U78" i="33"/>
  <c r="U83" i="33" s="1"/>
  <c r="U86" i="33" s="1"/>
  <c r="U87" i="33" s="1"/>
  <c r="S90" i="33"/>
  <c r="AA67" i="33"/>
  <c r="AA65" i="33" s="1"/>
  <c r="AA59" i="33" s="1"/>
  <c r="Z76" i="33"/>
  <c r="W72" i="33" l="1"/>
  <c r="AA48" i="33"/>
  <c r="Z49" i="33"/>
  <c r="Z58" i="33" s="1"/>
  <c r="X70" i="33"/>
  <c r="X71" i="33" s="1"/>
  <c r="X75" i="33"/>
  <c r="Y66" i="33"/>
  <c r="Y68" i="33" s="1"/>
  <c r="Y80" i="33"/>
  <c r="Y79" i="33"/>
  <c r="Z79" i="33" s="1"/>
  <c r="U90" i="33"/>
  <c r="U84" i="33"/>
  <c r="U89" i="33" s="1"/>
  <c r="U88" i="33"/>
  <c r="V78" i="33"/>
  <c r="V83" i="33" s="1"/>
  <c r="V86" i="33" s="1"/>
  <c r="V87" i="33" s="1"/>
  <c r="V90" i="33" s="1"/>
  <c r="AB67" i="33"/>
  <c r="AB65" i="33" s="1"/>
  <c r="AB59" i="33" s="1"/>
  <c r="AA76" i="33"/>
  <c r="X72" i="33" l="1"/>
  <c r="Y70" i="33"/>
  <c r="Y71" i="33" s="1"/>
  <c r="Y75" i="33"/>
  <c r="AB48" i="33"/>
  <c r="AA49" i="33"/>
  <c r="AA58" i="33" s="1"/>
  <c r="Z80" i="33"/>
  <c r="Z66" i="33"/>
  <c r="Z68" i="33" s="1"/>
  <c r="V88" i="33"/>
  <c r="V84" i="33"/>
  <c r="V89" i="33" s="1"/>
  <c r="W78" i="33"/>
  <c r="W83" i="33" s="1"/>
  <c r="W86" i="33" s="1"/>
  <c r="W87" i="33" s="1"/>
  <c r="W90" i="33" s="1"/>
  <c r="AB76" i="33"/>
  <c r="Y72" i="33" l="1"/>
  <c r="AA80" i="33"/>
  <c r="AA66" i="33"/>
  <c r="AA68" i="33" s="1"/>
  <c r="Z75" i="33"/>
  <c r="Z70" i="33"/>
  <c r="AC48" i="33"/>
  <c r="AB49" i="33"/>
  <c r="AB58" i="33" s="1"/>
  <c r="AA79" i="33"/>
  <c r="AB79" i="33" s="1"/>
  <c r="W84" i="33"/>
  <c r="W89" i="33" s="1"/>
  <c r="X78" i="33"/>
  <c r="X83" i="33" s="1"/>
  <c r="X84" i="33" s="1"/>
  <c r="W88" i="33"/>
  <c r="AD67" i="33"/>
  <c r="AC76" i="33"/>
  <c r="Y78" i="33" l="1"/>
  <c r="Y83" i="33" s="1"/>
  <c r="Y86" i="33" s="1"/>
  <c r="X88" i="33"/>
  <c r="X86" i="33"/>
  <c r="X87" i="33" s="1"/>
  <c r="X90" i="33" s="1"/>
  <c r="Z71" i="33"/>
  <c r="Z72" i="33" s="1"/>
  <c r="AB80" i="33"/>
  <c r="AB66" i="33"/>
  <c r="AB68" i="33" s="1"/>
  <c r="AA70" i="33"/>
  <c r="AA71" i="33" s="1"/>
  <c r="AA72" i="33" s="1"/>
  <c r="AA75" i="33"/>
  <c r="AD48" i="33"/>
  <c r="AC49" i="33"/>
  <c r="AC58" i="33" s="1"/>
  <c r="AC79" i="33" s="1"/>
  <c r="X89" i="33"/>
  <c r="AE67" i="33"/>
  <c r="AD76" i="33"/>
  <c r="Y84" i="33" l="1"/>
  <c r="Y89" i="33" s="1"/>
  <c r="Y88" i="33"/>
  <c r="Z78" i="33"/>
  <c r="Z83" i="33" s="1"/>
  <c r="Z86" i="33" s="1"/>
  <c r="Z87" i="33" s="1"/>
  <c r="Y87" i="33"/>
  <c r="Y90" i="33" s="1"/>
  <c r="AE48" i="33"/>
  <c r="AE49" i="33" s="1"/>
  <c r="AE58" i="33" s="1"/>
  <c r="AD49" i="33"/>
  <c r="AD58" i="33" s="1"/>
  <c r="AC80" i="33"/>
  <c r="AC66" i="33"/>
  <c r="AC68" i="33" s="1"/>
  <c r="AB75" i="33"/>
  <c r="AB70" i="33"/>
  <c r="AB71" i="33" s="1"/>
  <c r="AE76" i="33"/>
  <c r="Z88" i="33" l="1"/>
  <c r="Z84" i="33"/>
  <c r="Z89" i="33" s="1"/>
  <c r="Z90" i="33"/>
  <c r="AA78" i="33"/>
  <c r="AA83" i="33" s="1"/>
  <c r="AA86" i="33" s="1"/>
  <c r="AA87" i="33" s="1"/>
  <c r="AA90" i="33" s="1"/>
  <c r="AB72" i="33"/>
  <c r="AD80" i="33"/>
  <c r="AD66" i="33"/>
  <c r="AD68" i="33" s="1"/>
  <c r="AE80" i="33"/>
  <c r="AE66" i="33"/>
  <c r="AE68" i="33" s="1"/>
  <c r="AE70" i="33" s="1"/>
  <c r="AC70" i="33"/>
  <c r="AC71" i="33" s="1"/>
  <c r="AC75" i="33"/>
  <c r="AD79" i="33"/>
  <c r="AE79" i="33" s="1"/>
  <c r="AA88" i="33" l="1"/>
  <c r="AA84" i="33"/>
  <c r="AA89" i="33" s="1"/>
  <c r="AB78" i="33"/>
  <c r="AB83" i="33" s="1"/>
  <c r="AB88" i="33" s="1"/>
  <c r="AE75" i="33"/>
  <c r="AC72" i="33"/>
  <c r="AD75" i="33"/>
  <c r="AD70" i="33"/>
  <c r="AD71" i="33" s="1"/>
  <c r="AE71" i="33"/>
  <c r="AC78" i="33" l="1"/>
  <c r="AC83" i="33" s="1"/>
  <c r="AC86" i="33" s="1"/>
  <c r="AB84" i="33"/>
  <c r="AB89" i="33" s="1"/>
  <c r="AB86" i="33"/>
  <c r="AB87" i="33" s="1"/>
  <c r="AB90" i="33" s="1"/>
  <c r="AD72" i="33"/>
  <c r="AE72" i="33"/>
  <c r="AC87" i="33" l="1"/>
  <c r="AC90" i="33" s="1"/>
  <c r="AC88" i="33"/>
  <c r="AD78" i="33"/>
  <c r="AE78" i="33" s="1"/>
  <c r="AE83" i="33" s="1"/>
  <c r="AE86" i="33" s="1"/>
  <c r="AC84" i="33"/>
  <c r="AC89" i="33" s="1"/>
  <c r="S22" i="12"/>
  <c r="AD83" i="33" l="1"/>
  <c r="AD84" i="33" s="1"/>
  <c r="AD89" i="33" s="1"/>
  <c r="C45" i="7"/>
  <c r="AD88" i="33" l="1"/>
  <c r="AD86" i="33"/>
  <c r="AD87" i="33" s="1"/>
  <c r="AD90" i="33" s="1"/>
  <c r="AE84" i="33"/>
  <c r="AE89" i="33" s="1"/>
  <c r="G27" i="33" s="1"/>
  <c r="D103" i="33" s="1"/>
  <c r="AE88" i="33"/>
  <c r="G26" i="5"/>
  <c r="D26" i="5"/>
  <c r="AE87" i="33" l="1"/>
  <c r="AE90" i="33" s="1"/>
  <c r="G28" i="33" s="1"/>
  <c r="A103" i="33" s="1"/>
  <c r="O27" i="13"/>
  <c r="B113" i="26" l="1"/>
  <c r="L30" i="15" l="1"/>
  <c r="AC28" i="15" l="1"/>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AB25" i="15" s="1"/>
  <c r="N25" i="15"/>
  <c r="AB37" i="15"/>
  <c r="C54" i="15"/>
  <c r="C30" i="15"/>
  <c r="P53" i="15"/>
  <c r="L24" i="15" l="1"/>
  <c r="AB24" i="15" s="1"/>
  <c r="C48" i="7" s="1"/>
  <c r="F30" i="15"/>
  <c r="E30"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A12" i="26" l="1"/>
  <c r="A15" i="26" l="1"/>
  <c r="B21" i="26" s="1"/>
  <c r="A9" i="26"/>
  <c r="B101" i="26" s="1"/>
  <c r="A5" i="26"/>
  <c r="A14" i="12" l="1"/>
  <c r="A11" i="12"/>
  <c r="A8" i="12"/>
  <c r="A4" i="12"/>
  <c r="A15" i="10"/>
  <c r="A12" i="10"/>
  <c r="A9" i="10"/>
  <c r="A5" i="10"/>
  <c r="A15" i="5"/>
  <c r="A12" i="5"/>
  <c r="A9" i="5"/>
  <c r="B26" i="5" s="1"/>
  <c r="O26" i="5" s="1"/>
  <c r="A5" i="5"/>
  <c r="A14" i="15"/>
  <c r="A11" i="15"/>
  <c r="A8" i="15"/>
  <c r="A4" i="15"/>
  <c r="A15" i="16"/>
  <c r="A12" i="16"/>
  <c r="A9" i="16"/>
  <c r="A5" i="16"/>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alcChain>
</file>

<file path=xl/sharedStrings.xml><?xml version="1.0" encoding="utf-8"?>
<sst xmlns="http://schemas.openxmlformats.org/spreadsheetml/2006/main" count="1357" uniqueCount="664">
  <si>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</si>
  <si>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</si>
  <si>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</si>
  <si>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</si>
  <si>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</si>
  <si>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</si>
  <si>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</si>
  <si>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</si>
  <si>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</si>
  <si>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</si>
  <si>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</si>
  <si>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</si>
  <si>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</si>
  <si>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</si>
  <si>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</si>
  <si>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</si>
  <si>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</si>
  <si>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</si>
  <si>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</si>
  <si>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</si>
  <si>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</si>
  <si>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</si>
  <si>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</si>
  <si>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</si>
  <si>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</si>
  <si>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</si>
  <si>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</si>
  <si>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</si>
  <si>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</si>
  <si>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</si>
  <si>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</si>
  <si>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</si>
  <si>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</si>
  <si>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</si>
  <si>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</si>
  <si>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</si>
  <si>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</si>
  <si>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</si>
  <si>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</si>
  <si>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</si>
  <si>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</si>
  <si>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</si>
  <si>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</si>
  <si>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</si>
  <si>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</si>
  <si>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</si>
  <si>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</si>
  <si>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</si>
  <si>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</si>
  <si>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</si>
  <si>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</si>
  <si>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</si>
  <si>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</si>
  <si>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</si>
  <si>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</si>
  <si>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</si>
  <si>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</si>
  <si>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</si>
  <si>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</si>
  <si>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</si>
  <si>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</si>
  <si>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</si>
  <si>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</si>
  <si>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</si>
  <si>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</si>
  <si>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</si>
  <si>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</si>
  <si>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</si>
  <si>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</si>
  <si>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</si>
  <si>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</si>
  <si>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</si>
  <si>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</si>
  <si>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</si>
  <si>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</si>
  <si>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</si>
  <si>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</si>
  <si>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</si>
  <si>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</si>
  <si>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</si>
  <si>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</si>
  <si>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</si>
  <si>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</si>
  <si>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</si>
  <si>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</si>
  <si>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</si>
  <si>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</si>
  <si>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</si>
  <si>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</si>
  <si>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</si>
  <si>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</si>
  <si>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</si>
  <si>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</si>
  <si>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</si>
  <si>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</si>
  <si>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</si>
  <si>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</si>
  <si>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</si>
  <si>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</si>
  <si>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</si>
  <si>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</si>
  <si>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</si>
  <si>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</si>
  <si>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</si>
  <si>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</si>
  <si>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</si>
  <si>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</si>
  <si>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</si>
  <si>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</si>
  <si>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</si>
  <si>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</si>
  <si>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</si>
  <si>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</si>
  <si>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</si>
  <si>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</si>
  <si>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</si>
  <si>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</si>
  <si>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</si>
  <si>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</si>
  <si>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</si>
  <si>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</si>
  <si>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</si>
  <si>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</si>
  <si>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</si>
  <si>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</si>
  <si>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</si>
  <si>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</si>
  <si>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</si>
  <si>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</si>
  <si>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</si>
  <si>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</si>
  <si>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</si>
  <si>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</si>
  <si>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</si>
  <si>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</si>
  <si>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</si>
  <si>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</si>
  <si>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</si>
  <si>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</si>
  <si>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</si>
  <si>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</si>
  <si>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</si>
  <si>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</si>
  <si>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</si>
  <si>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</si>
  <si>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</si>
  <si>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</si>
  <si>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</si>
  <si>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</si>
  <si>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</si>
  <si>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</si>
  <si>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</si>
  <si>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</si>
  <si>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</si>
  <si>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</si>
  <si>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</si>
  <si>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</si>
  <si>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</si>
  <si>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</si>
  <si>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</si>
  <si>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</si>
  <si>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</si>
  <si>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</si>
  <si>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</si>
  <si>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</si>
  <si>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</si>
  <si>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</si>
  <si>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</si>
  <si>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</si>
  <si>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</si>
  <si>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</si>
  <si>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</si>
  <si>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</si>
  <si>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</si>
  <si>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</si>
  <si>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</si>
  <si>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</si>
  <si>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</si>
  <si>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</si>
  <si>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</si>
  <si>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</si>
  <si>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</si>
  <si>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</si>
  <si>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</si>
  <si>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</si>
  <si>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</si>
  <si>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</si>
  <si>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</si>
  <si>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</si>
  <si>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</si>
  <si>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</si>
  <si>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</si>
  <si>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</si>
  <si>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</si>
  <si>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</si>
  <si>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</si>
  <si>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</si>
  <si>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</si>
  <si>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</si>
  <si>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</si>
  <si>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</si>
  <si>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</si>
  <si>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</si>
  <si>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</si>
  <si>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</si>
  <si>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</si>
  <si>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</si>
  <si>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</si>
  <si>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</si>
  <si>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</si>
  <si>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</si>
  <si>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</si>
  <si>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</si>
  <si>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</si>
  <si>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</si>
  <si>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</si>
  <si>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</si>
  <si>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</si>
  <si>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</si>
  <si>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</si>
  <si>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</si>
  <si>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</si>
  <si>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</si>
  <si>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</si>
  <si>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</si>
  <si>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</si>
  <si>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</si>
  <si>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</si>
  <si>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</si>
  <si>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</si>
  <si>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</si>
  <si>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</si>
  <si>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</si>
  <si>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</si>
  <si>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</si>
  <si>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</si>
  <si>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</si>
  <si>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</si>
  <si>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</si>
  <si>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</si>
  <si>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</si>
  <si>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</si>
  <si>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</si>
  <si>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</si>
  <si>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</si>
  <si>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</si>
  <si>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</si>
  <si>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</si>
  <si>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</si>
  <si>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</si>
  <si>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</si>
  <si>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</si>
  <si>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</si>
  <si>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</si>
  <si>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</si>
  <si>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</si>
  <si>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</si>
  <si>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</si>
  <si>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</si>
  <si>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</si>
  <si>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</si>
  <si>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</si>
  <si>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</si>
  <si>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</si>
  <si>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</si>
  <si>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</si>
  <si>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</si>
  <si>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</si>
  <si>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</si>
  <si>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</si>
  <si>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</si>
  <si>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</si>
  <si>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</si>
  <si>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</si>
  <si>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</si>
  <si>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</si>
  <si>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</si>
  <si>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</si>
  <si>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</si>
  <si>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</si>
  <si>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</si>
  <si>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</si>
  <si>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</si>
  <si>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</si>
  <si>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</si>
  <si>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</si>
  <si>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</si>
  <si>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</si>
  <si>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</si>
  <si>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</si>
  <si>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</si>
  <si>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</si>
  <si>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</si>
  <si>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</si>
  <si>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</si>
  <si>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</si>
  <si>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</si>
  <si>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</si>
  <si>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</si>
  <si>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</si>
  <si>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</si>
  <si>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</si>
  <si>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</si>
  <si>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</si>
  <si>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</si>
  <si>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</si>
  <si>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</si>
  <si>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</si>
  <si>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</si>
  <si>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</si>
  <si>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</si>
  <si>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</si>
  <si>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</si>
  <si>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</si>
  <si>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</si>
  <si>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</si>
  <si>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</si>
  <si>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</si>
  <si>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</si>
  <si>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</si>
  <si>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</si>
  <si>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</si>
  <si>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</si>
  <si>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</si>
  <si>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</si>
  <si>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</si>
  <si>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</si>
  <si>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</si>
  <si>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</si>
  <si>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</si>
  <si>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</si>
  <si>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</si>
  <si>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</si>
  <si>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</si>
  <si>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</si>
  <si>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</si>
  <si>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</si>
  <si>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</si>
  <si>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</si>
  <si>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</si>
  <si>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</si>
  <si>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</si>
  <si>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</si>
  <si>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</si>
  <si>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</si>
  <si>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</si>
  <si>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</si>
  <si>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</si>
  <si>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</si>
  <si>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</si>
  <si>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</si>
  <si>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</si>
  <si>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</si>
  <si>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</si>
  <si>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</si>
  <si>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</si>
  <si>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</si>
  <si>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</si>
  <si>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</si>
  <si>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</si>
  <si>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</si>
  <si>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</si>
  <si>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</si>
  <si>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</si>
  <si>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</si>
  <si>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</si>
  <si>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</si>
  <si>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</si>
  <si>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</si>
  <si>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</si>
  <si>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</si>
  <si>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</si>
  <si>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</si>
  <si>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</si>
  <si>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</si>
  <si>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</si>
  <si>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</si>
  <si>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</si>
  <si>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</si>
  <si>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</si>
  <si>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</si>
  <si>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</si>
  <si>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</si>
  <si>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</si>
  <si>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</si>
  <si>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</si>
  <si>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</si>
  <si>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</si>
  <si>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</si>
  <si>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</si>
  <si>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</si>
  <si>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</si>
  <si>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</si>
  <si>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</si>
  <si>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</si>
  <si>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</si>
  <si>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</si>
  <si>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</si>
  <si>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</si>
  <si>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</si>
  <si>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</si>
  <si>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</si>
  <si>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</si>
  <si>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</si>
  <si>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</si>
  <si>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</si>
  <si>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</si>
  <si>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</si>
  <si>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</si>
  <si>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</si>
  <si>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</si>
  <si>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</si>
  <si>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</si>
  <si>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</si>
  <si>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</si>
  <si>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</si>
  <si>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</si>
  <si>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</si>
  <si>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</si>
  <si>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</si>
  <si>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</si>
  <si>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</si>
  <si>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</si>
  <si>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</si>
  <si>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</si>
  <si>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</si>
  <si>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</si>
  <si>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</si>
  <si>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</si>
  <si>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</si>
  <si>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</si>
  <si>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</si>
  <si>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</si>
  <si>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</si>
  <si>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</si>
  <si>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</si>
  <si>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строительство</t>
  </si>
  <si>
    <t>отсутствует</t>
  </si>
  <si>
    <t>Силовой трансформатор 110 кВ</t>
  </si>
  <si>
    <t>НД</t>
  </si>
  <si>
    <t>по состоянию на 01.01.2015 года</t>
  </si>
  <si>
    <t>2019 год</t>
  </si>
  <si>
    <t>2020 год</t>
  </si>
  <si>
    <t>от «__» _____ 2015 г. №___</t>
  </si>
  <si>
    <t>Технологическое присоединение энергопринимающих устройств потребителей свыше 150 кВт</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</si>
  <si>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</si>
  <si>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</si>
  <si>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</si>
  <si>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</si>
  <si>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</si>
  <si>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</si>
  <si>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</si>
  <si>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</si>
  <si>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</si>
  <si>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</si>
  <si>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</si>
  <si>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</si>
  <si>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</si>
  <si>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</si>
  <si>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</si>
  <si>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</si>
  <si>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</si>
  <si>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</si>
  <si>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</si>
  <si>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</si>
  <si>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</si>
  <si>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</si>
  <si>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</si>
  <si>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</si>
  <si>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</si>
  <si>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</si>
  <si>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</si>
  <si>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</si>
  <si>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</si>
  <si>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</si>
  <si>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</si>
  <si>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</si>
  <si>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</si>
  <si>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</si>
  <si>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</si>
  <si>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</si>
  <si>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</si>
  <si>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</si>
  <si>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</si>
  <si>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</si>
  <si>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</si>
  <si>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</si>
  <si>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</si>
  <si>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</si>
  <si>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</si>
  <si>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</si>
  <si>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</si>
  <si>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</si>
  <si>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</si>
  <si>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</si>
  <si>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</si>
  <si>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</si>
  <si>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</si>
  <si>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</si>
  <si>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</si>
  <si>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</si>
  <si>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</si>
  <si>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</si>
  <si>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</si>
  <si>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</si>
  <si>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</si>
  <si>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</si>
  <si>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</si>
  <si>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</si>
  <si>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</si>
  <si>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</si>
  <si>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</si>
  <si>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</si>
  <si>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</si>
  <si>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</si>
  <si>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</si>
  <si>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</si>
  <si>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</si>
  <si>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</si>
  <si>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</si>
  <si>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</si>
  <si>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</si>
  <si>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</si>
  <si>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</si>
  <si>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</si>
  <si>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</si>
  <si>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</si>
  <si>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</si>
  <si>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</si>
  <si>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</si>
  <si>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</si>
  <si>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</si>
  <si>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</si>
  <si>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</si>
  <si>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</si>
  <si>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</si>
  <si>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</si>
  <si>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</si>
  <si>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</si>
  <si>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</si>
  <si>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</si>
  <si>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</si>
  <si>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</si>
  <si>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</si>
  <si>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</si>
  <si>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</si>
  <si>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</si>
  <si>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</si>
  <si>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</si>
  <si>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</si>
  <si>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</si>
  <si>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2019-2023 гг. </t>
  </si>
  <si>
    <t>регионального</t>
  </si>
  <si>
    <t>Увеличение объема услуг по договорам технологического присоединения;  снятие сетевых ограничений на возможность присоединения к электрическим сетям.</t>
  </si>
  <si>
    <t>выключатель элегазовый колонковый 110 кВ 3AP1FG-145</t>
  </si>
  <si>
    <t>Комбинированный дугогасящий реактор</t>
  </si>
  <si>
    <t>ASR1.0P/840</t>
  </si>
  <si>
    <r>
      <t>Другое</t>
    </r>
    <r>
      <rPr>
        <vertAlign val="superscript"/>
        <sz val="12"/>
        <rFont val="Times New Roman"/>
        <family val="1"/>
        <charset val="204"/>
      </rPr>
      <t>3)</t>
    </r>
    <r>
      <rPr>
        <sz val="12"/>
        <rFont val="Times New Roman"/>
        <family val="1"/>
        <charset val="204"/>
      </rPr>
      <t>, шт.</t>
    </r>
  </si>
  <si>
    <t>2,75 млн.руб./МВА</t>
  </si>
  <si>
    <t>ТРДН 16 000/110 У1</t>
  </si>
  <si>
    <t>Т-1, Т-2</t>
  </si>
  <si>
    <t>В-110 Т-1, В-110 Т-2</t>
  </si>
  <si>
    <t>ДГР-1, ДГР-2</t>
  </si>
  <si>
    <t>ТСН-1, ТСН-2</t>
  </si>
  <si>
    <t>трансформатор собственных нужд</t>
  </si>
  <si>
    <t>∆Pnтп_тр = 32 МВА; SТПпотр = 29 МВт; Kзагр=0,98
Nсд_тпр = 1 договор;
Фтз = 294,49 млн.руб.</t>
  </si>
  <si>
    <t xml:space="preserve">Акционерное общество "Западная энергетическая компания" </t>
  </si>
  <si>
    <t xml:space="preserve"> по состоянию на 01.01.2019</t>
  </si>
  <si>
    <t>вторая</t>
  </si>
  <si>
    <t xml:space="preserve"> требуется</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</si>
  <si>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</si>
  <si>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</si>
  <si>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32 МВА</t>
  </si>
  <si>
    <t>ССР</t>
  </si>
  <si>
    <t xml:space="preserve"> по состоянию на 01.01.года (N-1)</t>
  </si>
  <si>
    <t>по состоянию на 01.01.года X</t>
  </si>
  <si>
    <t>План (факт) года (N-1)</t>
  </si>
  <si>
    <t>Год N</t>
  </si>
  <si>
    <t>Год (N+1)</t>
  </si>
  <si>
    <t>Год (N+2)</t>
  </si>
  <si>
    <t>МО " город Калининград"</t>
  </si>
  <si>
    <t>имеются</t>
  </si>
  <si>
    <t>в составе проекта</t>
  </si>
  <si>
    <t>ПС 110 кВ  Ялтинская</t>
  </si>
  <si>
    <t>КРУ 10 кВ</t>
  </si>
  <si>
    <t>18 шкафа КРУ 10 кВ</t>
  </si>
  <si>
    <t>ПС 110 кВ Ялтинская</t>
  </si>
  <si>
    <t>I с 10 кВ, II с 10 кВ 18 яч.</t>
  </si>
  <si>
    <t>2022</t>
  </si>
  <si>
    <t>Конечным результатом реализации инвестиционного проекта является подключение  распределительных пунктов (РП) для присоединения  с максимальной мощностью 8,8 МВт</t>
  </si>
  <si>
    <t>П</t>
  </si>
  <si>
    <t>Калининград Ялтинская, 66</t>
  </si>
  <si>
    <t xml:space="preserve">  электроустановки ООО"Балтийский торговый дом "Ресурсы Севера"</t>
  </si>
  <si>
    <t xml:space="preserve">1. проектирование и строительство ПС 110/15 кВ открытого типа под названием ПС 110 кВ Ялтинская  с двумя трансформаторами по 16 МВА каждый, схему распределительного устройства 110 кВ  №110-4Н" Два блока с выключателями и неавтоматичекой перемычкой со стороны линии";
2.  РУ-10 кВ (две секции с АВР на секционном выключателе с 2 вводными , одной секционной, линейными ячейками с вакуумными выключателями, с ячейками  под ТН 10 кВ, ДГК по одной на каждую секцию и ТСН 10 кВ.Сооружение 2-х цепной ВЛ 110 кВ новой (ориентировочно 2х50 м) от 2-х цепной КВЛ 110 кВ Береговая-О-30 Московская/ Северная 330 -Береговая  с отпайкой от опоры №46 до РУ 110 кВ Пс 110 кВ Ялтинская с использованием провода марки АС. Выполнить строительство двух КЛ -10 кВ от 1 и2 секций ЗРУ 10 кВ ПС 110 "Ялтинская" до РП 10 кв Заявителя , применить кабель с изоляцией из сшитого полиэтилена, сечением 3х240/35 , длина каждой линии 0,5 км . Выполнить строительство РП 10 кВ для электроснабжения объекта Заявителя
3. </t>
  </si>
  <si>
    <t>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t>
  </si>
  <si>
    <t>г Калининград , Ялтинская</t>
  </si>
  <si>
    <t>строительство ПС 110/10 кВ "Ялтинская" (ОРУ 110 кВ, КРУ 10 кВ, два трансформатора 110/10 кВ мощностью16 МВА),</t>
  </si>
  <si>
    <t>J 19-02</t>
  </si>
  <si>
    <t>0т 19.10.2020 №05-07/18ТП</t>
  </si>
  <si>
    <t>действующий</t>
  </si>
  <si>
    <t>Размер платы за технологическое присоединение (в соответствии с договором об осуществлении технологического присоединения), млн рублей,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</si>
  <si>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</si>
  <si>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</si>
  <si>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</si>
  <si>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</si>
  <si>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</si>
  <si>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</si>
  <si>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</si>
  <si>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</si>
  <si>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</si>
  <si>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</si>
  <si>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</si>
  <si>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</si>
  <si>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</si>
  <si>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</si>
  <si>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</si>
  <si>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</si>
  <si>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</si>
  <si>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</si>
  <si>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</si>
  <si>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</si>
  <si>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</si>
  <si>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</si>
  <si>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</si>
  <si>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</si>
  <si>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</si>
  <si>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</si>
  <si>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</si>
  <si>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</si>
  <si>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</si>
  <si>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</si>
  <si>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</si>
  <si>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</si>
  <si>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инфляция для тарифов</t>
  </si>
  <si>
    <t>прогноз инфляции</t>
  </si>
  <si>
    <t>кумулятивная инфляция</t>
  </si>
  <si>
    <t>факт</t>
  </si>
  <si>
    <t xml:space="preserve"> факт 2019</t>
  </si>
  <si>
    <t>30.10.2018 И64-02тпэ/18</t>
  </si>
  <si>
    <t>05-07/18Тот 19.10.2020</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</si>
  <si>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</si>
  <si>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</si>
  <si>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</si>
  <si>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</si>
  <si>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</si>
  <si>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</si>
  <si>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</si>
  <si>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</si>
  <si>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</si>
  <si>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</si>
  <si>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</si>
  <si>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</si>
  <si>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</si>
  <si>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</si>
  <si>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Сметная стоимость проекта в ценах  2021 года с НДС, млн. руб.</t>
  </si>
  <si>
    <t>ООО "БалтСтройСервис"договор №06-2020/ЗЭК от 25.02.2020 разработка ПСД объем заключенного договора в ценах 2020 года с НДС, млн. руб.</t>
  </si>
  <si>
    <t xml:space="preserve">• Наличие договоров на технологическое присоединение к планируемому к строительству (расширению) объекту;
</t>
  </si>
  <si>
    <t xml:space="preserve"> утв.план</t>
  </si>
  <si>
    <t>План утв.</t>
  </si>
  <si>
    <t xml:space="preserve"> утв.План</t>
  </si>
  <si>
    <t xml:space="preserve"> План утв.</t>
  </si>
  <si>
    <t>Год раскрытия информации: 2022 год</t>
  </si>
  <si>
    <t xml:space="preserve"> по состоянию на 01.01.2022</t>
  </si>
  <si>
    <t>ФАКТ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</si>
</sst>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0_ ;\-#,##0.0000\ "/>
    <numFmt numFmtId="175" formatCode="_-* #,##0\ _₽_-;\-* #,##0\ _₽_-;_-* &quot;-&quot;??\ _₽_-;_-@_-"/>
    <numFmt numFmtId="176" formatCode="_-* #,##0.0000\ _₽_-;\-* #,##0.0000\ _₽_-;_-* &quot;-&quot;??\ _₽_-;_-@_-"/>
    <numFmt numFmtId="179" formatCode="0.00000"/>
  </numFmts>
  <fonts count="9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u/>
      <sz val="11"/>
      <color theme="10"/>
      <name val="Calibri"/>
      <family val="2"/>
      <charset val="204"/>
      <scheme val="minor"/>
    </font>
    <font>
      <sz val="10"/>
      <color rgb="FFD9D9D9"/>
      <name val="Arial Cyr"/>
      <charset val="204"/>
    </font>
    <font>
      <sz val="11"/>
      <color rgb="FF000000"/>
      <name val="Calibri"/>
      <family val="2"/>
      <charset val="204"/>
    </font>
    <font>
      <sz val="12"/>
      <color rgb="FFD9D9D9"/>
      <name val="Times New Roman"/>
      <family val="1"/>
      <charset val="204"/>
    </font>
    <font>
      <sz val="12"/>
      <color rgb="FFBFBFBF"/>
      <name val="Times New Roman"/>
      <family val="1"/>
      <charset val="204"/>
    </font>
    <font>
      <b/>
      <sz val="11"/>
      <color rgb="FFD9D9D9"/>
      <name val="Times New Roman"/>
      <family val="1"/>
      <charset val="204"/>
    </font>
    <font>
      <sz val="10"/>
      <color rgb="FFBFBFBF"/>
      <name val="Arial Cyr"/>
      <charset val="204"/>
    </font>
    <font>
      <sz val="8"/>
      <name val="Arial Cyr"/>
      <charset val="204"/>
    </font>
    <font>
      <sz val="10"/>
      <color rgb="FFFF0000"/>
      <name val="Arial Cyr"/>
      <charset val="204"/>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b/>
      <sz val="12"/>
      <color rgb="FFFF0000"/>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FF"/>
        <bgColor rgb="FF000000"/>
      </patternFill>
    </fill>
    <fill>
      <patternFill patternType="solid">
        <fgColor rgb="FFFFFF0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auto="1"/>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medium">
        <color auto="1"/>
      </left>
      <right style="medium">
        <color auto="1"/>
      </right>
      <top style="thin">
        <color auto="1"/>
      </top>
      <bottom/>
      <diagonal/>
    </border>
    <border>
      <left/>
      <right style="medium">
        <color auto="1"/>
      </right>
      <top style="medium">
        <color auto="1"/>
      </top>
      <bottom style="thin">
        <color auto="1"/>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cellStyleXfs>
  <cellXfs count="545">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3" xfId="2" applyFont="1" applyFill="1" applyBorder="1" applyAlignment="1">
      <alignment horizontal="justify"/>
    </xf>
    <xf numFmtId="0" fontId="36" fillId="0" borderId="23" xfId="2" applyFont="1" applyFill="1" applyBorder="1" applyAlignment="1">
      <alignment horizontal="justify"/>
    </xf>
    <xf numFmtId="0" fontId="36" fillId="0" borderId="24" xfId="2" applyFont="1" applyFill="1" applyBorder="1" applyAlignment="1">
      <alignment horizontal="justify"/>
    </xf>
    <xf numFmtId="0" fontId="37" fillId="0" borderId="23" xfId="2" applyFont="1" applyFill="1" applyBorder="1" applyAlignment="1">
      <alignment vertical="top" wrapText="1"/>
    </xf>
    <xf numFmtId="0" fontId="37" fillId="0" borderId="25" xfId="2" applyFont="1" applyFill="1" applyBorder="1" applyAlignment="1">
      <alignment vertical="top" wrapText="1"/>
    </xf>
    <xf numFmtId="0" fontId="37" fillId="0" borderId="24" xfId="2" applyFont="1" applyFill="1" applyBorder="1" applyAlignment="1">
      <alignment vertical="top" wrapText="1"/>
    </xf>
    <xf numFmtId="0" fontId="36" fillId="0" borderId="23" xfId="2" applyFont="1" applyFill="1" applyBorder="1" applyAlignment="1">
      <alignment horizontal="justify" vertical="top" wrapText="1"/>
    </xf>
    <xf numFmtId="0" fontId="36" fillId="0" borderId="24" xfId="2" applyFont="1" applyFill="1" applyBorder="1" applyAlignment="1">
      <alignment vertical="top" wrapText="1"/>
    </xf>
    <xf numFmtId="0" fontId="36" fillId="0" borderId="23" xfId="2" applyFont="1" applyFill="1" applyBorder="1" applyAlignment="1">
      <alignment vertical="top" wrapText="1"/>
    </xf>
    <xf numFmtId="0" fontId="36" fillId="0" borderId="27" xfId="2" applyFont="1" applyFill="1" applyBorder="1" applyAlignment="1">
      <alignment vertical="top" wrapText="1"/>
    </xf>
    <xf numFmtId="0" fontId="36" fillId="0" borderId="25"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3" xfId="2" applyFont="1" applyFill="1" applyBorder="1" applyAlignment="1">
      <alignment horizontal="justify" vertical="top" wrapText="1"/>
    </xf>
    <xf numFmtId="0" fontId="36" fillId="0" borderId="28" xfId="2" quotePrefix="1" applyFont="1" applyFill="1" applyBorder="1" applyAlignment="1">
      <alignment horizontal="justify" vertical="top" wrapText="1"/>
    </xf>
    <xf numFmtId="0" fontId="36" fillId="0" borderId="29" xfId="2" applyFont="1" applyFill="1" applyBorder="1" applyAlignment="1">
      <alignment horizontal="justify" vertical="top" wrapText="1"/>
    </xf>
    <xf numFmtId="0" fontId="36" fillId="0" borderId="28" xfId="2" applyFont="1" applyFill="1" applyBorder="1" applyAlignment="1">
      <alignment vertical="top" wrapText="1"/>
    </xf>
    <xf numFmtId="0" fontId="37" fillId="0" borderId="24" xfId="2" applyFont="1" applyFill="1" applyBorder="1" applyAlignment="1">
      <alignment horizontal="left" vertical="center" wrapText="1"/>
    </xf>
    <xf numFmtId="0" fontId="36" fillId="0" borderId="28" xfId="2" applyFont="1" applyFill="1" applyBorder="1" applyAlignment="1">
      <alignment horizontal="justify" vertical="top" wrapText="1"/>
    </xf>
    <xf numFmtId="0" fontId="37" fillId="0" borderId="24" xfId="2" applyFont="1" applyFill="1" applyBorder="1" applyAlignment="1">
      <alignment horizontal="center" vertical="center" wrapText="1"/>
    </xf>
    <xf numFmtId="0" fontId="36" fillId="0" borderId="25"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3" xfId="2" applyNumberFormat="1" applyFont="1" applyFill="1" applyBorder="1" applyAlignment="1">
      <alignment horizontal="justify" vertical="top" wrapText="1"/>
    </xf>
    <xf numFmtId="0" fontId="36" fillId="24" borderId="23" xfId="2" applyFont="1" applyFill="1" applyBorder="1" applyAlignment="1">
      <alignment horizontal="justify" vertical="top" wrapText="1"/>
    </xf>
    <xf numFmtId="172" fontId="36" fillId="24" borderId="23" xfId="2" applyNumberFormat="1" applyFont="1" applyFill="1" applyBorder="1" applyAlignment="1">
      <alignment horizontal="justify" vertical="top" wrapText="1"/>
    </xf>
    <xf numFmtId="10" fontId="36" fillId="0" borderId="23" xfId="2" applyNumberFormat="1" applyFont="1" applyFill="1" applyBorder="1" applyAlignment="1">
      <alignment horizontal="justify" vertical="top" wrapText="1"/>
    </xf>
    <xf numFmtId="10" fontId="36" fillId="0" borderId="29"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6" fillId="0" borderId="26" xfId="2" applyFont="1" applyFill="1" applyBorder="1" applyAlignment="1">
      <alignment horizontal="left" vertical="center" wrapText="1"/>
    </xf>
    <xf numFmtId="4" fontId="36" fillId="0" borderId="23" xfId="2" applyNumberFormat="1" applyFont="1" applyFill="1" applyBorder="1" applyAlignment="1">
      <alignment horizontal="justify" vertical="top" wrapText="1"/>
    </xf>
    <xf numFmtId="0" fontId="36" fillId="0" borderId="23" xfId="2" applyFont="1" applyFill="1" applyBorder="1" applyAlignment="1">
      <alignment horizontal="justify"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4"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3" xfId="2" applyFont="1" applyFill="1" applyBorder="1" applyAlignment="1">
      <alignment horizontal="justify" vertical="top" wrapText="1"/>
    </xf>
    <xf numFmtId="4" fontId="36" fillId="25" borderId="23"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28" xfId="2" applyNumberFormat="1" applyFont="1" applyFill="1" applyBorder="1" applyAlignment="1">
      <alignment horizontal="justify" vertical="top" wrapText="1"/>
    </xf>
    <xf numFmtId="4" fontId="38" fillId="0" borderId="30" xfId="62" applyNumberFormat="1" applyFont="1" applyFill="1" applyBorder="1" applyAlignment="1">
      <alignment horizontal="left" vertical="center" wrapText="1"/>
    </xf>
    <xf numFmtId="0" fontId="36" fillId="0" borderId="23" xfId="2" applyFont="1" applyFill="1" applyBorder="1" applyAlignment="1">
      <alignment horizontal="left" vertical="top" wrapText="1"/>
    </xf>
    <xf numFmtId="0" fontId="36" fillId="0" borderId="28"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38"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8" fillId="0" borderId="1" xfId="1" applyFont="1" applyFill="1" applyBorder="1" applyAlignment="1">
      <alignment horizontal="center" vertical="center" wrapText="1"/>
    </xf>
    <xf numFmtId="9" fontId="2" fillId="0" borderId="1" xfId="68" applyFont="1" applyBorder="1" applyAlignment="1">
      <alignment horizontal="left" vertical="center"/>
    </xf>
    <xf numFmtId="174" fontId="10" fillId="0" borderId="0" xfId="2" applyNumberFormat="1" applyFont="1" applyFill="1"/>
    <xf numFmtId="0" fontId="10" fillId="0" borderId="1" xfId="2" applyNumberFormat="1" applyFont="1" applyFill="1" applyBorder="1" applyAlignment="1">
      <alignment horizontal="center" vertical="top" wrapText="1" shrinkToFit="1"/>
    </xf>
    <xf numFmtId="14" fontId="10" fillId="0" borderId="1" xfId="2" applyNumberFormat="1" applyFont="1" applyFill="1" applyBorder="1" applyAlignment="1">
      <alignment horizontal="center" vertical="center" wrapText="1" shrinkToFit="1"/>
    </xf>
    <xf numFmtId="14" fontId="10" fillId="0" borderId="1" xfId="2" applyNumberFormat="1" applyFont="1" applyFill="1" applyBorder="1" applyAlignment="1">
      <alignment horizontal="center" vertical="center" shrinkToFit="1"/>
    </xf>
    <xf numFmtId="14" fontId="10" fillId="0" borderId="2" xfId="62" applyNumberFormat="1" applyFont="1" applyFill="1" applyBorder="1" applyAlignment="1" applyProtection="1">
      <alignment horizontal="center" vertical="center"/>
      <protection locked="0"/>
    </xf>
    <xf numFmtId="14" fontId="10" fillId="0" borderId="2" xfId="62" applyNumberFormat="1" applyFont="1" applyFill="1" applyBorder="1" applyAlignment="1" applyProtection="1">
      <alignment horizontal="center" vertical="center" wrapText="1"/>
      <protection locked="0"/>
    </xf>
    <xf numFmtId="0" fontId="10" fillId="0" borderId="1" xfId="1" applyFont="1" applyFill="1" applyBorder="1" applyAlignment="1">
      <alignment horizontal="center" vertical="center" wrapText="1"/>
    </xf>
    <xf numFmtId="0" fontId="73" fillId="0" borderId="23" xfId="128" applyFill="1" applyBorder="1" applyAlignment="1">
      <alignment horizontal="justify"/>
    </xf>
    <xf numFmtId="2" fontId="11" fillId="0" borderId="1" xfId="1" applyNumberFormat="1" applyFont="1" applyFill="1" applyBorder="1" applyAlignment="1">
      <alignment horizontal="center" vertical="center"/>
    </xf>
    <xf numFmtId="0" fontId="42" fillId="0" borderId="0" xfId="67" applyFont="1" applyAlignment="1">
      <alignment vertical="center"/>
    </xf>
    <xf numFmtId="0" fontId="74" fillId="0" borderId="0" xfId="62" applyFont="1"/>
    <xf numFmtId="0" fontId="69" fillId="0" borderId="0" xfId="62" applyFont="1"/>
    <xf numFmtId="0" fontId="42" fillId="0" borderId="0" xfId="67" applyFont="1" applyAlignment="1">
      <alignment vertical="center" wrapText="1"/>
    </xf>
    <xf numFmtId="3" fontId="72" fillId="0" borderId="40" xfId="67" applyNumberFormat="1" applyFont="1" applyBorder="1" applyAlignment="1">
      <alignment vertical="center"/>
    </xf>
    <xf numFmtId="0" fontId="77" fillId="0" borderId="0" xfId="67" applyFont="1" applyAlignment="1">
      <alignment vertical="center"/>
    </xf>
    <xf numFmtId="10" fontId="71" fillId="0" borderId="37" xfId="67" applyNumberFormat="1" applyFont="1" applyBorder="1" applyAlignment="1">
      <alignment vertical="center"/>
    </xf>
    <xf numFmtId="10" fontId="71" fillId="0" borderId="37" xfId="0" applyNumberFormat="1" applyFont="1" applyBorder="1" applyAlignment="1">
      <alignment vertical="center"/>
    </xf>
    <xf numFmtId="3" fontId="72" fillId="0" borderId="50" xfId="67" applyNumberFormat="1" applyFont="1" applyBorder="1" applyAlignment="1">
      <alignment vertical="center"/>
    </xf>
    <xf numFmtId="0" fontId="79" fillId="0" borderId="0" xfId="62" applyFont="1"/>
    <xf numFmtId="0" fontId="76" fillId="0" borderId="0" xfId="67" applyFont="1" applyAlignment="1">
      <alignment vertical="center" wrapText="1"/>
    </xf>
    <xf numFmtId="172" fontId="78" fillId="0" borderId="37" xfId="67" applyNumberFormat="1" applyFont="1" applyBorder="1" applyAlignment="1">
      <alignment vertical="center"/>
    </xf>
    <xf numFmtId="0" fontId="77" fillId="0" borderId="0" xfId="67" applyFont="1" applyAlignment="1">
      <alignment vertical="center" wrapText="1"/>
    </xf>
    <xf numFmtId="0" fontId="80" fillId="27" borderId="37" xfId="62" applyFont="1" applyFill="1" applyBorder="1" applyAlignment="1">
      <alignment horizontal="center" vertical="center" wrapText="1"/>
    </xf>
    <xf numFmtId="0" fontId="40" fillId="0" borderId="0" xfId="62"/>
    <xf numFmtId="172" fontId="69" fillId="27" borderId="37" xfId="62" applyNumberFormat="1" applyFont="1" applyFill="1" applyBorder="1" applyAlignment="1">
      <alignment horizontal="center" vertical="center" wrapText="1"/>
    </xf>
    <xf numFmtId="9" fontId="69" fillId="27" borderId="37" xfId="62" applyNumberFormat="1" applyFont="1" applyFill="1" applyBorder="1" applyAlignment="1">
      <alignment horizontal="center" vertical="center" wrapText="1"/>
    </xf>
    <xf numFmtId="4" fontId="69" fillId="27" borderId="37" xfId="62" applyNumberFormat="1" applyFont="1" applyFill="1" applyBorder="1" applyAlignment="1">
      <alignment horizontal="center" vertical="center" wrapText="1"/>
    </xf>
    <xf numFmtId="0" fontId="40" fillId="0" borderId="0" xfId="62" applyAlignment="1">
      <alignment wrapText="1"/>
    </xf>
    <xf numFmtId="0" fontId="40" fillId="0" borderId="37" xfId="62" applyBorder="1" applyAlignment="1">
      <alignment horizontal="center" vertical="center" wrapText="1"/>
    </xf>
    <xf numFmtId="0" fontId="40" fillId="28" borderId="37" xfId="62" applyFill="1" applyBorder="1" applyAlignment="1">
      <alignment horizontal="center" vertical="center"/>
    </xf>
    <xf numFmtId="0" fontId="40" fillId="0" borderId="37" xfId="62" applyBorder="1" applyAlignment="1">
      <alignment horizontal="center" vertical="center"/>
    </xf>
    <xf numFmtId="0" fontId="40" fillId="0" borderId="37" xfId="62" applyBorder="1" applyAlignment="1">
      <alignment horizontal="left" vertical="center" wrapText="1"/>
    </xf>
    <xf numFmtId="4" fontId="40" fillId="0" borderId="37" xfId="62" applyNumberFormat="1" applyBorder="1" applyAlignment="1">
      <alignment horizontal="center" vertical="center"/>
    </xf>
    <xf numFmtId="0" fontId="40" fillId="28" borderId="37" xfId="62" applyFill="1" applyBorder="1" applyAlignment="1">
      <alignment horizontal="center" vertical="center" wrapText="1"/>
    </xf>
    <xf numFmtId="9" fontId="75" fillId="0" borderId="37" xfId="71" applyFont="1" applyFill="1" applyBorder="1" applyAlignment="1">
      <alignment horizontal="left" vertical="center" wrapText="1"/>
    </xf>
    <xf numFmtId="9" fontId="75" fillId="0" borderId="37" xfId="71" applyFont="1" applyFill="1" applyBorder="1" applyAlignment="1">
      <alignment horizontal="center" vertical="center"/>
    </xf>
    <xf numFmtId="9" fontId="40" fillId="28" borderId="37" xfId="71" applyFont="1" applyFill="1" applyBorder="1" applyAlignment="1">
      <alignment horizontal="center" vertical="center"/>
    </xf>
    <xf numFmtId="0" fontId="40" fillId="29" borderId="37" xfId="62" applyFill="1" applyBorder="1" applyAlignment="1">
      <alignment horizontal="center" vertical="center" wrapText="1"/>
    </xf>
    <xf numFmtId="2" fontId="40" fillId="0" borderId="37" xfId="62" applyNumberFormat="1" applyBorder="1" applyAlignment="1">
      <alignment horizontal="center" vertical="center" wrapText="1"/>
    </xf>
    <xf numFmtId="0" fontId="40" fillId="0" borderId="37" xfId="62" applyBorder="1" applyAlignment="1">
      <alignment wrapText="1"/>
    </xf>
    <xf numFmtId="0" fontId="40" fillId="0" borderId="37" xfId="62" applyBorder="1"/>
    <xf numFmtId="0" fontId="40" fillId="0" borderId="37" xfId="62" applyBorder="1" applyAlignment="1">
      <alignment horizontal="left" wrapText="1"/>
    </xf>
    <xf numFmtId="0" fontId="69" fillId="0" borderId="0" xfId="62" applyFont="1" applyAlignment="1">
      <alignment wrapText="1"/>
    </xf>
    <xf numFmtId="0" fontId="69" fillId="0" borderId="37" xfId="62" applyFont="1" applyBorder="1" applyAlignment="1">
      <alignment wrapText="1"/>
    </xf>
    <xf numFmtId="4" fontId="72" fillId="0" borderId="40" xfId="67" applyNumberFormat="1" applyFont="1" applyBorder="1" applyAlignment="1">
      <alignment vertical="center"/>
    </xf>
    <xf numFmtId="0" fontId="71" fillId="30" borderId="0" xfId="67" applyFont="1" applyFill="1" applyAlignment="1">
      <alignment vertical="center"/>
    </xf>
    <xf numFmtId="0" fontId="42" fillId="30" borderId="0" xfId="67" applyFont="1" applyFill="1" applyAlignment="1">
      <alignment vertical="center"/>
    </xf>
    <xf numFmtId="3" fontId="69" fillId="29" borderId="37" xfId="62" applyNumberFormat="1" applyFont="1" applyFill="1" applyBorder="1" applyAlignment="1">
      <alignment horizontal="center"/>
    </xf>
    <xf numFmtId="0" fontId="69" fillId="0" borderId="0" xfId="62" applyFont="1" applyAlignment="1">
      <alignment horizontal="center"/>
    </xf>
    <xf numFmtId="0" fontId="69" fillId="0" borderId="35" xfId="62" applyFont="1" applyBorder="1" applyAlignment="1">
      <alignment wrapText="1"/>
    </xf>
    <xf numFmtId="3" fontId="69" fillId="0" borderId="35" xfId="62" applyNumberFormat="1" applyFont="1" applyBorder="1"/>
    <xf numFmtId="4" fontId="69" fillId="0" borderId="37" xfId="62" applyNumberFormat="1" applyFont="1" applyBorder="1" applyAlignment="1">
      <alignment horizontal="center"/>
    </xf>
    <xf numFmtId="172" fontId="69" fillId="28" borderId="37" xfId="62" applyNumberFormat="1" applyFont="1" applyFill="1" applyBorder="1" applyAlignment="1">
      <alignment horizontal="center"/>
    </xf>
    <xf numFmtId="4" fontId="69" fillId="0" borderId="0" xfId="62" applyNumberFormat="1" applyFont="1" applyAlignment="1">
      <alignment horizontal="center"/>
    </xf>
    <xf numFmtId="10" fontId="69" fillId="28" borderId="37" xfId="62" applyNumberFormat="1" applyFont="1" applyFill="1" applyBorder="1" applyAlignment="1">
      <alignment horizontal="center"/>
    </xf>
    <xf numFmtId="0" fontId="42" fillId="0" borderId="35" xfId="67" applyFont="1" applyBorder="1" applyAlignment="1">
      <alignment vertical="center" wrapText="1"/>
    </xf>
    <xf numFmtId="3" fontId="72" fillId="0" borderId="35" xfId="67" applyNumberFormat="1" applyFont="1" applyBorder="1" applyAlignment="1">
      <alignment horizontal="center" vertical="center"/>
    </xf>
    <xf numFmtId="0" fontId="69" fillId="31" borderId="37" xfId="62" applyFont="1" applyFill="1" applyBorder="1" applyAlignment="1">
      <alignment horizontal="left" vertical="center" wrapText="1"/>
    </xf>
    <xf numFmtId="0" fontId="69" fillId="31" borderId="37" xfId="62" applyFont="1" applyFill="1" applyBorder="1" applyAlignment="1">
      <alignment horizontal="center" wrapText="1"/>
    </xf>
    <xf numFmtId="0" fontId="81" fillId="0" borderId="0" xfId="62" applyFont="1"/>
    <xf numFmtId="0" fontId="69" fillId="0" borderId="37" xfId="62" applyFont="1" applyBorder="1"/>
    <xf numFmtId="0" fontId="69" fillId="31" borderId="37" xfId="62" applyFont="1" applyFill="1" applyBorder="1"/>
    <xf numFmtId="10" fontId="69" fillId="31" borderId="37" xfId="62" applyNumberFormat="1" applyFont="1" applyFill="1" applyBorder="1"/>
    <xf numFmtId="0" fontId="69" fillId="31" borderId="35" xfId="62" applyFont="1" applyFill="1" applyBorder="1"/>
    <xf numFmtId="10" fontId="72" fillId="31" borderId="37" xfId="67" applyNumberFormat="1" applyFont="1" applyFill="1" applyBorder="1" applyAlignment="1">
      <alignment vertical="center"/>
    </xf>
    <xf numFmtId="0" fontId="69" fillId="0" borderId="35" xfId="62" applyFont="1" applyBorder="1"/>
    <xf numFmtId="10" fontId="69" fillId="0" borderId="35" xfId="62" applyNumberFormat="1" applyFont="1" applyBorder="1"/>
    <xf numFmtId="3" fontId="42" fillId="31" borderId="37" xfId="67" applyNumberFormat="1" applyFont="1" applyFill="1" applyBorder="1" applyAlignment="1">
      <alignment horizontal="right" vertical="center"/>
    </xf>
    <xf numFmtId="168" fontId="72" fillId="31" borderId="37" xfId="67" applyNumberFormat="1" applyFont="1" applyFill="1" applyBorder="1" applyAlignment="1">
      <alignment horizontal="right" vertical="center"/>
    </xf>
    <xf numFmtId="0" fontId="28" fillId="0" borderId="0" xfId="0" applyFont="1"/>
    <xf numFmtId="0" fontId="82" fillId="0" borderId="0" xfId="0" applyFont="1"/>
    <xf numFmtId="0" fontId="41" fillId="0" borderId="0" xfId="0" applyFont="1" applyAlignment="1">
      <alignment horizontal="right" vertical="center"/>
    </xf>
    <xf numFmtId="0" fontId="69" fillId="0" borderId="0" xfId="0" applyFont="1"/>
    <xf numFmtId="0" fontId="83" fillId="0" borderId="0" xfId="0" applyFont="1"/>
    <xf numFmtId="0" fontId="84" fillId="0" borderId="0" xfId="0" applyFont="1"/>
    <xf numFmtId="0" fontId="41" fillId="0" borderId="0" xfId="0" applyFont="1" applyAlignment="1">
      <alignment horizontal="right"/>
    </xf>
    <xf numFmtId="0" fontId="85" fillId="0" borderId="0" xfId="0" applyFont="1" applyAlignment="1">
      <alignment horizontal="left" vertical="center"/>
    </xf>
    <xf numFmtId="0" fontId="86" fillId="0" borderId="0" xfId="0" applyFont="1" applyAlignment="1">
      <alignment horizontal="left" vertical="center"/>
    </xf>
    <xf numFmtId="0" fontId="87" fillId="0" borderId="0" xfId="0" applyFont="1" applyAlignment="1">
      <alignment vertical="center"/>
    </xf>
    <xf numFmtId="0" fontId="70" fillId="0" borderId="0" xfId="0" applyFont="1" applyAlignment="1">
      <alignment vertical="center"/>
    </xf>
    <xf numFmtId="0" fontId="87" fillId="0" borderId="0" xfId="0" applyFont="1" applyAlignment="1">
      <alignment horizontal="center" vertical="center"/>
    </xf>
    <xf numFmtId="0" fontId="89" fillId="0" borderId="0" xfId="0" applyFont="1" applyAlignment="1">
      <alignment vertical="center"/>
    </xf>
    <xf numFmtId="0" fontId="71" fillId="0" borderId="0" xfId="0" applyFont="1" applyAlignment="1">
      <alignment vertical="center"/>
    </xf>
    <xf numFmtId="0" fontId="41" fillId="0" borderId="0" xfId="0" applyFont="1" applyAlignment="1">
      <alignment horizontal="center" vertical="center"/>
    </xf>
    <xf numFmtId="0" fontId="71" fillId="0" borderId="0" xfId="0" applyFont="1" applyAlignment="1">
      <alignment horizontal="center" vertical="center"/>
    </xf>
    <xf numFmtId="0" fontId="89" fillId="0" borderId="0" xfId="0" applyFont="1" applyAlignment="1">
      <alignment vertical="center" wrapText="1"/>
    </xf>
    <xf numFmtId="0" fontId="71" fillId="0" borderId="0" xfId="0" applyFont="1"/>
    <xf numFmtId="0" fontId="89"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1" xfId="0" applyFont="1" applyBorder="1" applyAlignment="1">
      <alignment vertical="center"/>
    </xf>
    <xf numFmtId="0" fontId="71" fillId="0" borderId="51" xfId="0" applyFont="1" applyBorder="1" applyAlignment="1">
      <alignment vertical="center"/>
    </xf>
    <xf numFmtId="3" fontId="71" fillId="0" borderId="32" xfId="0" applyNumberFormat="1" applyFont="1" applyBorder="1" applyAlignment="1">
      <alignment vertical="center"/>
    </xf>
    <xf numFmtId="0" fontId="71" fillId="0" borderId="33" xfId="0" applyFont="1" applyBorder="1" applyAlignment="1">
      <alignment vertical="center"/>
    </xf>
    <xf numFmtId="3" fontId="71" fillId="0" borderId="52" xfId="0" applyNumberFormat="1" applyFont="1" applyBorder="1" applyAlignment="1">
      <alignment vertical="center"/>
    </xf>
    <xf numFmtId="4" fontId="41" fillId="0" borderId="37" xfId="0" applyNumberFormat="1" applyFont="1" applyBorder="1" applyAlignment="1">
      <alignment horizontal="center" vertical="center"/>
    </xf>
    <xf numFmtId="4" fontId="90" fillId="0" borderId="38" xfId="0" applyNumberFormat="1" applyFont="1" applyBorder="1" applyAlignment="1">
      <alignment horizontal="center" vertical="center"/>
    </xf>
    <xf numFmtId="3" fontId="41" fillId="0" borderId="37" xfId="0" applyNumberFormat="1" applyFont="1" applyBorder="1" applyAlignment="1">
      <alignment horizontal="center" vertical="center"/>
    </xf>
    <xf numFmtId="3" fontId="90" fillId="0" borderId="38" xfId="0" applyNumberFormat="1" applyFont="1" applyBorder="1" applyAlignment="1">
      <alignment horizontal="center" vertical="center"/>
    </xf>
    <xf numFmtId="0" fontId="71" fillId="0" borderId="37" xfId="0" applyFont="1" applyBorder="1" applyAlignment="1">
      <alignment horizontal="center" vertical="center"/>
    </xf>
    <xf numFmtId="0" fontId="90" fillId="0" borderId="38" xfId="0" applyFont="1" applyBorder="1" applyAlignment="1">
      <alignment horizontal="center" vertical="center"/>
    </xf>
    <xf numFmtId="0" fontId="71" fillId="0" borderId="39" xfId="0" applyFont="1" applyBorder="1" applyAlignment="1">
      <alignment vertical="center"/>
    </xf>
    <xf numFmtId="10" fontId="71" fillId="0" borderId="52" xfId="0" applyNumberFormat="1" applyFont="1" applyBorder="1" applyAlignment="1">
      <alignment vertical="center"/>
    </xf>
    <xf numFmtId="3" fontId="71" fillId="0" borderId="40" xfId="0" applyNumberFormat="1" applyFont="1" applyBorder="1" applyAlignment="1">
      <alignment vertical="center"/>
    </xf>
    <xf numFmtId="9" fontId="71" fillId="0" borderId="41" xfId="0" applyNumberFormat="1" applyFont="1" applyBorder="1" applyAlignment="1">
      <alignment vertical="center"/>
    </xf>
    <xf numFmtId="0" fontId="71" fillId="0" borderId="42" xfId="0" applyFont="1" applyBorder="1" applyAlignment="1">
      <alignment vertical="center"/>
    </xf>
    <xf numFmtId="3" fontId="71" fillId="0" borderId="31" xfId="0" applyNumberFormat="1" applyFont="1" applyBorder="1" applyAlignment="1">
      <alignment vertical="center"/>
    </xf>
    <xf numFmtId="0" fontId="71" fillId="0" borderId="43" xfId="0" applyFont="1" applyBorder="1" applyAlignment="1">
      <alignment vertical="center"/>
    </xf>
    <xf numFmtId="10" fontId="71" fillId="0" borderId="44" xfId="0" applyNumberFormat="1" applyFont="1" applyBorder="1" applyAlignment="1">
      <alignment vertical="center"/>
    </xf>
    <xf numFmtId="10" fontId="71" fillId="0" borderId="51" xfId="0" applyNumberFormat="1" applyFont="1" applyBorder="1" applyAlignment="1">
      <alignment vertical="center"/>
    </xf>
    <xf numFmtId="10" fontId="71" fillId="0" borderId="51" xfId="67" applyNumberFormat="1" applyFont="1" applyBorder="1" applyAlignment="1">
      <alignment vertical="center"/>
    </xf>
    <xf numFmtId="10" fontId="41" fillId="0" borderId="51" xfId="0" applyNumberFormat="1" applyFont="1" applyBorder="1" applyAlignment="1">
      <alignment vertical="center"/>
    </xf>
    <xf numFmtId="0" fontId="71" fillId="0" borderId="45" xfId="0" applyFont="1" applyBorder="1" applyAlignment="1">
      <alignment vertical="center"/>
    </xf>
    <xf numFmtId="0" fontId="91" fillId="0" borderId="0" xfId="0" applyFont="1" applyAlignment="1">
      <alignment vertical="center"/>
    </xf>
    <xf numFmtId="0" fontId="71" fillId="0" borderId="46" xfId="0" applyFont="1" applyBorder="1" applyAlignment="1">
      <alignment horizontal="left" vertical="center"/>
    </xf>
    <xf numFmtId="1" fontId="71" fillId="0" borderId="47" xfId="0" applyNumberFormat="1" applyFont="1" applyBorder="1" applyAlignment="1">
      <alignment horizontal="center" vertical="center"/>
    </xf>
    <xf numFmtId="1" fontId="71" fillId="0" borderId="53" xfId="0" applyNumberFormat="1" applyFont="1" applyBorder="1" applyAlignment="1">
      <alignment horizontal="center" vertical="center"/>
    </xf>
    <xf numFmtId="0" fontId="71" fillId="0" borderId="48" xfId="0" applyFont="1" applyBorder="1" applyAlignment="1">
      <alignment vertical="center"/>
    </xf>
    <xf numFmtId="0" fontId="71" fillId="0" borderId="49" xfId="0" applyFont="1" applyBorder="1" applyAlignment="1">
      <alignment vertical="center"/>
    </xf>
    <xf numFmtId="3" fontId="71" fillId="0" borderId="50" xfId="67" applyNumberFormat="1" applyFont="1" applyBorder="1" applyAlignment="1">
      <alignment vertical="center"/>
    </xf>
    <xf numFmtId="0" fontId="71" fillId="0" borderId="54" xfId="0" applyFont="1" applyBorder="1" applyAlignment="1">
      <alignment vertical="center"/>
    </xf>
    <xf numFmtId="0" fontId="71" fillId="0" borderId="55" xfId="0" applyFont="1" applyBorder="1" applyAlignment="1">
      <alignment vertical="center"/>
    </xf>
    <xf numFmtId="0" fontId="70" fillId="0" borderId="46" xfId="0" applyFont="1" applyBorder="1" applyAlignment="1">
      <alignment vertical="center"/>
    </xf>
    <xf numFmtId="3" fontId="71" fillId="0" borderId="37" xfId="0" applyNumberFormat="1" applyFont="1" applyBorder="1" applyAlignment="1">
      <alignment vertical="center"/>
    </xf>
    <xf numFmtId="3" fontId="71" fillId="0" borderId="56" xfId="0" applyNumberFormat="1" applyFont="1" applyBorder="1" applyAlignment="1">
      <alignment vertical="center"/>
    </xf>
    <xf numFmtId="3" fontId="71" fillId="0" borderId="50" xfId="0" applyNumberFormat="1" applyFont="1" applyBorder="1" applyAlignment="1">
      <alignment vertical="center"/>
    </xf>
    <xf numFmtId="3" fontId="71" fillId="0" borderId="57" xfId="0" applyNumberFormat="1" applyFont="1" applyBorder="1" applyAlignment="1">
      <alignment vertical="center"/>
    </xf>
    <xf numFmtId="3" fontId="91" fillId="0" borderId="0" xfId="0" applyNumberFormat="1" applyFont="1" applyAlignment="1">
      <alignment horizontal="center" vertical="center"/>
    </xf>
    <xf numFmtId="3" fontId="91" fillId="0" borderId="55" xfId="0" applyNumberFormat="1" applyFont="1" applyBorder="1" applyAlignment="1">
      <alignment horizontal="center" vertical="center"/>
    </xf>
    <xf numFmtId="175" fontId="41" fillId="0" borderId="37" xfId="0" applyNumberFormat="1" applyFont="1" applyBorder="1" applyAlignment="1">
      <alignment horizontal="center" vertical="center"/>
    </xf>
    <xf numFmtId="0" fontId="71" fillId="0" borderId="48" xfId="0" applyFont="1" applyBorder="1" applyAlignment="1">
      <alignment horizontal="left" vertical="center"/>
    </xf>
    <xf numFmtId="165" fontId="71" fillId="0" borderId="37" xfId="0" applyNumberFormat="1" applyFont="1" applyBorder="1" applyAlignment="1">
      <alignment vertical="center"/>
    </xf>
    <xf numFmtId="0" fontId="70" fillId="0" borderId="48" xfId="0" applyFont="1" applyBorder="1" applyAlignment="1">
      <alignment horizontal="left" vertical="center"/>
    </xf>
    <xf numFmtId="175" fontId="87" fillId="0" borderId="37" xfId="0" applyNumberFormat="1" applyFont="1" applyBorder="1" applyAlignment="1">
      <alignment horizontal="center" vertical="center"/>
    </xf>
    <xf numFmtId="175" fontId="41" fillId="0" borderId="37" xfId="0" applyNumberFormat="1" applyFont="1" applyBorder="1" applyAlignment="1">
      <alignment horizontal="center"/>
    </xf>
    <xf numFmtId="175" fontId="71" fillId="0" borderId="37" xfId="0" applyNumberFormat="1" applyFont="1" applyBorder="1" applyAlignment="1">
      <alignment vertical="center"/>
    </xf>
    <xf numFmtId="0" fontId="70" fillId="0" borderId="49" xfId="0" applyFont="1" applyBorder="1" applyAlignment="1">
      <alignment horizontal="left" vertical="center"/>
    </xf>
    <xf numFmtId="175" fontId="87" fillId="0" borderId="50" xfId="0" applyNumberFormat="1" applyFont="1" applyBorder="1" applyAlignment="1">
      <alignment horizontal="center" vertical="center"/>
    </xf>
    <xf numFmtId="168" fontId="91" fillId="0" borderId="0" xfId="0" applyNumberFormat="1" applyFont="1" applyAlignment="1">
      <alignment horizontal="center" vertical="center"/>
    </xf>
    <xf numFmtId="0" fontId="70" fillId="0" borderId="48" xfId="0" applyFont="1" applyBorder="1" applyAlignment="1">
      <alignment vertical="center"/>
    </xf>
    <xf numFmtId="0" fontId="71" fillId="0" borderId="48" xfId="0" applyFont="1" applyBorder="1" applyAlignment="1">
      <alignment horizontal="left" vertical="center" wrapText="1"/>
    </xf>
    <xf numFmtId="176" fontId="41" fillId="0" borderId="37" xfId="0" applyNumberFormat="1" applyFont="1" applyBorder="1" applyAlignment="1">
      <alignment horizontal="center"/>
    </xf>
    <xf numFmtId="170" fontId="87" fillId="0" borderId="37" xfId="0" applyNumberFormat="1" applyFont="1" applyBorder="1" applyAlignment="1">
      <alignment horizontal="center" vertical="center"/>
    </xf>
    <xf numFmtId="164" fontId="87" fillId="0" borderId="37" xfId="0" applyNumberFormat="1" applyFont="1" applyBorder="1" applyAlignment="1">
      <alignment horizontal="center" vertical="center"/>
    </xf>
    <xf numFmtId="0" fontId="70" fillId="0" borderId="49" xfId="0" applyFont="1" applyBorder="1" applyAlignment="1">
      <alignment vertical="center"/>
    </xf>
    <xf numFmtId="164" fontId="87" fillId="0" borderId="50" xfId="0" applyNumberFormat="1" applyFont="1" applyBorder="1" applyAlignment="1">
      <alignment horizontal="center" vertical="center"/>
    </xf>
    <xf numFmtId="0" fontId="71" fillId="0" borderId="58" xfId="0" applyFont="1" applyBorder="1" applyAlignment="1">
      <alignment vertical="center"/>
    </xf>
    <xf numFmtId="171" fontId="71" fillId="0" borderId="0" xfId="0" applyNumberFormat="1" applyFont="1" applyAlignment="1">
      <alignment vertical="center"/>
    </xf>
    <xf numFmtId="3" fontId="71" fillId="32" borderId="37" xfId="0" applyNumberFormat="1" applyFont="1" applyFill="1" applyBorder="1" applyAlignment="1">
      <alignment vertical="center"/>
    </xf>
    <xf numFmtId="0" fontId="92" fillId="0" borderId="0" xfId="0" applyFont="1" applyAlignment="1">
      <alignment vertical="center"/>
    </xf>
    <xf numFmtId="0" fontId="93" fillId="0" borderId="0" xfId="0" applyFont="1"/>
    <xf numFmtId="0" fontId="56" fillId="0" borderId="1" xfId="1" applyFont="1" applyFill="1" applyBorder="1" applyAlignment="1">
      <alignment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wrapText="1"/>
    </xf>
    <xf numFmtId="0" fontId="10" fillId="0" borderId="0" xfId="2" applyFont="1" applyFill="1" applyBorder="1" applyAlignment="1">
      <alignment horizontal="left"/>
    </xf>
    <xf numFmtId="0" fontId="11" fillId="0" borderId="0" xfId="2" applyFont="1" applyFill="1" applyAlignment="1">
      <alignment horizontal="right" vertical="center"/>
    </xf>
    <xf numFmtId="0" fontId="11" fillId="0" borderId="0" xfId="2" applyFont="1" applyFill="1" applyAlignment="1">
      <alignment horizontal="right"/>
    </xf>
    <xf numFmtId="0" fontId="44" fillId="0" borderId="0" xfId="1" applyFont="1" applyFill="1" applyAlignment="1">
      <alignment vertical="center"/>
    </xf>
    <xf numFmtId="0" fontId="38" fillId="0" borderId="0" xfId="52" applyFont="1" applyFill="1" applyAlignment="1"/>
    <xf numFmtId="0" fontId="38" fillId="0" borderId="0" xfId="2" applyFont="1" applyFill="1"/>
    <xf numFmtId="173" fontId="10" fillId="0" borderId="0" xfId="2" applyNumberFormat="1" applyFont="1" applyFill="1"/>
    <xf numFmtId="173" fontId="94" fillId="0" borderId="1" xfId="2" applyNumberFormat="1"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38" fillId="0" borderId="1" xfId="2" applyFont="1" applyFill="1" applyBorder="1" applyAlignment="1">
      <alignment horizontal="center" vertical="center" wrapText="1"/>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41" fillId="0" borderId="0" xfId="0" applyFont="1" applyAlignment="1">
      <alignment horizontal="center" vertical="center"/>
    </xf>
    <xf numFmtId="0" fontId="87" fillId="0" borderId="0" xfId="0" applyFont="1" applyAlignment="1">
      <alignment horizontal="center" vertical="center"/>
    </xf>
    <xf numFmtId="0" fontId="88" fillId="0" borderId="0" xfId="0" applyFont="1" applyAlignment="1">
      <alignment horizontal="center" vertical="center"/>
    </xf>
    <xf numFmtId="0" fontId="42" fillId="30" borderId="0" xfId="62" applyFont="1" applyFill="1" applyAlignment="1">
      <alignment horizontal="center" vertical="center" wrapText="1"/>
    </xf>
    <xf numFmtId="0" fontId="71" fillId="30" borderId="0" xfId="0" applyFont="1" applyFill="1" applyAlignment="1">
      <alignment horizontal="center" vertical="center" wrapText="1"/>
    </xf>
    <xf numFmtId="0" fontId="88" fillId="0" borderId="0" xfId="0" applyFont="1" applyAlignment="1">
      <alignment horizontal="center" vertical="center" wrapText="1"/>
    </xf>
    <xf numFmtId="0" fontId="71" fillId="0" borderId="0" xfId="0" applyFont="1" applyAlignment="1">
      <alignment horizontal="center" vertical="center"/>
    </xf>
    <xf numFmtId="0" fontId="89" fillId="0" borderId="0" xfId="0" applyFont="1" applyAlignment="1">
      <alignment horizontal="center" vertical="center"/>
    </xf>
    <xf numFmtId="0" fontId="71" fillId="0" borderId="34" xfId="0" applyFont="1" applyBorder="1" applyAlignment="1">
      <alignment horizontal="center" vertical="center"/>
    </xf>
    <xf numFmtId="0" fontId="71" fillId="0" borderId="35" xfId="0" applyFont="1" applyBorder="1" applyAlignment="1">
      <alignment horizontal="center" vertical="center"/>
    </xf>
    <xf numFmtId="0" fontId="71" fillId="0" borderId="36" xfId="0" applyFont="1" applyBorder="1" applyAlignment="1">
      <alignment horizontal="center" vertical="center"/>
    </xf>
    <xf numFmtId="0" fontId="71" fillId="0" borderId="0" xfId="0" applyFont="1" applyAlignment="1">
      <alignment horizontal="left" vertical="center" wrapText="1"/>
    </xf>
    <xf numFmtId="0" fontId="40" fillId="0" borderId="34" xfId="62" applyBorder="1" applyAlignment="1">
      <alignment horizontal="center" vertical="center" wrapText="1"/>
    </xf>
    <xf numFmtId="0" fontId="40" fillId="0" borderId="36" xfId="62" applyBorder="1" applyAlignment="1">
      <alignment horizontal="center" vertical="center"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10"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38" fillId="0" borderId="3" xfId="52" applyFont="1" applyFill="1" applyBorder="1" applyAlignment="1">
      <alignment horizontal="center" vertical="center"/>
    </xf>
    <xf numFmtId="0" fontId="52" fillId="0" borderId="0" xfId="1" applyFont="1" applyFill="1" applyAlignment="1">
      <alignment horizontal="center" vertical="center" wrapText="1"/>
    </xf>
    <xf numFmtId="0" fontId="10" fillId="0" borderId="0" xfId="1" applyFont="1" applyFill="1" applyAlignment="1">
      <alignment horizontal="center" vertical="center"/>
    </xf>
    <xf numFmtId="0" fontId="38" fillId="0" borderId="1" xfId="2" applyFont="1" applyFill="1" applyBorder="1" applyAlignment="1">
      <alignment horizontal="center" vertical="center"/>
    </xf>
    <xf numFmtId="0" fontId="44" fillId="0" borderId="0" xfId="1" applyFont="1" applyFill="1" applyAlignment="1">
      <alignment horizontal="center" vertical="center"/>
    </xf>
    <xf numFmtId="0" fontId="52" fillId="0" borderId="0" xfId="1" applyFont="1" applyFill="1" applyAlignment="1">
      <alignment horizontal="center" vertical="center"/>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4" xfId="2" applyFont="1" applyFill="1" applyBorder="1" applyAlignment="1">
      <alignment horizontal="left" vertical="top" wrapText="1"/>
    </xf>
    <xf numFmtId="0" fontId="36" fillId="0" borderId="27" xfId="2" applyFont="1" applyFill="1" applyBorder="1" applyAlignment="1">
      <alignment horizontal="left" vertical="top" wrapText="1"/>
    </xf>
    <xf numFmtId="0" fontId="36" fillId="0" borderId="25" xfId="2" applyFont="1" applyFill="1" applyBorder="1" applyAlignment="1">
      <alignment horizontal="left" vertical="top" wrapText="1"/>
    </xf>
    <xf numFmtId="0" fontId="44" fillId="0" borderId="0" xfId="2" applyFont="1" applyFill="1" applyAlignment="1">
      <alignment horizontal="center"/>
    </xf>
    <xf numFmtId="173" fontId="38" fillId="33" borderId="1" xfId="2" applyNumberFormat="1" applyFont="1" applyFill="1" applyBorder="1" applyAlignment="1">
      <alignment horizontal="center" vertical="center" wrapText="1"/>
    </xf>
    <xf numFmtId="179" fontId="10" fillId="0" borderId="0" xfId="2" applyNumberFormat="1" applyFont="1" applyFill="1"/>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4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2FEF-40D4-9E97-DDB2C4D932E4}"/>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2FEF-40D4-9E97-DDB2C4D932E4}"/>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6" name="Диаграмма 5">
          <a:extLst>
            <a:ext uri="{FF2B5EF4-FFF2-40B4-BE49-F238E27FC236}">
              <a16:creationId xmlns:a16="http://schemas.microsoft.com/office/drawing/2014/main" id="{35636AC8-73EC-4540-A800-681CAF3B8F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2_&#1082;&#1072;&#1088;&#1090;&#1099;%20&#1055;&#1057;%20%20&#1071;&#1083;&#1090;&#1080;&#1085;&#1089;&#1082;&#1072;&#1103;.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08" t="s">
        <v>661</v>
      </c>
      <c r="B5" s="408"/>
      <c r="C5" s="408"/>
      <c r="D5" s="108"/>
      <c r="E5" s="108"/>
      <c r="F5" s="108"/>
      <c r="G5" s="108"/>
      <c r="H5" s="108"/>
      <c r="I5" s="108"/>
      <c r="J5" s="108"/>
    </row>
    <row r="6" spans="1:22" s="11" customFormat="1" ht="18.75" x14ac:dyDescent="0.3">
      <c r="A6" s="16"/>
      <c r="F6" s="15"/>
      <c r="G6" s="15"/>
      <c r="H6" s="14"/>
    </row>
    <row r="7" spans="1:22" s="11" customFormat="1" ht="18.75" x14ac:dyDescent="0.2">
      <c r="A7" s="412" t="s">
        <v>7</v>
      </c>
      <c r="B7" s="412"/>
      <c r="C7" s="41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15" t="s">
        <v>566</v>
      </c>
      <c r="B9" s="415"/>
      <c r="C9" s="415"/>
      <c r="D9" s="7"/>
      <c r="E9" s="7"/>
      <c r="F9" s="7"/>
      <c r="G9" s="7"/>
      <c r="H9" s="7"/>
      <c r="I9" s="12"/>
      <c r="J9" s="12"/>
      <c r="K9" s="12"/>
      <c r="L9" s="12"/>
      <c r="M9" s="12"/>
      <c r="N9" s="12"/>
      <c r="O9" s="12"/>
      <c r="P9" s="12"/>
      <c r="Q9" s="12"/>
      <c r="R9" s="12"/>
      <c r="S9" s="12"/>
      <c r="T9" s="12"/>
      <c r="U9" s="12"/>
      <c r="V9" s="12"/>
    </row>
    <row r="10" spans="1:22" s="11" customFormat="1" ht="18.75" x14ac:dyDescent="0.2">
      <c r="A10" s="409" t="s">
        <v>6</v>
      </c>
      <c r="B10" s="409"/>
      <c r="C10" s="409"/>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13" t="s">
        <v>597</v>
      </c>
      <c r="B12" s="413"/>
      <c r="C12" s="413"/>
      <c r="D12" s="7"/>
      <c r="E12" s="7"/>
      <c r="F12" s="7"/>
      <c r="G12" s="7"/>
      <c r="H12" s="7"/>
      <c r="I12" s="12"/>
      <c r="J12" s="12"/>
      <c r="K12" s="12"/>
      <c r="L12" s="12"/>
      <c r="M12" s="12"/>
      <c r="N12" s="12"/>
      <c r="O12" s="12"/>
      <c r="P12" s="12"/>
      <c r="Q12" s="12"/>
      <c r="R12" s="12"/>
      <c r="S12" s="12"/>
      <c r="T12" s="12"/>
      <c r="U12" s="12"/>
      <c r="V12" s="12"/>
    </row>
    <row r="13" spans="1:22" s="11" customFormat="1" ht="18.75" x14ac:dyDescent="0.2">
      <c r="A13" s="409" t="s">
        <v>5</v>
      </c>
      <c r="B13" s="409"/>
      <c r="C13" s="409"/>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46.5" customHeight="1" x14ac:dyDescent="0.2">
      <c r="A15" s="414" t="s">
        <v>594</v>
      </c>
      <c r="B15" s="414"/>
      <c r="C15" s="414"/>
      <c r="D15" s="7"/>
      <c r="E15" s="7"/>
      <c r="F15" s="7"/>
      <c r="G15" s="7"/>
      <c r="H15" s="7"/>
      <c r="I15" s="7"/>
      <c r="J15" s="7"/>
      <c r="K15" s="7"/>
      <c r="L15" s="7"/>
      <c r="M15" s="7"/>
      <c r="N15" s="7"/>
      <c r="O15" s="7"/>
      <c r="P15" s="7"/>
      <c r="Q15" s="7"/>
      <c r="R15" s="7"/>
      <c r="S15" s="7"/>
      <c r="T15" s="7"/>
      <c r="U15" s="7"/>
      <c r="V15" s="7"/>
    </row>
    <row r="16" spans="1:22" s="3" customFormat="1" ht="15" customHeight="1" x14ac:dyDescent="0.2">
      <c r="A16" s="409" t="s">
        <v>4</v>
      </c>
      <c r="B16" s="409"/>
      <c r="C16" s="40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10" t="s">
        <v>407</v>
      </c>
      <c r="B18" s="411"/>
      <c r="C18" s="41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444</v>
      </c>
      <c r="D22" s="23"/>
      <c r="E22" s="23"/>
      <c r="F22" s="23"/>
      <c r="G22" s="23"/>
      <c r="H22" s="23"/>
      <c r="I22" s="22"/>
      <c r="J22" s="22"/>
      <c r="K22" s="22"/>
      <c r="L22" s="22"/>
      <c r="M22" s="22"/>
      <c r="N22" s="22"/>
      <c r="O22" s="22"/>
      <c r="P22" s="22"/>
      <c r="Q22" s="22"/>
      <c r="R22" s="22"/>
      <c r="S22" s="22"/>
      <c r="T22" s="21"/>
      <c r="U22" s="21"/>
      <c r="V22" s="21"/>
    </row>
    <row r="23" spans="1:22" s="3" customFormat="1" ht="78.75" x14ac:dyDescent="0.2">
      <c r="A23" s="19" t="s">
        <v>61</v>
      </c>
      <c r="B23" s="26" t="s">
        <v>539</v>
      </c>
      <c r="C23" s="30" t="s">
        <v>538</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05"/>
      <c r="B24" s="406"/>
      <c r="C24" s="407"/>
      <c r="D24" s="23"/>
      <c r="E24" s="23"/>
      <c r="F24" s="23"/>
      <c r="G24" s="23"/>
      <c r="H24" s="23"/>
      <c r="I24" s="22"/>
      <c r="J24" s="22"/>
      <c r="K24" s="22"/>
      <c r="L24" s="22"/>
      <c r="M24" s="22"/>
      <c r="N24" s="22"/>
      <c r="O24" s="22"/>
      <c r="P24" s="22"/>
      <c r="Q24" s="22"/>
      <c r="R24" s="22"/>
      <c r="S24" s="22"/>
      <c r="T24" s="21"/>
      <c r="U24" s="21"/>
      <c r="V24" s="21"/>
    </row>
    <row r="25" spans="1:22" s="131" customFormat="1" ht="58.5" customHeight="1" x14ac:dyDescent="0.2">
      <c r="A25" s="19" t="s">
        <v>60</v>
      </c>
      <c r="B25" s="106" t="s">
        <v>357</v>
      </c>
      <c r="C25" s="25" t="s">
        <v>542</v>
      </c>
      <c r="D25" s="129"/>
      <c r="E25" s="129"/>
      <c r="F25" s="129"/>
      <c r="G25" s="129"/>
      <c r="H25" s="128"/>
      <c r="I25" s="128"/>
      <c r="J25" s="128"/>
      <c r="K25" s="128"/>
      <c r="L25" s="128"/>
      <c r="M25" s="128"/>
      <c r="N25" s="128"/>
      <c r="O25" s="128"/>
      <c r="P25" s="128"/>
      <c r="Q25" s="128"/>
      <c r="R25" s="128"/>
      <c r="S25" s="130"/>
      <c r="T25" s="130"/>
      <c r="U25" s="130"/>
      <c r="V25" s="130"/>
    </row>
    <row r="26" spans="1:22" s="131" customFormat="1" ht="42.75" customHeight="1" x14ac:dyDescent="0.2">
      <c r="A26" s="19" t="s">
        <v>59</v>
      </c>
      <c r="B26" s="106" t="s">
        <v>72</v>
      </c>
      <c r="C26" s="25" t="s">
        <v>422</v>
      </c>
      <c r="D26" s="129"/>
      <c r="E26" s="129"/>
      <c r="F26" s="129"/>
      <c r="G26" s="129"/>
      <c r="H26" s="128"/>
      <c r="I26" s="128"/>
      <c r="J26" s="128"/>
      <c r="K26" s="128"/>
      <c r="L26" s="128"/>
      <c r="M26" s="128"/>
      <c r="N26" s="128"/>
      <c r="O26" s="128"/>
      <c r="P26" s="128"/>
      <c r="Q26" s="128"/>
      <c r="R26" s="128"/>
      <c r="S26" s="130"/>
      <c r="T26" s="130"/>
      <c r="U26" s="130"/>
      <c r="V26" s="130"/>
    </row>
    <row r="27" spans="1:22" s="131" customFormat="1" ht="51.75" customHeight="1" x14ac:dyDescent="0.2">
      <c r="A27" s="19" t="s">
        <v>57</v>
      </c>
      <c r="B27" s="106" t="s">
        <v>71</v>
      </c>
      <c r="C27" s="25" t="s">
        <v>580</v>
      </c>
      <c r="D27" s="129"/>
      <c r="E27" s="129"/>
      <c r="F27" s="129"/>
      <c r="G27" s="129"/>
      <c r="H27" s="128"/>
      <c r="I27" s="128"/>
      <c r="J27" s="128"/>
      <c r="K27" s="128"/>
      <c r="L27" s="128"/>
      <c r="M27" s="128"/>
      <c r="N27" s="128"/>
      <c r="O27" s="128"/>
      <c r="P27" s="128"/>
      <c r="Q27" s="128"/>
      <c r="R27" s="128"/>
      <c r="S27" s="130"/>
      <c r="T27" s="130"/>
      <c r="U27" s="130"/>
      <c r="V27" s="130"/>
    </row>
    <row r="28" spans="1:22" s="131" customFormat="1" ht="42.75" customHeight="1" x14ac:dyDescent="0.2">
      <c r="A28" s="19" t="s">
        <v>56</v>
      </c>
      <c r="B28" s="106" t="s">
        <v>358</v>
      </c>
      <c r="C28" s="25" t="s">
        <v>435</v>
      </c>
      <c r="D28" s="129"/>
      <c r="E28" s="129"/>
      <c r="F28" s="129"/>
      <c r="G28" s="129"/>
      <c r="H28" s="128"/>
      <c r="I28" s="128"/>
      <c r="J28" s="128"/>
      <c r="K28" s="128"/>
      <c r="L28" s="128"/>
      <c r="M28" s="128"/>
      <c r="N28" s="128"/>
      <c r="O28" s="128"/>
      <c r="P28" s="128"/>
      <c r="Q28" s="128"/>
      <c r="R28" s="128"/>
      <c r="S28" s="130"/>
      <c r="T28" s="130"/>
      <c r="U28" s="130"/>
      <c r="V28" s="130"/>
    </row>
    <row r="29" spans="1:22" s="131" customFormat="1" ht="51.75" customHeight="1" x14ac:dyDescent="0.2">
      <c r="A29" s="19" t="s">
        <v>54</v>
      </c>
      <c r="B29" s="106" t="s">
        <v>359</v>
      </c>
      <c r="C29" s="25" t="s">
        <v>435</v>
      </c>
      <c r="D29" s="129"/>
      <c r="E29" s="129"/>
      <c r="F29" s="129"/>
      <c r="G29" s="129"/>
      <c r="H29" s="128"/>
      <c r="I29" s="128"/>
      <c r="J29" s="128"/>
      <c r="K29" s="128"/>
      <c r="L29" s="128"/>
      <c r="M29" s="128"/>
      <c r="N29" s="128"/>
      <c r="O29" s="128"/>
      <c r="P29" s="128"/>
      <c r="Q29" s="128"/>
      <c r="R29" s="128"/>
      <c r="S29" s="130"/>
      <c r="T29" s="130"/>
      <c r="U29" s="130"/>
      <c r="V29" s="130"/>
    </row>
    <row r="30" spans="1:22" s="131" customFormat="1" ht="51.75" customHeight="1" x14ac:dyDescent="0.2">
      <c r="A30" s="19" t="s">
        <v>52</v>
      </c>
      <c r="B30" s="106" t="s">
        <v>360</v>
      </c>
      <c r="C30" s="25" t="s">
        <v>435</v>
      </c>
      <c r="D30" s="129"/>
      <c r="E30" s="129"/>
      <c r="F30" s="129"/>
      <c r="G30" s="129"/>
      <c r="H30" s="128"/>
      <c r="I30" s="128"/>
      <c r="J30" s="128"/>
      <c r="K30" s="128"/>
      <c r="L30" s="128"/>
      <c r="M30" s="128"/>
      <c r="N30" s="128"/>
      <c r="O30" s="128"/>
      <c r="P30" s="128"/>
      <c r="Q30" s="128"/>
      <c r="R30" s="128"/>
      <c r="S30" s="130"/>
      <c r="T30" s="130"/>
      <c r="U30" s="130"/>
      <c r="V30" s="130"/>
    </row>
    <row r="31" spans="1:22" s="131" customFormat="1" ht="51.75" customHeight="1" x14ac:dyDescent="0.2">
      <c r="A31" s="19" t="s">
        <v>70</v>
      </c>
      <c r="B31" s="106" t="s">
        <v>361</v>
      </c>
      <c r="C31" s="25" t="s">
        <v>581</v>
      </c>
      <c r="D31" s="129"/>
      <c r="E31" s="129"/>
      <c r="F31" s="129"/>
      <c r="G31" s="129"/>
      <c r="H31" s="128"/>
      <c r="I31" s="128"/>
      <c r="J31" s="128"/>
      <c r="K31" s="128"/>
      <c r="L31" s="128"/>
      <c r="M31" s="128"/>
      <c r="N31" s="128"/>
      <c r="O31" s="128"/>
      <c r="P31" s="128"/>
      <c r="Q31" s="128"/>
      <c r="R31" s="128"/>
      <c r="S31" s="130"/>
      <c r="T31" s="130"/>
      <c r="U31" s="130"/>
      <c r="V31" s="130"/>
    </row>
    <row r="32" spans="1:22" s="131" customFormat="1" ht="51.75" customHeight="1" x14ac:dyDescent="0.2">
      <c r="A32" s="19" t="s">
        <v>68</v>
      </c>
      <c r="B32" s="106" t="s">
        <v>362</v>
      </c>
      <c r="C32" s="25" t="s">
        <v>582</v>
      </c>
      <c r="D32" s="129"/>
      <c r="E32" s="129"/>
      <c r="F32" s="129"/>
      <c r="G32" s="129"/>
      <c r="H32" s="128"/>
      <c r="I32" s="128"/>
      <c r="J32" s="128"/>
      <c r="K32" s="128"/>
      <c r="L32" s="128"/>
      <c r="M32" s="128"/>
      <c r="N32" s="128"/>
      <c r="O32" s="128"/>
      <c r="P32" s="128"/>
      <c r="Q32" s="128"/>
      <c r="R32" s="128"/>
      <c r="S32" s="130"/>
      <c r="T32" s="130"/>
      <c r="U32" s="130"/>
      <c r="V32" s="130"/>
    </row>
    <row r="33" spans="1:22" s="131" customFormat="1" ht="101.25" customHeight="1" x14ac:dyDescent="0.2">
      <c r="A33" s="19" t="s">
        <v>67</v>
      </c>
      <c r="B33" s="106" t="s">
        <v>363</v>
      </c>
      <c r="C33" s="106" t="s">
        <v>552</v>
      </c>
      <c r="D33" s="129"/>
      <c r="E33" s="129"/>
      <c r="F33" s="129"/>
      <c r="G33" s="129"/>
      <c r="H33" s="128"/>
      <c r="I33" s="128"/>
      <c r="J33" s="128"/>
      <c r="K33" s="128"/>
      <c r="L33" s="128"/>
      <c r="M33" s="128"/>
      <c r="N33" s="128"/>
      <c r="O33" s="128"/>
      <c r="P33" s="128"/>
      <c r="Q33" s="128"/>
      <c r="R33" s="128"/>
      <c r="S33" s="130"/>
      <c r="T33" s="130"/>
      <c r="U33" s="130"/>
      <c r="V33" s="130"/>
    </row>
    <row r="34" spans="1:22" ht="111" customHeight="1" x14ac:dyDescent="0.25">
      <c r="A34" s="19" t="s">
        <v>376</v>
      </c>
      <c r="B34" s="30" t="s">
        <v>364</v>
      </c>
      <c r="C34" s="20" t="s">
        <v>552</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377</v>
      </c>
      <c r="B36" s="30" t="s">
        <v>365</v>
      </c>
      <c r="C36" s="20" t="s">
        <v>569</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549</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378</v>
      </c>
      <c r="B38" s="30" t="s">
        <v>209</v>
      </c>
      <c r="C38" s="20" t="s">
        <v>569</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05"/>
      <c r="B39" s="406"/>
      <c r="C39" s="407"/>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419</v>
      </c>
      <c r="C40" s="391" t="s">
        <v>565</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379</v>
      </c>
      <c r="B41" s="30" t="s">
        <v>402</v>
      </c>
      <c r="C41" s="163" t="s">
        <v>551</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416</v>
      </c>
      <c r="C42" s="30" t="s">
        <v>542</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382</v>
      </c>
      <c r="B43" s="30" t="s">
        <v>383</v>
      </c>
      <c r="C43" s="110" t="s">
        <v>546</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408</v>
      </c>
      <c r="C44" s="219">
        <v>8.8000000000000007</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403</v>
      </c>
      <c r="B45" s="30" t="s">
        <v>409</v>
      </c>
      <c r="C45" s="238">
        <f>C44/16</f>
        <v>0.55000000000000004</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410</v>
      </c>
      <c r="C46" s="2" t="s">
        <v>439</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05"/>
      <c r="B47" s="406"/>
      <c r="C47" s="407"/>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404</v>
      </c>
      <c r="B48" s="30" t="s">
        <v>417</v>
      </c>
      <c r="C48" s="219" t="str">
        <f>CONCATENATE(ROUND('6.2. Паспорт фин осв ввод факт'!AB24,2)," млн.руб.")</f>
        <v>294,53 млн.руб.</v>
      </c>
      <c r="D48" s="18" t="s">
        <v>544</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418</v>
      </c>
      <c r="C49" s="219" t="str">
        <f>CONCATENATE(ROUND('6.2. Паспорт фин осв ввод факт'!AB30,2)," млн.руб.")</f>
        <v>249,6 млн.руб.</v>
      </c>
      <c r="D49" s="18" t="s">
        <v>544</v>
      </c>
      <c r="E49" s="18"/>
      <c r="F49" s="18"/>
      <c r="G49" s="18"/>
      <c r="H49" s="18"/>
      <c r="I49" s="18"/>
      <c r="J49" s="18"/>
      <c r="K49" s="18"/>
      <c r="L49" s="18"/>
      <c r="M49" s="18"/>
      <c r="N49" s="18"/>
      <c r="O49" s="18"/>
      <c r="P49" s="18"/>
      <c r="Q49" s="18"/>
      <c r="R49" s="18"/>
      <c r="S49" s="18"/>
      <c r="T49" s="18"/>
      <c r="U49" s="18"/>
      <c r="V49" s="18"/>
    </row>
    <row r="50" spans="1:22" ht="75.75" customHeight="1" x14ac:dyDescent="0.25">
      <c r="A50" s="19" t="s">
        <v>404</v>
      </c>
      <c r="B50" s="30" t="s">
        <v>417</v>
      </c>
      <c r="C50" s="219" t="str">
        <f>CONCATENATE(ROUND('6.2. Паспорт фин осв ввод'!AC24,2)," млн.руб.")</f>
        <v>341,66 млн.руб.</v>
      </c>
      <c r="D50" s="18" t="s">
        <v>545</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418</v>
      </c>
      <c r="C51" s="219" t="str">
        <f>CONCATENATE(ROUND('6.2. Паспорт фин осв ввод'!AC30,2)," млн.руб.")</f>
        <v>284,71 млн.руб.</v>
      </c>
      <c r="D51" s="18" t="s">
        <v>545</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9" zoomScale="80" zoomScaleSheetLayoutView="80" workbookViewId="0">
      <selection activeCell="I53" sqref="I53"/>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08" t="str">
        <f>'1. паспорт местоположение'!A5:C5</f>
        <v>Год раскрытия информации: 2022 год</v>
      </c>
      <c r="B5" s="408"/>
      <c r="C5" s="408"/>
      <c r="D5" s="408"/>
      <c r="E5" s="408"/>
      <c r="F5" s="408"/>
      <c r="G5" s="408"/>
      <c r="H5" s="408"/>
      <c r="I5" s="408"/>
      <c r="J5" s="408"/>
      <c r="K5" s="408"/>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row>
    <row r="6" spans="1:43" ht="18.75" x14ac:dyDescent="0.3">
      <c r="K6" s="14"/>
    </row>
    <row r="7" spans="1:43" ht="18.75" x14ac:dyDescent="0.25">
      <c r="A7" s="417" t="s">
        <v>7</v>
      </c>
      <c r="B7" s="417"/>
      <c r="C7" s="417"/>
      <c r="D7" s="417"/>
      <c r="E7" s="417"/>
      <c r="F7" s="417"/>
      <c r="G7" s="417"/>
      <c r="H7" s="417"/>
      <c r="I7" s="417"/>
      <c r="J7" s="417"/>
      <c r="K7" s="417"/>
    </row>
    <row r="8" spans="1:43" ht="18.75" x14ac:dyDescent="0.25">
      <c r="A8" s="417"/>
      <c r="B8" s="417"/>
      <c r="C8" s="417"/>
      <c r="D8" s="417"/>
      <c r="E8" s="417"/>
      <c r="F8" s="417"/>
      <c r="G8" s="417"/>
      <c r="H8" s="417"/>
      <c r="I8" s="417"/>
      <c r="J8" s="417"/>
      <c r="K8" s="417"/>
    </row>
    <row r="9" spans="1:43" x14ac:dyDescent="0.25">
      <c r="A9" s="415" t="str">
        <f>'1. паспорт местоположение'!A9:C9</f>
        <v xml:space="preserve">Акционерное общество "Западная энергетическая компания" </v>
      </c>
      <c r="B9" s="415"/>
      <c r="C9" s="415"/>
      <c r="D9" s="415"/>
      <c r="E9" s="415"/>
      <c r="F9" s="415"/>
      <c r="G9" s="415"/>
      <c r="H9" s="415"/>
      <c r="I9" s="415"/>
      <c r="J9" s="415"/>
      <c r="K9" s="415"/>
    </row>
    <row r="10" spans="1:43" x14ac:dyDescent="0.25">
      <c r="A10" s="421" t="s">
        <v>6</v>
      </c>
      <c r="B10" s="421"/>
      <c r="C10" s="421"/>
      <c r="D10" s="421"/>
      <c r="E10" s="421"/>
      <c r="F10" s="421"/>
      <c r="G10" s="421"/>
      <c r="H10" s="421"/>
      <c r="I10" s="421"/>
      <c r="J10" s="421"/>
      <c r="K10" s="421"/>
    </row>
    <row r="11" spans="1:43" ht="18.75" x14ac:dyDescent="0.25">
      <c r="A11" s="417"/>
      <c r="B11" s="417"/>
      <c r="C11" s="417"/>
      <c r="D11" s="417"/>
      <c r="E11" s="417"/>
      <c r="F11" s="417"/>
      <c r="G11" s="417"/>
      <c r="H11" s="417"/>
      <c r="I11" s="417"/>
      <c r="J11" s="417"/>
      <c r="K11" s="417"/>
    </row>
    <row r="12" spans="1:43" x14ac:dyDescent="0.25">
      <c r="A12" s="415" t="str">
        <f>'1. паспорт местоположение'!A12:C12</f>
        <v>J 19-02</v>
      </c>
      <c r="B12" s="415"/>
      <c r="C12" s="415"/>
      <c r="D12" s="415"/>
      <c r="E12" s="415"/>
      <c r="F12" s="415"/>
      <c r="G12" s="415"/>
      <c r="H12" s="415"/>
      <c r="I12" s="415"/>
      <c r="J12" s="415"/>
      <c r="K12" s="415"/>
    </row>
    <row r="13" spans="1:43" x14ac:dyDescent="0.25">
      <c r="A13" s="421" t="s">
        <v>5</v>
      </c>
      <c r="B13" s="421"/>
      <c r="C13" s="421"/>
      <c r="D13" s="421"/>
      <c r="E13" s="421"/>
      <c r="F13" s="421"/>
      <c r="G13" s="421"/>
      <c r="H13" s="421"/>
      <c r="I13" s="421"/>
      <c r="J13" s="421"/>
      <c r="K13" s="421"/>
    </row>
    <row r="14" spans="1:43" ht="18.75" x14ac:dyDescent="0.25">
      <c r="A14" s="422"/>
      <c r="B14" s="422"/>
      <c r="C14" s="422"/>
      <c r="D14" s="422"/>
      <c r="E14" s="422"/>
      <c r="F14" s="422"/>
      <c r="G14" s="422"/>
      <c r="H14" s="422"/>
      <c r="I14" s="422"/>
      <c r="J14" s="422"/>
      <c r="K14" s="422"/>
    </row>
    <row r="15" spans="1:43" x14ac:dyDescent="0.25">
      <c r="A15" s="415"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15"/>
      <c r="C15" s="415"/>
      <c r="D15" s="415"/>
      <c r="E15" s="415"/>
      <c r="F15" s="415"/>
      <c r="G15" s="415"/>
      <c r="H15" s="415"/>
      <c r="I15" s="415"/>
      <c r="J15" s="415"/>
      <c r="K15" s="415"/>
    </row>
    <row r="16" spans="1:43" x14ac:dyDescent="0.25">
      <c r="A16" s="409" t="s">
        <v>4</v>
      </c>
      <c r="B16" s="409"/>
      <c r="C16" s="409"/>
      <c r="D16" s="409"/>
      <c r="E16" s="409"/>
      <c r="F16" s="409"/>
      <c r="G16" s="409"/>
      <c r="H16" s="409"/>
      <c r="I16" s="409"/>
      <c r="J16" s="409"/>
      <c r="K16" s="409"/>
    </row>
    <row r="17" spans="1:11" ht="15.75" customHeight="1" x14ac:dyDescent="0.25"/>
    <row r="18" spans="1:11" x14ac:dyDescent="0.25">
      <c r="K18" s="70"/>
    </row>
    <row r="19" spans="1:11" ht="15.75" customHeight="1" x14ac:dyDescent="0.25">
      <c r="A19" s="502" t="s">
        <v>391</v>
      </c>
      <c r="B19" s="502"/>
      <c r="C19" s="502"/>
      <c r="D19" s="502"/>
      <c r="E19" s="502"/>
      <c r="F19" s="502"/>
      <c r="G19" s="502"/>
      <c r="H19" s="502"/>
      <c r="I19" s="502"/>
      <c r="J19" s="502"/>
      <c r="K19" s="502"/>
    </row>
    <row r="20" spans="1:11" x14ac:dyDescent="0.25">
      <c r="A20" s="48"/>
      <c r="B20" s="48"/>
      <c r="C20" s="69"/>
      <c r="D20" s="69"/>
      <c r="E20" s="69"/>
      <c r="F20" s="69"/>
      <c r="G20" s="69"/>
      <c r="H20" s="69"/>
      <c r="I20" s="69"/>
      <c r="J20" s="69"/>
      <c r="K20" s="69"/>
    </row>
    <row r="21" spans="1:11" ht="28.5" customHeight="1" x14ac:dyDescent="0.25">
      <c r="A21" s="496" t="s">
        <v>199</v>
      </c>
      <c r="B21" s="496" t="s">
        <v>487</v>
      </c>
      <c r="C21" s="496" t="s">
        <v>351</v>
      </c>
      <c r="D21" s="496"/>
      <c r="E21" s="496"/>
      <c r="F21" s="496"/>
      <c r="G21" s="496"/>
      <c r="H21" s="496"/>
      <c r="I21" s="497" t="s">
        <v>198</v>
      </c>
      <c r="J21" s="498" t="s">
        <v>352</v>
      </c>
      <c r="K21" s="496" t="s">
        <v>197</v>
      </c>
    </row>
    <row r="22" spans="1:11" ht="58.5" customHeight="1" x14ac:dyDescent="0.25">
      <c r="A22" s="496"/>
      <c r="B22" s="496"/>
      <c r="C22" s="501" t="s">
        <v>657</v>
      </c>
      <c r="D22" s="501"/>
      <c r="E22" s="473" t="s">
        <v>9</v>
      </c>
      <c r="F22" s="473"/>
      <c r="G22" s="473" t="s">
        <v>540</v>
      </c>
      <c r="H22" s="473"/>
      <c r="I22" s="497"/>
      <c r="J22" s="499"/>
      <c r="K22" s="496"/>
    </row>
    <row r="23" spans="1:11" ht="31.5" x14ac:dyDescent="0.25">
      <c r="A23" s="496"/>
      <c r="B23" s="496"/>
      <c r="C23" s="240" t="s">
        <v>196</v>
      </c>
      <c r="D23" s="240" t="s">
        <v>195</v>
      </c>
      <c r="E23" s="204" t="s">
        <v>196</v>
      </c>
      <c r="F23" s="204" t="s">
        <v>195</v>
      </c>
      <c r="G23" s="204" t="s">
        <v>196</v>
      </c>
      <c r="H23" s="204" t="s">
        <v>195</v>
      </c>
      <c r="I23" s="497"/>
      <c r="J23" s="500"/>
      <c r="K23" s="496"/>
    </row>
    <row r="24" spans="1:11" x14ac:dyDescent="0.25">
      <c r="A24" s="205">
        <v>1</v>
      </c>
      <c r="B24" s="205">
        <v>2</v>
      </c>
      <c r="C24" s="240">
        <v>3</v>
      </c>
      <c r="D24" s="240">
        <v>4</v>
      </c>
      <c r="E24" s="204">
        <v>5</v>
      </c>
      <c r="F24" s="204">
        <v>6</v>
      </c>
      <c r="G24" s="204">
        <v>7</v>
      </c>
      <c r="H24" s="204">
        <v>8</v>
      </c>
      <c r="I24" s="204">
        <v>9</v>
      </c>
      <c r="J24" s="204">
        <v>10</v>
      </c>
      <c r="K24" s="204">
        <v>11</v>
      </c>
    </row>
    <row r="25" spans="1:11" s="51" customFormat="1" x14ac:dyDescent="0.25">
      <c r="A25" s="209">
        <v>1</v>
      </c>
      <c r="B25" s="210" t="s">
        <v>194</v>
      </c>
      <c r="C25" s="241"/>
      <c r="D25" s="241"/>
      <c r="E25" s="220"/>
      <c r="F25" s="220"/>
      <c r="G25" s="220"/>
      <c r="H25" s="220"/>
      <c r="I25" s="220"/>
      <c r="J25" s="200"/>
      <c r="K25" s="201"/>
    </row>
    <row r="26" spans="1:11" s="51" customFormat="1" ht="31.5" x14ac:dyDescent="0.25">
      <c r="A26" s="209" t="s">
        <v>488</v>
      </c>
      <c r="B26" s="213" t="s">
        <v>489</v>
      </c>
      <c r="C26" s="241"/>
      <c r="D26" s="241" t="s">
        <v>639</v>
      </c>
      <c r="E26" s="221">
        <v>42859</v>
      </c>
      <c r="F26" s="221">
        <v>42859</v>
      </c>
      <c r="G26" s="241"/>
      <c r="H26" s="241" t="s">
        <v>639</v>
      </c>
      <c r="I26" s="222"/>
      <c r="J26" s="200"/>
      <c r="K26" s="201"/>
    </row>
    <row r="27" spans="1:11" s="51" customFormat="1" ht="31.5" x14ac:dyDescent="0.25">
      <c r="A27" s="209" t="s">
        <v>490</v>
      </c>
      <c r="B27" s="213" t="s">
        <v>491</v>
      </c>
      <c r="C27" s="241"/>
      <c r="D27" s="241" t="s">
        <v>638</v>
      </c>
      <c r="E27" s="221">
        <v>42807</v>
      </c>
      <c r="F27" s="221">
        <v>42807</v>
      </c>
      <c r="G27" s="241"/>
      <c r="H27" s="241" t="s">
        <v>638</v>
      </c>
      <c r="I27" s="222"/>
      <c r="J27" s="200"/>
      <c r="K27" s="201"/>
    </row>
    <row r="28" spans="1:11" s="51" customFormat="1" ht="63" x14ac:dyDescent="0.25">
      <c r="A28" s="209" t="s">
        <v>493</v>
      </c>
      <c r="B28" s="213" t="s">
        <v>492</v>
      </c>
      <c r="C28" s="241" t="s">
        <v>435</v>
      </c>
      <c r="D28" s="241" t="s">
        <v>435</v>
      </c>
      <c r="E28" s="221" t="s">
        <v>435</v>
      </c>
      <c r="F28" s="221" t="s">
        <v>435</v>
      </c>
      <c r="G28" s="241" t="s">
        <v>435</v>
      </c>
      <c r="H28" s="241" t="s">
        <v>435</v>
      </c>
      <c r="I28" s="222"/>
      <c r="J28" s="200"/>
      <c r="K28" s="201"/>
    </row>
    <row r="29" spans="1:11" s="51" customFormat="1" ht="31.5" x14ac:dyDescent="0.25">
      <c r="A29" s="209" t="s">
        <v>495</v>
      </c>
      <c r="B29" s="213" t="s">
        <v>494</v>
      </c>
      <c r="C29" s="241" t="s">
        <v>435</v>
      </c>
      <c r="D29" s="241" t="s">
        <v>435</v>
      </c>
      <c r="E29" s="221" t="s">
        <v>435</v>
      </c>
      <c r="F29" s="221" t="s">
        <v>435</v>
      </c>
      <c r="G29" s="241" t="s">
        <v>435</v>
      </c>
      <c r="H29" s="241" t="s">
        <v>435</v>
      </c>
      <c r="I29" s="222"/>
      <c r="J29" s="200"/>
      <c r="K29" s="201"/>
    </row>
    <row r="30" spans="1:11" s="51" customFormat="1" ht="31.5" x14ac:dyDescent="0.25">
      <c r="A30" s="209" t="s">
        <v>497</v>
      </c>
      <c r="B30" s="213" t="s">
        <v>496</v>
      </c>
      <c r="C30" s="241" t="s">
        <v>435</v>
      </c>
      <c r="D30" s="241" t="s">
        <v>435</v>
      </c>
      <c r="E30" s="221" t="s">
        <v>435</v>
      </c>
      <c r="F30" s="221" t="s">
        <v>435</v>
      </c>
      <c r="G30" s="241" t="s">
        <v>435</v>
      </c>
      <c r="H30" s="241" t="s">
        <v>435</v>
      </c>
      <c r="I30" s="222"/>
      <c r="J30" s="200"/>
      <c r="K30" s="201"/>
    </row>
    <row r="31" spans="1:11" s="51" customFormat="1" ht="31.5" x14ac:dyDescent="0.25">
      <c r="A31" s="209" t="s">
        <v>499</v>
      </c>
      <c r="B31" s="213" t="s">
        <v>498</v>
      </c>
      <c r="C31" s="241">
        <v>43678</v>
      </c>
      <c r="D31" s="241">
        <v>43687</v>
      </c>
      <c r="E31" s="221">
        <v>41806</v>
      </c>
      <c r="F31" s="221">
        <v>41806</v>
      </c>
      <c r="G31" s="241">
        <v>43678</v>
      </c>
      <c r="H31" s="241">
        <v>43687</v>
      </c>
      <c r="I31" s="222"/>
      <c r="J31" s="200"/>
      <c r="K31" s="201"/>
    </row>
    <row r="32" spans="1:11" ht="31.5" x14ac:dyDescent="0.25">
      <c r="A32" s="209" t="s">
        <v>501</v>
      </c>
      <c r="B32" s="213" t="s">
        <v>500</v>
      </c>
      <c r="C32" s="241">
        <v>43738</v>
      </c>
      <c r="D32" s="241">
        <v>43743</v>
      </c>
      <c r="E32" s="221">
        <v>42597</v>
      </c>
      <c r="F32" s="221">
        <v>42597</v>
      </c>
      <c r="G32" s="241">
        <v>43738</v>
      </c>
      <c r="H32" s="241">
        <v>43743</v>
      </c>
      <c r="I32" s="222"/>
      <c r="J32" s="200"/>
      <c r="K32" s="201"/>
    </row>
    <row r="33" spans="1:11" ht="47.25" x14ac:dyDescent="0.25">
      <c r="A33" s="209" t="s">
        <v>503</v>
      </c>
      <c r="B33" s="213" t="s">
        <v>502</v>
      </c>
      <c r="C33" s="241" t="s">
        <v>569</v>
      </c>
      <c r="D33" s="241" t="s">
        <v>569</v>
      </c>
      <c r="E33" s="221">
        <v>42720</v>
      </c>
      <c r="F33" s="221">
        <v>42720</v>
      </c>
      <c r="G33" s="241" t="s">
        <v>569</v>
      </c>
      <c r="H33" s="241" t="s">
        <v>569</v>
      </c>
      <c r="I33" s="222"/>
      <c r="J33" s="200"/>
      <c r="K33" s="201"/>
    </row>
    <row r="34" spans="1:11" ht="63" x14ac:dyDescent="0.25">
      <c r="A34" s="209" t="s">
        <v>505</v>
      </c>
      <c r="B34" s="213" t="s">
        <v>504</v>
      </c>
      <c r="C34" s="241" t="s">
        <v>570</v>
      </c>
      <c r="D34" s="241" t="s">
        <v>570</v>
      </c>
      <c r="E34" s="221" t="s">
        <v>435</v>
      </c>
      <c r="F34" s="221" t="s">
        <v>435</v>
      </c>
      <c r="G34" s="241" t="s">
        <v>570</v>
      </c>
      <c r="H34" s="241" t="s">
        <v>570</v>
      </c>
      <c r="I34" s="222"/>
      <c r="J34" s="202"/>
      <c r="K34" s="202"/>
    </row>
    <row r="35" spans="1:11" ht="31.5" x14ac:dyDescent="0.25">
      <c r="A35" s="209" t="s">
        <v>506</v>
      </c>
      <c r="B35" s="213" t="s">
        <v>193</v>
      </c>
      <c r="C35" s="241">
        <v>43743</v>
      </c>
      <c r="D35" s="241">
        <v>44140</v>
      </c>
      <c r="E35" s="221">
        <v>42731</v>
      </c>
      <c r="F35" s="221">
        <v>42731</v>
      </c>
      <c r="G35" s="241">
        <v>43743</v>
      </c>
      <c r="H35" s="241">
        <v>44140</v>
      </c>
      <c r="I35" s="222"/>
      <c r="J35" s="202"/>
      <c r="K35" s="202"/>
    </row>
    <row r="36" spans="1:11" ht="31.5" x14ac:dyDescent="0.25">
      <c r="A36" s="209" t="s">
        <v>508</v>
      </c>
      <c r="B36" s="213" t="s">
        <v>507</v>
      </c>
      <c r="C36" s="241" t="s">
        <v>569</v>
      </c>
      <c r="D36" s="241" t="s">
        <v>569</v>
      </c>
      <c r="E36" s="221">
        <v>42993</v>
      </c>
      <c r="F36" s="221">
        <v>42993</v>
      </c>
      <c r="G36" s="241" t="s">
        <v>569</v>
      </c>
      <c r="H36" s="241" t="s">
        <v>569</v>
      </c>
      <c r="I36" s="222"/>
      <c r="J36" s="212"/>
      <c r="K36" s="201"/>
    </row>
    <row r="37" spans="1:11" x14ac:dyDescent="0.25">
      <c r="A37" s="209" t="s">
        <v>509</v>
      </c>
      <c r="B37" s="213" t="s">
        <v>192</v>
      </c>
      <c r="C37" s="241">
        <v>43774</v>
      </c>
      <c r="D37" s="241">
        <v>43830</v>
      </c>
      <c r="E37" s="221">
        <v>43054</v>
      </c>
      <c r="F37" s="221">
        <v>43305</v>
      </c>
      <c r="G37" s="241">
        <v>43774</v>
      </c>
      <c r="H37" s="241">
        <v>43830</v>
      </c>
      <c r="I37" s="222"/>
      <c r="J37" s="203"/>
      <c r="K37" s="201"/>
    </row>
    <row r="38" spans="1:11" x14ac:dyDescent="0.25">
      <c r="A38" s="211" t="s">
        <v>510</v>
      </c>
      <c r="B38" s="214" t="s">
        <v>191</v>
      </c>
      <c r="C38" s="241"/>
      <c r="D38" s="241"/>
      <c r="E38" s="221"/>
      <c r="F38" s="221"/>
      <c r="G38" s="241"/>
      <c r="H38" s="241"/>
      <c r="I38" s="222"/>
      <c r="J38" s="201"/>
      <c r="K38" s="201"/>
    </row>
    <row r="39" spans="1:11" ht="63" x14ac:dyDescent="0.25">
      <c r="A39" s="209" t="s">
        <v>512</v>
      </c>
      <c r="B39" s="213" t="s">
        <v>511</v>
      </c>
      <c r="C39" s="241">
        <v>43840</v>
      </c>
      <c r="D39" s="241">
        <v>43845</v>
      </c>
      <c r="E39" s="221">
        <v>42843</v>
      </c>
      <c r="F39" s="221">
        <v>42843</v>
      </c>
      <c r="G39" s="241">
        <v>43840</v>
      </c>
      <c r="H39" s="241">
        <v>43845</v>
      </c>
      <c r="I39" s="222"/>
      <c r="J39" s="201"/>
      <c r="K39" s="201"/>
    </row>
    <row r="40" spans="1:11" x14ac:dyDescent="0.25">
      <c r="A40" s="209" t="s">
        <v>514</v>
      </c>
      <c r="B40" s="213" t="s">
        <v>513</v>
      </c>
      <c r="C40" s="241">
        <v>43952</v>
      </c>
      <c r="D40" s="241">
        <v>45229</v>
      </c>
      <c r="E40" s="221">
        <v>43038</v>
      </c>
      <c r="F40" s="221">
        <v>43038</v>
      </c>
      <c r="G40" s="241">
        <v>43952</v>
      </c>
      <c r="H40" s="241">
        <v>45229</v>
      </c>
      <c r="I40" s="222"/>
      <c r="J40" s="201"/>
      <c r="K40" s="201"/>
    </row>
    <row r="41" spans="1:11" ht="47.25" x14ac:dyDescent="0.25">
      <c r="A41" s="209" t="s">
        <v>516</v>
      </c>
      <c r="B41" s="214" t="s">
        <v>515</v>
      </c>
      <c r="C41" s="241"/>
      <c r="D41" s="241"/>
      <c r="E41" s="221"/>
      <c r="F41" s="221"/>
      <c r="G41" s="241"/>
      <c r="H41" s="241"/>
      <c r="I41" s="222"/>
      <c r="J41" s="201"/>
      <c r="K41" s="201"/>
    </row>
    <row r="42" spans="1:11" ht="31.5" x14ac:dyDescent="0.25">
      <c r="A42" s="209" t="s">
        <v>518</v>
      </c>
      <c r="B42" s="213" t="s">
        <v>517</v>
      </c>
      <c r="C42" s="241">
        <v>43967</v>
      </c>
      <c r="D42" s="241">
        <v>43997</v>
      </c>
      <c r="E42" s="221">
        <v>43070</v>
      </c>
      <c r="F42" s="221">
        <v>43097</v>
      </c>
      <c r="G42" s="241">
        <v>43967</v>
      </c>
      <c r="H42" s="241">
        <v>43997</v>
      </c>
      <c r="I42" s="222"/>
      <c r="J42" s="201"/>
      <c r="K42" s="201"/>
    </row>
    <row r="43" spans="1:11" x14ac:dyDescent="0.25">
      <c r="A43" s="209" t="s">
        <v>519</v>
      </c>
      <c r="B43" s="213" t="s">
        <v>190</v>
      </c>
      <c r="C43" s="242">
        <v>44713</v>
      </c>
      <c r="D43" s="242">
        <v>45229</v>
      </c>
      <c r="E43" s="221">
        <v>43054</v>
      </c>
      <c r="F43" s="221">
        <v>43218</v>
      </c>
      <c r="G43" s="242">
        <v>44713</v>
      </c>
      <c r="H43" s="242">
        <v>45229</v>
      </c>
      <c r="I43" s="222"/>
      <c r="J43" s="201"/>
      <c r="K43" s="201"/>
    </row>
    <row r="44" spans="1:11" x14ac:dyDescent="0.25">
      <c r="A44" s="209" t="s">
        <v>520</v>
      </c>
      <c r="B44" s="213" t="s">
        <v>189</v>
      </c>
      <c r="C44" s="242">
        <v>44713</v>
      </c>
      <c r="D44" s="242">
        <v>45413</v>
      </c>
      <c r="E44" s="221">
        <v>43084</v>
      </c>
      <c r="F44" s="221">
        <v>43266</v>
      </c>
      <c r="G44" s="242">
        <v>44713</v>
      </c>
      <c r="H44" s="242">
        <v>45413</v>
      </c>
      <c r="I44" s="222"/>
      <c r="J44" s="201"/>
      <c r="K44" s="201"/>
    </row>
    <row r="45" spans="1:11" ht="78.75" x14ac:dyDescent="0.25">
      <c r="A45" s="209" t="s">
        <v>522</v>
      </c>
      <c r="B45" s="213" t="s">
        <v>521</v>
      </c>
      <c r="C45" s="242">
        <v>45413</v>
      </c>
      <c r="D45" s="242">
        <v>45442</v>
      </c>
      <c r="E45" s="221">
        <v>43343</v>
      </c>
      <c r="F45" s="221">
        <v>43343</v>
      </c>
      <c r="G45" s="242">
        <v>45413</v>
      </c>
      <c r="H45" s="242">
        <v>45442</v>
      </c>
      <c r="I45" s="222"/>
      <c r="J45" s="201"/>
      <c r="K45" s="201"/>
    </row>
    <row r="46" spans="1:11" ht="157.5" x14ac:dyDescent="0.25">
      <c r="A46" s="209" t="s">
        <v>524</v>
      </c>
      <c r="B46" s="213" t="s">
        <v>523</v>
      </c>
      <c r="C46" s="242" t="s">
        <v>435</v>
      </c>
      <c r="D46" s="242" t="s">
        <v>435</v>
      </c>
      <c r="E46" s="221">
        <v>43319</v>
      </c>
      <c r="F46" s="221">
        <v>43319</v>
      </c>
      <c r="G46" s="242" t="s">
        <v>435</v>
      </c>
      <c r="H46" s="242" t="s">
        <v>435</v>
      </c>
      <c r="I46" s="222"/>
      <c r="J46" s="201"/>
      <c r="K46" s="201"/>
    </row>
    <row r="47" spans="1:11" x14ac:dyDescent="0.25">
      <c r="A47" s="209" t="s">
        <v>535</v>
      </c>
      <c r="B47" s="213" t="s">
        <v>188</v>
      </c>
      <c r="C47" s="243">
        <v>45413</v>
      </c>
      <c r="D47" s="242">
        <v>45474</v>
      </c>
      <c r="E47" s="221">
        <v>43220</v>
      </c>
      <c r="F47" s="221">
        <v>43318</v>
      </c>
      <c r="G47" s="243">
        <v>45413</v>
      </c>
      <c r="H47" s="242">
        <v>45474</v>
      </c>
      <c r="I47" s="222"/>
      <c r="J47" s="201"/>
      <c r="K47" s="201"/>
    </row>
    <row r="48" spans="1:11" ht="31.5" x14ac:dyDescent="0.25">
      <c r="A48" s="209" t="s">
        <v>525</v>
      </c>
      <c r="B48" s="214" t="s">
        <v>187</v>
      </c>
      <c r="C48" s="241"/>
      <c r="D48" s="241"/>
      <c r="E48" s="221"/>
      <c r="F48" s="221"/>
      <c r="G48" s="241"/>
      <c r="H48" s="241"/>
      <c r="I48" s="222"/>
      <c r="J48" s="201"/>
      <c r="K48" s="201"/>
    </row>
    <row r="49" spans="1:11" ht="31.5" x14ac:dyDescent="0.25">
      <c r="A49" s="209" t="s">
        <v>536</v>
      </c>
      <c r="B49" s="213" t="s">
        <v>186</v>
      </c>
      <c r="C49" s="241">
        <v>45474</v>
      </c>
      <c r="D49" s="241">
        <v>45478</v>
      </c>
      <c r="E49" s="221">
        <v>43318</v>
      </c>
      <c r="F49" s="221">
        <v>43320</v>
      </c>
      <c r="G49" s="241">
        <v>45474</v>
      </c>
      <c r="H49" s="241">
        <v>45478</v>
      </c>
      <c r="I49" s="222"/>
      <c r="J49" s="201"/>
      <c r="K49" s="201"/>
    </row>
    <row r="50" spans="1:11" ht="78.75" x14ac:dyDescent="0.25">
      <c r="A50" s="211" t="s">
        <v>527</v>
      </c>
      <c r="B50" s="213" t="s">
        <v>526</v>
      </c>
      <c r="C50" s="241"/>
      <c r="D50" s="241"/>
      <c r="E50" s="221">
        <v>43343</v>
      </c>
      <c r="F50" s="221">
        <v>43343</v>
      </c>
      <c r="G50" s="241"/>
      <c r="H50" s="241"/>
      <c r="I50" s="222"/>
      <c r="J50" s="201"/>
      <c r="K50" s="201"/>
    </row>
    <row r="51" spans="1:11" ht="63" x14ac:dyDescent="0.25">
      <c r="A51" s="209" t="s">
        <v>529</v>
      </c>
      <c r="B51" s="213" t="s">
        <v>528</v>
      </c>
      <c r="C51" s="241">
        <v>45488</v>
      </c>
      <c r="D51" s="241">
        <v>45519</v>
      </c>
      <c r="E51" s="221">
        <v>43343</v>
      </c>
      <c r="F51" s="221">
        <v>43343</v>
      </c>
      <c r="G51" s="241">
        <v>45488</v>
      </c>
      <c r="H51" s="241">
        <v>45519</v>
      </c>
      <c r="I51" s="222"/>
      <c r="J51" s="201"/>
      <c r="K51" s="201"/>
    </row>
    <row r="52" spans="1:11" ht="63" x14ac:dyDescent="0.25">
      <c r="A52" s="209" t="s">
        <v>530</v>
      </c>
      <c r="B52" s="213" t="s">
        <v>185</v>
      </c>
      <c r="C52" s="241" t="s">
        <v>435</v>
      </c>
      <c r="D52" s="241" t="s">
        <v>435</v>
      </c>
      <c r="E52" s="221"/>
      <c r="F52" s="221"/>
      <c r="G52" s="241" t="s">
        <v>435</v>
      </c>
      <c r="H52" s="241" t="s">
        <v>435</v>
      </c>
      <c r="I52" s="222"/>
      <c r="J52" s="201"/>
      <c r="K52" s="201"/>
    </row>
    <row r="53" spans="1:11" ht="31.5" x14ac:dyDescent="0.25">
      <c r="A53" s="209" t="s">
        <v>532</v>
      </c>
      <c r="B53" s="213" t="s">
        <v>531</v>
      </c>
      <c r="C53" s="244">
        <v>45520</v>
      </c>
      <c r="D53" s="241">
        <v>45524</v>
      </c>
      <c r="E53" s="221">
        <v>43343</v>
      </c>
      <c r="F53" s="221">
        <v>43343</v>
      </c>
      <c r="G53" s="244">
        <v>45520</v>
      </c>
      <c r="H53" s="241">
        <v>45524</v>
      </c>
      <c r="I53" s="222"/>
      <c r="J53" s="201"/>
      <c r="K53" s="201"/>
    </row>
    <row r="54" spans="1:11" ht="31.5" x14ac:dyDescent="0.25">
      <c r="A54" s="209" t="s">
        <v>537</v>
      </c>
      <c r="B54" s="213" t="s">
        <v>184</v>
      </c>
      <c r="C54" s="244">
        <v>45519</v>
      </c>
      <c r="D54" s="241"/>
      <c r="E54" s="221">
        <v>43353</v>
      </c>
      <c r="F54" s="221">
        <v>43353</v>
      </c>
      <c r="G54" s="244">
        <v>45519</v>
      </c>
      <c r="H54" s="241"/>
      <c r="I54" s="222"/>
      <c r="J54" s="201"/>
      <c r="K54" s="201"/>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topLeftCell="A27" zoomScale="70" zoomScaleNormal="70" zoomScaleSheetLayoutView="70" workbookViewId="0">
      <selection activeCell="V34" sqref="V34"/>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5" width="19" style="44" customWidth="1"/>
    <col min="6" max="6" width="17.5703125" style="44" customWidth="1"/>
    <col min="7" max="7" width="15.85546875" style="44" customWidth="1"/>
    <col min="8" max="13" width="9.28515625" style="44" customWidth="1"/>
    <col min="14" max="14" width="11.7109375" style="44" customWidth="1"/>
    <col min="15" max="15" width="9.28515625" style="44" customWidth="1"/>
    <col min="16" max="16" width="10" style="44" customWidth="1"/>
    <col min="17" max="17" width="8" style="44" customWidth="1"/>
    <col min="18" max="19" width="8.5703125" style="44" customWidth="1"/>
    <col min="20" max="20" width="10.42578125" style="44" customWidth="1"/>
    <col min="21" max="21" width="8" style="44" customWidth="1"/>
    <col min="22" max="23" width="8.5703125" style="44" customWidth="1"/>
    <col min="24" max="24" width="9" style="44" customWidth="1"/>
    <col min="25" max="25" width="8" style="44" customWidth="1"/>
    <col min="26" max="26" width="15" style="44" customWidth="1"/>
    <col min="27" max="27" width="8.5703125" style="44" customWidth="1"/>
    <col min="28" max="28" width="13.140625" style="44" customWidth="1"/>
    <col min="29" max="29" width="18.5703125" style="44" customWidth="1"/>
    <col min="30" max="16384" width="9.140625" style="44"/>
  </cols>
  <sheetData>
    <row r="1" spans="1:29" ht="18.75" x14ac:dyDescent="0.25">
      <c r="AC1" s="398" t="s">
        <v>66</v>
      </c>
    </row>
    <row r="2" spans="1:29" ht="18.75" x14ac:dyDescent="0.3">
      <c r="AC2" s="399" t="s">
        <v>8</v>
      </c>
    </row>
    <row r="3" spans="1:29" ht="18.75" x14ac:dyDescent="0.3">
      <c r="AC3" s="399" t="s">
        <v>65</v>
      </c>
    </row>
    <row r="4" spans="1:29"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c r="AA4" s="408"/>
      <c r="AB4" s="408"/>
      <c r="AC4" s="408"/>
    </row>
    <row r="5" spans="1:29" ht="18.75" x14ac:dyDescent="0.3">
      <c r="AC5" s="399"/>
    </row>
    <row r="6" spans="1:29" ht="18.75" x14ac:dyDescent="0.25">
      <c r="A6" s="507" t="s">
        <v>7</v>
      </c>
      <c r="B6" s="507"/>
      <c r="C6" s="507"/>
      <c r="D6" s="507"/>
      <c r="E6" s="507"/>
      <c r="F6" s="507"/>
      <c r="G6" s="507"/>
      <c r="H6" s="507"/>
      <c r="I6" s="507"/>
      <c r="J6" s="507"/>
      <c r="K6" s="507"/>
      <c r="L6" s="507"/>
      <c r="M6" s="507"/>
      <c r="N6" s="507"/>
      <c r="O6" s="507"/>
      <c r="P6" s="507"/>
      <c r="Q6" s="507"/>
      <c r="R6" s="507"/>
      <c r="S6" s="507"/>
      <c r="T6" s="507"/>
      <c r="U6" s="507"/>
      <c r="V6" s="507"/>
      <c r="W6" s="507"/>
      <c r="X6" s="507"/>
      <c r="Y6" s="507"/>
      <c r="Z6" s="507"/>
      <c r="AA6" s="507"/>
      <c r="AB6" s="507"/>
      <c r="AC6" s="507"/>
    </row>
    <row r="7" spans="1:29" ht="18.75" x14ac:dyDescent="0.25">
      <c r="A7" s="400"/>
      <c r="B7" s="400"/>
      <c r="C7" s="400"/>
      <c r="D7" s="400"/>
      <c r="E7" s="400"/>
      <c r="F7" s="400"/>
      <c r="G7" s="400"/>
      <c r="H7" s="215"/>
      <c r="I7" s="215"/>
      <c r="J7" s="215"/>
      <c r="K7" s="215"/>
      <c r="L7" s="215"/>
      <c r="M7" s="215"/>
      <c r="N7" s="215"/>
      <c r="O7" s="215"/>
      <c r="P7" s="215"/>
      <c r="Q7" s="215"/>
      <c r="R7" s="215"/>
      <c r="S7" s="215"/>
      <c r="T7" s="215"/>
      <c r="U7" s="215"/>
      <c r="V7" s="215"/>
      <c r="W7" s="215"/>
      <c r="X7" s="215"/>
      <c r="Y7" s="215"/>
      <c r="Z7" s="215"/>
      <c r="AA7" s="215"/>
      <c r="AB7" s="215"/>
      <c r="AC7" s="215"/>
    </row>
    <row r="8" spans="1:29" x14ac:dyDescent="0.25">
      <c r="A8" s="508" t="s">
        <v>566</v>
      </c>
      <c r="B8" s="508"/>
      <c r="C8" s="508"/>
      <c r="D8" s="508"/>
      <c r="E8" s="508"/>
      <c r="F8" s="508"/>
      <c r="G8" s="508"/>
      <c r="H8" s="508"/>
      <c r="I8" s="508"/>
      <c r="J8" s="508"/>
      <c r="K8" s="508"/>
      <c r="L8" s="508"/>
      <c r="M8" s="508"/>
      <c r="N8" s="508"/>
      <c r="O8" s="508"/>
      <c r="P8" s="508"/>
      <c r="Q8" s="508"/>
      <c r="R8" s="508"/>
      <c r="S8" s="508"/>
      <c r="T8" s="508"/>
      <c r="U8" s="508"/>
      <c r="V8" s="508"/>
      <c r="W8" s="508"/>
      <c r="X8" s="508"/>
      <c r="Y8" s="508"/>
      <c r="Z8" s="508"/>
      <c r="AA8" s="508"/>
      <c r="AB8" s="508"/>
      <c r="AC8" s="508"/>
    </row>
    <row r="9" spans="1:29" ht="18.75" customHeight="1" x14ac:dyDescent="0.25">
      <c r="A9" s="505" t="s">
        <v>6</v>
      </c>
      <c r="B9" s="505"/>
      <c r="C9" s="505"/>
      <c r="D9" s="505"/>
      <c r="E9" s="505"/>
      <c r="F9" s="505"/>
      <c r="G9" s="505"/>
      <c r="H9" s="505"/>
      <c r="I9" s="505"/>
      <c r="J9" s="505"/>
      <c r="K9" s="505"/>
      <c r="L9" s="505"/>
      <c r="M9" s="505"/>
      <c r="N9" s="505"/>
      <c r="O9" s="505"/>
      <c r="P9" s="505"/>
      <c r="Q9" s="505"/>
      <c r="R9" s="505"/>
      <c r="S9" s="505"/>
      <c r="T9" s="505"/>
      <c r="U9" s="505"/>
      <c r="V9" s="505"/>
      <c r="W9" s="505"/>
      <c r="X9" s="505"/>
      <c r="Y9" s="505"/>
      <c r="Z9" s="505"/>
      <c r="AA9" s="505"/>
      <c r="AB9" s="505"/>
      <c r="AC9" s="505"/>
    </row>
    <row r="10" spans="1:29" ht="18.75" x14ac:dyDescent="0.25">
      <c r="A10" s="400"/>
      <c r="B10" s="400"/>
      <c r="C10" s="400"/>
      <c r="D10" s="400"/>
      <c r="E10" s="400"/>
      <c r="F10" s="400"/>
      <c r="G10" s="400"/>
      <c r="H10" s="215"/>
      <c r="I10" s="215"/>
      <c r="J10" s="215"/>
      <c r="K10" s="215"/>
      <c r="L10" s="215"/>
      <c r="M10" s="215"/>
      <c r="N10" s="215"/>
      <c r="O10" s="215"/>
      <c r="P10" s="215"/>
      <c r="Q10" s="215"/>
      <c r="R10" s="215"/>
      <c r="S10" s="215"/>
      <c r="T10" s="215"/>
      <c r="U10" s="215"/>
      <c r="V10" s="215"/>
      <c r="W10" s="215"/>
      <c r="X10" s="215"/>
      <c r="Y10" s="215"/>
      <c r="Z10" s="215"/>
      <c r="AA10" s="215"/>
      <c r="AB10" s="215"/>
      <c r="AC10" s="215"/>
    </row>
    <row r="11" spans="1:29" x14ac:dyDescent="0.25">
      <c r="A11" s="508" t="str">
        <f>'1. паспорт местоположение'!A12:C12</f>
        <v>J 19-02</v>
      </c>
      <c r="B11" s="508"/>
      <c r="C11" s="508"/>
      <c r="D11" s="508"/>
      <c r="E11" s="508"/>
      <c r="F11" s="508"/>
      <c r="G11" s="508"/>
      <c r="H11" s="508"/>
      <c r="I11" s="508"/>
      <c r="J11" s="508"/>
      <c r="K11" s="508"/>
      <c r="L11" s="508"/>
      <c r="M11" s="508"/>
      <c r="N11" s="508"/>
      <c r="O11" s="508"/>
      <c r="P11" s="508"/>
      <c r="Q11" s="508"/>
      <c r="R11" s="508"/>
      <c r="S11" s="508"/>
      <c r="T11" s="508"/>
      <c r="U11" s="508"/>
      <c r="V11" s="508"/>
      <c r="W11" s="508"/>
      <c r="X11" s="508"/>
      <c r="Y11" s="508"/>
      <c r="Z11" s="508"/>
      <c r="AA11" s="508"/>
      <c r="AB11" s="508"/>
      <c r="AC11" s="508"/>
    </row>
    <row r="12" spans="1:29" x14ac:dyDescent="0.25">
      <c r="A12" s="505" t="s">
        <v>5</v>
      </c>
      <c r="B12" s="505"/>
      <c r="C12" s="505"/>
      <c r="D12" s="505"/>
      <c r="E12" s="505"/>
      <c r="F12" s="505"/>
      <c r="G12" s="505"/>
      <c r="H12" s="505"/>
      <c r="I12" s="505"/>
      <c r="J12" s="505"/>
      <c r="K12" s="505"/>
      <c r="L12" s="505"/>
      <c r="M12" s="505"/>
      <c r="N12" s="505"/>
      <c r="O12" s="505"/>
      <c r="P12" s="505"/>
      <c r="Q12" s="505"/>
      <c r="R12" s="505"/>
      <c r="S12" s="505"/>
      <c r="T12" s="505"/>
      <c r="U12" s="505"/>
      <c r="V12" s="505"/>
      <c r="W12" s="505"/>
      <c r="X12" s="505"/>
      <c r="Y12" s="505"/>
      <c r="Z12" s="505"/>
      <c r="AA12" s="505"/>
      <c r="AB12" s="505"/>
      <c r="AC12" s="505"/>
    </row>
    <row r="13" spans="1:29" ht="16.5" customHeight="1" x14ac:dyDescent="0.3">
      <c r="A13" s="165"/>
      <c r="B13" s="165"/>
      <c r="C13" s="165"/>
      <c r="D13" s="165"/>
      <c r="E13" s="165"/>
      <c r="F13" s="165"/>
      <c r="G13" s="165"/>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504"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4" s="504"/>
      <c r="C14" s="504"/>
      <c r="D14" s="504"/>
      <c r="E14" s="504"/>
      <c r="F14" s="504"/>
      <c r="G14" s="504"/>
      <c r="H14" s="504"/>
      <c r="I14" s="504"/>
      <c r="J14" s="504"/>
      <c r="K14" s="504"/>
      <c r="L14" s="504"/>
      <c r="M14" s="504"/>
      <c r="N14" s="504"/>
      <c r="O14" s="504"/>
      <c r="P14" s="504"/>
      <c r="Q14" s="504"/>
      <c r="R14" s="504"/>
      <c r="S14" s="504"/>
      <c r="T14" s="504"/>
      <c r="U14" s="504"/>
      <c r="V14" s="504"/>
      <c r="W14" s="504"/>
      <c r="X14" s="504"/>
      <c r="Y14" s="504"/>
      <c r="Z14" s="504"/>
      <c r="AA14" s="504"/>
      <c r="AB14" s="504"/>
      <c r="AC14" s="504"/>
    </row>
    <row r="15" spans="1:29" ht="15.75" customHeight="1" x14ac:dyDescent="0.25">
      <c r="A15" s="505" t="s">
        <v>4</v>
      </c>
      <c r="B15" s="505"/>
      <c r="C15" s="505"/>
      <c r="D15" s="505"/>
      <c r="E15" s="505"/>
      <c r="F15" s="505"/>
      <c r="G15" s="505"/>
      <c r="H15" s="505"/>
      <c r="I15" s="505"/>
      <c r="J15" s="505"/>
      <c r="K15" s="505"/>
      <c r="L15" s="505"/>
      <c r="M15" s="505"/>
      <c r="N15" s="505"/>
      <c r="O15" s="505"/>
      <c r="P15" s="505"/>
      <c r="Q15" s="505"/>
      <c r="R15" s="505"/>
      <c r="S15" s="505"/>
      <c r="T15" s="505"/>
      <c r="U15" s="505"/>
      <c r="V15" s="505"/>
      <c r="W15" s="505"/>
      <c r="X15" s="505"/>
      <c r="Y15" s="505"/>
      <c r="Z15" s="505"/>
      <c r="AA15" s="505"/>
      <c r="AB15" s="505"/>
      <c r="AC15" s="505"/>
    </row>
    <row r="16" spans="1:29" x14ac:dyDescent="0.25">
      <c r="A16" s="478"/>
      <c r="B16" s="478"/>
      <c r="C16" s="478"/>
      <c r="D16" s="478"/>
      <c r="E16" s="478"/>
      <c r="F16" s="478"/>
      <c r="G16" s="478"/>
      <c r="H16" s="478"/>
      <c r="I16" s="478"/>
      <c r="J16" s="478"/>
      <c r="K16" s="478"/>
      <c r="L16" s="478"/>
      <c r="M16" s="478"/>
      <c r="N16" s="478"/>
      <c r="O16" s="478"/>
      <c r="P16" s="478"/>
      <c r="Q16" s="478"/>
      <c r="R16" s="478"/>
      <c r="S16" s="478"/>
      <c r="T16" s="478"/>
      <c r="U16" s="478"/>
      <c r="V16" s="478"/>
      <c r="W16" s="478"/>
      <c r="X16" s="478"/>
      <c r="Y16" s="478"/>
      <c r="Z16" s="478"/>
      <c r="AA16" s="478"/>
      <c r="AB16" s="478"/>
      <c r="AC16" s="478"/>
    </row>
    <row r="17" spans="1:32" x14ac:dyDescent="0.25">
      <c r="P17" s="239"/>
    </row>
    <row r="18" spans="1:32" ht="48" customHeight="1" x14ac:dyDescent="0.25">
      <c r="A18" s="480" t="s">
        <v>392</v>
      </c>
      <c r="B18" s="480"/>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0"/>
      <c r="AB18" s="480"/>
      <c r="AC18" s="480"/>
    </row>
    <row r="19" spans="1:32" ht="49.5" hidden="1" customHeight="1" x14ac:dyDescent="0.25">
      <c r="E19" s="64" t="s">
        <v>574</v>
      </c>
      <c r="F19" s="64" t="s">
        <v>575</v>
      </c>
      <c r="G19" s="64" t="s">
        <v>576</v>
      </c>
      <c r="H19" s="44" t="s">
        <v>577</v>
      </c>
      <c r="L19" s="44" t="s">
        <v>578</v>
      </c>
      <c r="P19" s="44" t="s">
        <v>579</v>
      </c>
    </row>
    <row r="20" spans="1:32" ht="33" customHeight="1" x14ac:dyDescent="0.25">
      <c r="A20" s="468" t="s">
        <v>183</v>
      </c>
      <c r="B20" s="468" t="s">
        <v>182</v>
      </c>
      <c r="C20" s="473" t="s">
        <v>181</v>
      </c>
      <c r="D20" s="473"/>
      <c r="E20" s="506" t="s">
        <v>180</v>
      </c>
      <c r="F20" s="506"/>
      <c r="G20" s="468" t="s">
        <v>637</v>
      </c>
      <c r="H20" s="471">
        <v>2020</v>
      </c>
      <c r="I20" s="472"/>
      <c r="J20" s="472"/>
      <c r="K20" s="503"/>
      <c r="L20" s="471">
        <v>2021</v>
      </c>
      <c r="M20" s="472"/>
      <c r="N20" s="472"/>
      <c r="O20" s="503"/>
      <c r="P20" s="471">
        <v>2022</v>
      </c>
      <c r="Q20" s="472"/>
      <c r="R20" s="472"/>
      <c r="S20" s="503"/>
      <c r="T20" s="471">
        <v>2023</v>
      </c>
      <c r="U20" s="472"/>
      <c r="V20" s="472"/>
      <c r="W20" s="503"/>
      <c r="X20" s="471">
        <v>2024</v>
      </c>
      <c r="Y20" s="472"/>
      <c r="Z20" s="472"/>
      <c r="AA20" s="472"/>
      <c r="AB20" s="481" t="s">
        <v>179</v>
      </c>
      <c r="AC20" s="481"/>
      <c r="AD20" s="401"/>
      <c r="AE20" s="401"/>
      <c r="AF20" s="401"/>
    </row>
    <row r="21" spans="1:32" ht="99.75" customHeight="1" x14ac:dyDescent="0.25">
      <c r="A21" s="469"/>
      <c r="B21" s="469"/>
      <c r="C21" s="473"/>
      <c r="D21" s="473"/>
      <c r="E21" s="506"/>
      <c r="F21" s="506"/>
      <c r="G21" s="469"/>
      <c r="H21" s="473" t="s">
        <v>659</v>
      </c>
      <c r="I21" s="473"/>
      <c r="J21" s="473" t="s">
        <v>636</v>
      </c>
      <c r="K21" s="473"/>
      <c r="L21" s="473" t="s">
        <v>659</v>
      </c>
      <c r="M21" s="473"/>
      <c r="N21" s="473" t="s">
        <v>663</v>
      </c>
      <c r="O21" s="473"/>
      <c r="P21" s="473" t="s">
        <v>659</v>
      </c>
      <c r="Q21" s="473"/>
      <c r="R21" s="473" t="s">
        <v>178</v>
      </c>
      <c r="S21" s="473"/>
      <c r="T21" s="473" t="s">
        <v>659</v>
      </c>
      <c r="U21" s="473"/>
      <c r="V21" s="473" t="s">
        <v>178</v>
      </c>
      <c r="W21" s="473"/>
      <c r="X21" s="473" t="s">
        <v>659</v>
      </c>
      <c r="Y21" s="473"/>
      <c r="Z21" s="473" t="s">
        <v>178</v>
      </c>
      <c r="AA21" s="473"/>
      <c r="AB21" s="481"/>
      <c r="AC21" s="481"/>
    </row>
    <row r="22" spans="1:32" ht="89.25" customHeight="1" x14ac:dyDescent="0.25">
      <c r="A22" s="470"/>
      <c r="B22" s="470"/>
      <c r="C22" s="395" t="s">
        <v>658</v>
      </c>
      <c r="D22" s="395" t="s">
        <v>178</v>
      </c>
      <c r="E22" s="64" t="s">
        <v>567</v>
      </c>
      <c r="F22" s="64" t="s">
        <v>662</v>
      </c>
      <c r="G22" s="470"/>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395" t="s">
        <v>660</v>
      </c>
      <c r="AC22" s="395" t="s">
        <v>541</v>
      </c>
    </row>
    <row r="23" spans="1:32" ht="19.5" customHeight="1" x14ac:dyDescent="0.25">
      <c r="A23" s="396">
        <v>1</v>
      </c>
      <c r="B23" s="396">
        <v>2</v>
      </c>
      <c r="C23" s="396">
        <v>3</v>
      </c>
      <c r="D23" s="396">
        <v>4</v>
      </c>
      <c r="E23" s="396">
        <v>5</v>
      </c>
      <c r="F23" s="396">
        <v>6</v>
      </c>
      <c r="G23" s="396">
        <v>7</v>
      </c>
      <c r="H23" s="396">
        <v>8</v>
      </c>
      <c r="I23" s="396">
        <v>9</v>
      </c>
      <c r="J23" s="396">
        <v>10</v>
      </c>
      <c r="K23" s="396">
        <v>11</v>
      </c>
      <c r="L23" s="396">
        <v>12</v>
      </c>
      <c r="M23" s="396">
        <v>13</v>
      </c>
      <c r="N23" s="396">
        <v>14</v>
      </c>
      <c r="O23" s="396">
        <v>15</v>
      </c>
      <c r="P23" s="396">
        <v>16</v>
      </c>
      <c r="Q23" s="396">
        <v>17</v>
      </c>
      <c r="R23" s="396">
        <v>18</v>
      </c>
      <c r="S23" s="396">
        <v>19</v>
      </c>
      <c r="T23" s="396">
        <v>20</v>
      </c>
      <c r="U23" s="396">
        <v>21</v>
      </c>
      <c r="V23" s="396">
        <v>22</v>
      </c>
      <c r="W23" s="396">
        <v>23</v>
      </c>
      <c r="X23" s="396">
        <v>24</v>
      </c>
      <c r="Y23" s="396">
        <v>25</v>
      </c>
      <c r="Z23" s="396">
        <v>26</v>
      </c>
      <c r="AA23" s="396">
        <v>27</v>
      </c>
      <c r="AB23" s="396">
        <v>28</v>
      </c>
      <c r="AC23" s="396">
        <v>29</v>
      </c>
    </row>
    <row r="24" spans="1:32" ht="47.25" customHeight="1" x14ac:dyDescent="0.25">
      <c r="A24" s="60">
        <v>1</v>
      </c>
      <c r="B24" s="59" t="s">
        <v>177</v>
      </c>
      <c r="C24" s="120">
        <v>341.65587945394435</v>
      </c>
      <c r="D24" s="120">
        <f>SUM(D25:D29)</f>
        <v>341.65587945394435</v>
      </c>
      <c r="E24" s="120">
        <v>341.65587945394435</v>
      </c>
      <c r="F24" s="120">
        <f>SUM(F25:F29)</f>
        <v>334.15587945394435</v>
      </c>
      <c r="G24" s="120">
        <v>0</v>
      </c>
      <c r="H24" s="120">
        <v>0</v>
      </c>
      <c r="I24" s="120" t="s">
        <v>542</v>
      </c>
      <c r="J24" s="120">
        <v>0</v>
      </c>
      <c r="K24" s="120" t="s">
        <v>542</v>
      </c>
      <c r="L24" s="120">
        <v>3</v>
      </c>
      <c r="M24" s="120">
        <v>0</v>
      </c>
      <c r="N24" s="120">
        <f>SUM(N25:N29)</f>
        <v>7.5936019999999997</v>
      </c>
      <c r="O24" s="120">
        <v>0</v>
      </c>
      <c r="P24" s="120">
        <v>108.97796</v>
      </c>
      <c r="Q24" s="120">
        <v>0</v>
      </c>
      <c r="R24" s="404">
        <f>R25+R26+R27+R28+R29</f>
        <v>25</v>
      </c>
      <c r="S24" s="120">
        <v>0</v>
      </c>
      <c r="T24" s="120">
        <v>96.805458884757812</v>
      </c>
      <c r="U24" s="120">
        <v>0</v>
      </c>
      <c r="V24" s="120">
        <v>96.805458884757812</v>
      </c>
      <c r="W24" s="120">
        <v>0</v>
      </c>
      <c r="X24" s="120">
        <v>132.87246056918656</v>
      </c>
      <c r="Y24" s="120">
        <v>0</v>
      </c>
      <c r="Z24" s="120">
        <f>D24-J24-N24-R24-V24</f>
        <v>212.25681856918658</v>
      </c>
      <c r="AA24" s="120">
        <v>0</v>
      </c>
      <c r="AB24" s="120">
        <v>341.65587945394435</v>
      </c>
      <c r="AC24" s="120">
        <f>SUM(Z24,V24,R24,N24,J24)</f>
        <v>341.65587945394435</v>
      </c>
    </row>
    <row r="25" spans="1:32" ht="24" customHeight="1" x14ac:dyDescent="0.25">
      <c r="A25" s="57" t="s">
        <v>176</v>
      </c>
      <c r="B25" s="33" t="s">
        <v>175</v>
      </c>
      <c r="C25" s="120">
        <v>0</v>
      </c>
      <c r="D25" s="120">
        <v>0</v>
      </c>
      <c r="E25" s="120">
        <v>0</v>
      </c>
      <c r="F25" s="120">
        <v>0</v>
      </c>
      <c r="G25" s="122">
        <v>0</v>
      </c>
      <c r="H25" s="120">
        <v>0</v>
      </c>
      <c r="I25" s="122" t="s">
        <v>542</v>
      </c>
      <c r="J25" s="120">
        <v>0</v>
      </c>
      <c r="K25" s="122" t="s">
        <v>542</v>
      </c>
      <c r="L25" s="120">
        <v>0</v>
      </c>
      <c r="M25" s="122">
        <v>0</v>
      </c>
      <c r="N25" s="120">
        <v>0</v>
      </c>
      <c r="O25" s="122">
        <v>0</v>
      </c>
      <c r="P25" s="120">
        <v>0</v>
      </c>
      <c r="Q25" s="120">
        <v>0</v>
      </c>
      <c r="R25" s="404">
        <v>0</v>
      </c>
      <c r="S25" s="120">
        <v>0</v>
      </c>
      <c r="T25" s="120">
        <v>0</v>
      </c>
      <c r="U25" s="120">
        <v>0</v>
      </c>
      <c r="V25" s="120">
        <v>0</v>
      </c>
      <c r="W25" s="120">
        <v>0</v>
      </c>
      <c r="X25" s="120">
        <v>0</v>
      </c>
      <c r="Y25" s="120">
        <v>0</v>
      </c>
      <c r="Z25" s="120">
        <f t="shared" ref="Z25:Z26" si="0">D25-J25-N25-R25-V25</f>
        <v>0</v>
      </c>
      <c r="AA25" s="120">
        <v>0</v>
      </c>
      <c r="AB25" s="120">
        <v>0</v>
      </c>
      <c r="AC25" s="120">
        <f t="shared" ref="AC25:AC64" si="1">SUM(Z25,V25,R25,N25,J25)</f>
        <v>0</v>
      </c>
    </row>
    <row r="26" spans="1:32" x14ac:dyDescent="0.25">
      <c r="A26" s="57" t="s">
        <v>174</v>
      </c>
      <c r="B26" s="33" t="s">
        <v>173</v>
      </c>
      <c r="C26" s="120">
        <v>0</v>
      </c>
      <c r="D26" s="120">
        <v>0</v>
      </c>
      <c r="E26" s="120">
        <v>0</v>
      </c>
      <c r="F26" s="120">
        <v>0</v>
      </c>
      <c r="G26" s="122">
        <v>0</v>
      </c>
      <c r="H26" s="120">
        <v>0</v>
      </c>
      <c r="I26" s="122" t="s">
        <v>542</v>
      </c>
      <c r="J26" s="120">
        <v>0</v>
      </c>
      <c r="K26" s="122" t="s">
        <v>542</v>
      </c>
      <c r="L26" s="120">
        <v>0</v>
      </c>
      <c r="M26" s="122">
        <v>0</v>
      </c>
      <c r="N26" s="120">
        <v>0</v>
      </c>
      <c r="O26" s="122">
        <v>0</v>
      </c>
      <c r="P26" s="120">
        <v>0</v>
      </c>
      <c r="Q26" s="120">
        <v>0</v>
      </c>
      <c r="R26" s="404">
        <v>0</v>
      </c>
      <c r="S26" s="120">
        <v>0</v>
      </c>
      <c r="T26" s="120">
        <v>0</v>
      </c>
      <c r="U26" s="120">
        <v>0</v>
      </c>
      <c r="V26" s="120">
        <v>0</v>
      </c>
      <c r="W26" s="120">
        <v>0</v>
      </c>
      <c r="X26" s="120">
        <v>0</v>
      </c>
      <c r="Y26" s="120">
        <v>0</v>
      </c>
      <c r="Z26" s="120">
        <f t="shared" si="0"/>
        <v>0</v>
      </c>
      <c r="AA26" s="120">
        <v>0</v>
      </c>
      <c r="AB26" s="120">
        <v>0</v>
      </c>
      <c r="AC26" s="120">
        <f t="shared" si="1"/>
        <v>0</v>
      </c>
    </row>
    <row r="27" spans="1:32" ht="31.5" x14ac:dyDescent="0.25">
      <c r="A27" s="57" t="s">
        <v>172</v>
      </c>
      <c r="B27" s="33" t="s">
        <v>356</v>
      </c>
      <c r="C27" s="120">
        <v>7.5</v>
      </c>
      <c r="D27" s="120">
        <v>7.5</v>
      </c>
      <c r="E27" s="120">
        <v>7.5</v>
      </c>
      <c r="F27" s="120">
        <f>F31*1.2</f>
        <v>0</v>
      </c>
      <c r="G27" s="122">
        <v>0</v>
      </c>
      <c r="H27" s="120">
        <v>0</v>
      </c>
      <c r="I27" s="122" t="s">
        <v>542</v>
      </c>
      <c r="J27" s="120">
        <v>0</v>
      </c>
      <c r="K27" s="122" t="s">
        <v>542</v>
      </c>
      <c r="L27" s="120">
        <v>3</v>
      </c>
      <c r="M27" s="122">
        <v>0</v>
      </c>
      <c r="N27" s="543">
        <v>0</v>
      </c>
      <c r="O27" s="122">
        <v>0</v>
      </c>
      <c r="P27" s="120">
        <v>0</v>
      </c>
      <c r="Q27" s="120">
        <v>0</v>
      </c>
      <c r="R27" s="404">
        <v>0</v>
      </c>
      <c r="S27" s="120">
        <v>0</v>
      </c>
      <c r="T27" s="120">
        <v>0</v>
      </c>
      <c r="U27" s="120">
        <v>0</v>
      </c>
      <c r="V27" s="120">
        <v>0</v>
      </c>
      <c r="W27" s="120">
        <v>0</v>
      </c>
      <c r="X27" s="120">
        <v>4.5</v>
      </c>
      <c r="Y27" s="120">
        <v>0</v>
      </c>
      <c r="Z27" s="120">
        <f>D27-J27-N27-R27-V27</f>
        <v>7.5</v>
      </c>
      <c r="AA27" s="120">
        <v>0</v>
      </c>
      <c r="AB27" s="120">
        <v>7.5</v>
      </c>
      <c r="AC27" s="120">
        <f>SUM(Z27,V27,R27,N27,J27)</f>
        <v>7.5</v>
      </c>
      <c r="AE27" s="403"/>
    </row>
    <row r="28" spans="1:32" x14ac:dyDescent="0.25">
      <c r="A28" s="57" t="s">
        <v>171</v>
      </c>
      <c r="B28" s="33" t="s">
        <v>543</v>
      </c>
      <c r="C28" s="120">
        <v>334.15587945394435</v>
      </c>
      <c r="D28" s="120">
        <v>334.15587945394435</v>
      </c>
      <c r="E28" s="120">
        <v>334.15587945394435</v>
      </c>
      <c r="F28" s="120">
        <v>334.15587945394435</v>
      </c>
      <c r="G28" s="122">
        <v>0</v>
      </c>
      <c r="H28" s="120">
        <v>0</v>
      </c>
      <c r="I28" s="122" t="s">
        <v>542</v>
      </c>
      <c r="J28" s="120">
        <v>9.3602000000000005E-2</v>
      </c>
      <c r="K28" s="122" t="s">
        <v>542</v>
      </c>
      <c r="L28" s="120">
        <v>0</v>
      </c>
      <c r="M28" s="122">
        <v>0</v>
      </c>
      <c r="N28" s="543">
        <v>7.5936019999999997</v>
      </c>
      <c r="O28" s="122">
        <v>0</v>
      </c>
      <c r="P28" s="120">
        <v>108.97796</v>
      </c>
      <c r="Q28" s="120">
        <v>0</v>
      </c>
      <c r="R28" s="404">
        <v>25</v>
      </c>
      <c r="S28" s="120">
        <v>0</v>
      </c>
      <c r="T28" s="120">
        <v>96.805458884757812</v>
      </c>
      <c r="U28" s="120">
        <v>0</v>
      </c>
      <c r="V28" s="120">
        <v>96.805458884757812</v>
      </c>
      <c r="W28" s="120">
        <v>0</v>
      </c>
      <c r="X28" s="120">
        <v>128.37246056918656</v>
      </c>
      <c r="Y28" s="120">
        <v>0</v>
      </c>
      <c r="Z28" s="120">
        <f>D28-J28-N28-R28-V28</f>
        <v>204.6632165691866</v>
      </c>
      <c r="AA28" s="120">
        <v>0</v>
      </c>
      <c r="AB28" s="120">
        <v>334.15587945394435</v>
      </c>
      <c r="AC28" s="120">
        <f>SUM(Z28,V28,R28,N28,J28)</f>
        <v>334.15587945394435</v>
      </c>
    </row>
    <row r="29" spans="1:32" x14ac:dyDescent="0.25">
      <c r="A29" s="57" t="s">
        <v>169</v>
      </c>
      <c r="B29" s="61" t="s">
        <v>168</v>
      </c>
      <c r="C29" s="120">
        <v>0</v>
      </c>
      <c r="D29" s="120">
        <v>0</v>
      </c>
      <c r="E29" s="120">
        <v>0</v>
      </c>
      <c r="F29" s="120">
        <v>0</v>
      </c>
      <c r="G29" s="122">
        <v>0</v>
      </c>
      <c r="H29" s="120">
        <v>0</v>
      </c>
      <c r="I29" s="122" t="s">
        <v>542</v>
      </c>
      <c r="J29" s="120">
        <v>0</v>
      </c>
      <c r="K29" s="122" t="s">
        <v>542</v>
      </c>
      <c r="L29" s="120">
        <v>0</v>
      </c>
      <c r="M29" s="122">
        <v>0</v>
      </c>
      <c r="N29" s="120">
        <v>0</v>
      </c>
      <c r="O29" s="122">
        <v>0</v>
      </c>
      <c r="P29" s="120">
        <v>0</v>
      </c>
      <c r="Q29" s="120">
        <v>0</v>
      </c>
      <c r="R29" s="404">
        <v>0</v>
      </c>
      <c r="S29" s="120">
        <v>0</v>
      </c>
      <c r="T29" s="120">
        <v>0</v>
      </c>
      <c r="U29" s="120">
        <v>0</v>
      </c>
      <c r="V29" s="120">
        <v>0</v>
      </c>
      <c r="W29" s="120">
        <v>0</v>
      </c>
      <c r="X29" s="120">
        <v>0</v>
      </c>
      <c r="Y29" s="120">
        <v>0</v>
      </c>
      <c r="Z29" s="120">
        <f t="shared" ref="Z29:Z64" si="2">D29-J29-N29-R29-V29</f>
        <v>0</v>
      </c>
      <c r="AA29" s="120">
        <v>0</v>
      </c>
      <c r="AB29" s="120">
        <v>0</v>
      </c>
      <c r="AC29" s="120">
        <f t="shared" si="1"/>
        <v>0</v>
      </c>
    </row>
    <row r="30" spans="1:32" s="402" customFormat="1" ht="47.25" x14ac:dyDescent="0.25">
      <c r="A30" s="60" t="s">
        <v>61</v>
      </c>
      <c r="B30" s="59" t="s">
        <v>167</v>
      </c>
      <c r="C30" s="120">
        <v>284.71323287828699</v>
      </c>
      <c r="D30" s="120">
        <v>284.71323287828699</v>
      </c>
      <c r="E30" s="120">
        <v>284.71323287828699</v>
      </c>
      <c r="F30" s="120">
        <f>SUM(F31:F34)</f>
        <v>278.46323287828693</v>
      </c>
      <c r="G30" s="120">
        <v>0</v>
      </c>
      <c r="H30" s="120">
        <v>0</v>
      </c>
      <c r="I30" s="120" t="s">
        <v>542</v>
      </c>
      <c r="J30" s="120">
        <v>9.3602000000000005E-2</v>
      </c>
      <c r="K30" s="120" t="s">
        <v>542</v>
      </c>
      <c r="L30" s="120">
        <v>2.5</v>
      </c>
      <c r="M30" s="120">
        <v>0</v>
      </c>
      <c r="N30" s="120">
        <v>6.3436019999999997</v>
      </c>
      <c r="O30" s="120">
        <v>0</v>
      </c>
      <c r="P30" s="120">
        <v>90.814966666666663</v>
      </c>
      <c r="Q30" s="120">
        <v>0</v>
      </c>
      <c r="R30" s="404">
        <f>R31+R32+R33+R34</f>
        <v>20.8333333333333</v>
      </c>
      <c r="S30" s="120">
        <v>0</v>
      </c>
      <c r="T30" s="120">
        <v>80.671215737298184</v>
      </c>
      <c r="U30" s="120">
        <v>0</v>
      </c>
      <c r="V30" s="120">
        <v>80.671215737298184</v>
      </c>
      <c r="W30" s="120">
        <v>0</v>
      </c>
      <c r="X30" s="120">
        <v>110.72705047432214</v>
      </c>
      <c r="Y30" s="120">
        <v>0</v>
      </c>
      <c r="Z30" s="120">
        <f>D30-J30-N30-R30-V30</f>
        <v>176.77147980765554</v>
      </c>
      <c r="AA30" s="120">
        <v>0</v>
      </c>
      <c r="AB30" s="120">
        <v>284.71323287828699</v>
      </c>
      <c r="AC30" s="120">
        <f>SUM(Z30,V30,R30,N30,J30)</f>
        <v>284.71323287828699</v>
      </c>
    </row>
    <row r="31" spans="1:32" x14ac:dyDescent="0.25">
      <c r="A31" s="60" t="s">
        <v>166</v>
      </c>
      <c r="B31" s="33" t="s">
        <v>165</v>
      </c>
      <c r="C31" s="120">
        <v>6.25</v>
      </c>
      <c r="D31" s="120">
        <f>7.5/1.2</f>
        <v>6.25</v>
      </c>
      <c r="E31" s="120">
        <v>6.25</v>
      </c>
      <c r="F31" s="120">
        <f>6.25-N31</f>
        <v>0</v>
      </c>
      <c r="G31" s="122">
        <v>0</v>
      </c>
      <c r="H31" s="120">
        <v>0</v>
      </c>
      <c r="I31" s="122" t="s">
        <v>542</v>
      </c>
      <c r="J31" s="120">
        <v>0</v>
      </c>
      <c r="K31" s="122" t="s">
        <v>542</v>
      </c>
      <c r="L31" s="120">
        <v>2.5</v>
      </c>
      <c r="M31" s="122">
        <v>0</v>
      </c>
      <c r="N31" s="120">
        <f>D31</f>
        <v>6.25</v>
      </c>
      <c r="O31" s="122">
        <v>0</v>
      </c>
      <c r="P31" s="120">
        <v>0</v>
      </c>
      <c r="Q31" s="120">
        <v>0</v>
      </c>
      <c r="R31" s="404">
        <v>0</v>
      </c>
      <c r="S31" s="120">
        <v>0</v>
      </c>
      <c r="T31" s="120">
        <v>0</v>
      </c>
      <c r="U31" s="120">
        <v>0</v>
      </c>
      <c r="V31" s="120">
        <v>0</v>
      </c>
      <c r="W31" s="120">
        <v>0</v>
      </c>
      <c r="X31" s="120">
        <v>3.75</v>
      </c>
      <c r="Y31" s="120">
        <v>0</v>
      </c>
      <c r="Z31" s="120">
        <f t="shared" si="2"/>
        <v>0</v>
      </c>
      <c r="AA31" s="120">
        <v>0</v>
      </c>
      <c r="AB31" s="120">
        <v>6.25</v>
      </c>
      <c r="AC31" s="120">
        <f t="shared" si="1"/>
        <v>6.25</v>
      </c>
      <c r="AD31" s="544"/>
    </row>
    <row r="32" spans="1:32" ht="31.5" x14ac:dyDescent="0.25">
      <c r="A32" s="60" t="s">
        <v>164</v>
      </c>
      <c r="B32" s="33" t="s">
        <v>163</v>
      </c>
      <c r="C32" s="120">
        <v>66.938218036960507</v>
      </c>
      <c r="D32" s="120">
        <v>66.938218036960507</v>
      </c>
      <c r="E32" s="120">
        <v>66.938218036960507</v>
      </c>
      <c r="F32" s="120">
        <v>66.938218036960507</v>
      </c>
      <c r="G32" s="122">
        <v>0</v>
      </c>
      <c r="H32" s="120">
        <v>0</v>
      </c>
      <c r="I32" s="122" t="s">
        <v>542</v>
      </c>
      <c r="J32" s="120">
        <v>0</v>
      </c>
      <c r="K32" s="122" t="s">
        <v>542</v>
      </c>
      <c r="L32" s="120">
        <v>0</v>
      </c>
      <c r="M32" s="122">
        <v>0</v>
      </c>
      <c r="N32" s="120">
        <v>0</v>
      </c>
      <c r="O32" s="122">
        <v>0</v>
      </c>
      <c r="P32" s="120">
        <v>20.354633333333336</v>
      </c>
      <c r="Q32" s="120">
        <v>0</v>
      </c>
      <c r="R32" s="404">
        <f>20.3546333333333-R33</f>
        <v>6.3546333333333003</v>
      </c>
      <c r="S32" s="120">
        <v>0</v>
      </c>
      <c r="T32" s="120">
        <v>13.791333333333322</v>
      </c>
      <c r="U32" s="120">
        <v>0</v>
      </c>
      <c r="V32" s="120">
        <v>13.791333333333322</v>
      </c>
      <c r="W32" s="120">
        <v>0</v>
      </c>
      <c r="X32" s="120">
        <v>32.792251370293847</v>
      </c>
      <c r="Y32" s="120">
        <v>0</v>
      </c>
      <c r="Z32" s="120">
        <f>D32-J32-N32-R32-V32</f>
        <v>46.79225137029389</v>
      </c>
      <c r="AA32" s="120">
        <v>0</v>
      </c>
      <c r="AB32" s="120">
        <v>66.938218036960507</v>
      </c>
      <c r="AC32" s="120">
        <f t="shared" si="1"/>
        <v>66.938218036960507</v>
      </c>
    </row>
    <row r="33" spans="1:29" x14ac:dyDescent="0.25">
      <c r="A33" s="60" t="s">
        <v>162</v>
      </c>
      <c r="B33" s="33" t="s">
        <v>161</v>
      </c>
      <c r="C33" s="120">
        <v>198.43246577069488</v>
      </c>
      <c r="D33" s="120">
        <v>198.43246577069488</v>
      </c>
      <c r="E33" s="120">
        <v>198.43246577069488</v>
      </c>
      <c r="F33" s="120">
        <v>198.43246577069488</v>
      </c>
      <c r="G33" s="122">
        <v>0</v>
      </c>
      <c r="H33" s="120">
        <v>0</v>
      </c>
      <c r="I33" s="122" t="s">
        <v>542</v>
      </c>
      <c r="J33" s="120">
        <v>0</v>
      </c>
      <c r="K33" s="122" t="s">
        <v>542</v>
      </c>
      <c r="L33" s="120">
        <v>0</v>
      </c>
      <c r="M33" s="122">
        <v>0</v>
      </c>
      <c r="N33" s="120">
        <v>0</v>
      </c>
      <c r="O33" s="122">
        <v>0</v>
      </c>
      <c r="P33" s="120">
        <v>66.143999999999991</v>
      </c>
      <c r="Q33" s="120">
        <v>0</v>
      </c>
      <c r="R33" s="404">
        <v>14</v>
      </c>
      <c r="S33" s="120">
        <v>0</v>
      </c>
      <c r="T33" s="120">
        <v>65.42</v>
      </c>
      <c r="U33" s="120">
        <v>0</v>
      </c>
      <c r="V33" s="120">
        <v>65.42</v>
      </c>
      <c r="W33" s="120">
        <v>0</v>
      </c>
      <c r="X33" s="120">
        <v>66.868465770694868</v>
      </c>
      <c r="Y33" s="120">
        <v>0</v>
      </c>
      <c r="Z33" s="120">
        <f t="shared" si="2"/>
        <v>119.01246577069487</v>
      </c>
      <c r="AA33" s="120">
        <v>0</v>
      </c>
      <c r="AB33" s="120">
        <v>198.43246577069488</v>
      </c>
      <c r="AC33" s="120">
        <f t="shared" si="1"/>
        <v>198.43246577069488</v>
      </c>
    </row>
    <row r="34" spans="1:29" x14ac:dyDescent="0.25">
      <c r="A34" s="60" t="s">
        <v>160</v>
      </c>
      <c r="B34" s="33" t="s">
        <v>159</v>
      </c>
      <c r="C34" s="120">
        <v>13.09254907063152</v>
      </c>
      <c r="D34" s="120">
        <v>13.09254907063152</v>
      </c>
      <c r="E34" s="120">
        <v>13.09254907063152</v>
      </c>
      <c r="F34" s="120">
        <v>13.09254907063152</v>
      </c>
      <c r="G34" s="122">
        <v>0</v>
      </c>
      <c r="H34" s="120">
        <v>0</v>
      </c>
      <c r="I34" s="122" t="s">
        <v>542</v>
      </c>
      <c r="J34" s="120">
        <v>9.3602000000000005E-2</v>
      </c>
      <c r="K34" s="122" t="s">
        <v>542</v>
      </c>
      <c r="L34" s="120">
        <v>0</v>
      </c>
      <c r="M34" s="122">
        <v>0</v>
      </c>
      <c r="N34" s="120">
        <f>N30-N31</f>
        <v>9.3601999999999741E-2</v>
      </c>
      <c r="O34" s="122">
        <v>0</v>
      </c>
      <c r="P34" s="120">
        <v>4.3163333333333336</v>
      </c>
      <c r="Q34" s="120">
        <v>0</v>
      </c>
      <c r="R34" s="404">
        <v>0.4786999999999999</v>
      </c>
      <c r="S34" s="120">
        <v>0</v>
      </c>
      <c r="T34" s="120">
        <v>1.4598824039648539</v>
      </c>
      <c r="U34" s="120">
        <v>0</v>
      </c>
      <c r="V34" s="120">
        <v>1.4598824039648539</v>
      </c>
      <c r="W34" s="120">
        <v>0</v>
      </c>
      <c r="X34" s="120">
        <v>7.3163333333333336</v>
      </c>
      <c r="Y34" s="120">
        <v>0</v>
      </c>
      <c r="Z34" s="120">
        <f t="shared" si="2"/>
        <v>10.966762666666664</v>
      </c>
      <c r="AA34" s="120">
        <v>0</v>
      </c>
      <c r="AB34" s="120">
        <v>13.09254907063152</v>
      </c>
      <c r="AC34" s="120">
        <f t="shared" si="1"/>
        <v>13.09254907063152</v>
      </c>
    </row>
    <row r="35" spans="1:29" s="402" customFormat="1" ht="31.5" x14ac:dyDescent="0.25">
      <c r="A35" s="60" t="s">
        <v>60</v>
      </c>
      <c r="B35" s="59" t="s">
        <v>158</v>
      </c>
      <c r="C35" s="120">
        <v>0</v>
      </c>
      <c r="D35" s="120">
        <v>0</v>
      </c>
      <c r="E35" s="120">
        <v>0</v>
      </c>
      <c r="F35" s="120">
        <v>0</v>
      </c>
      <c r="G35" s="122">
        <v>0</v>
      </c>
      <c r="H35" s="120">
        <v>0</v>
      </c>
      <c r="I35" s="120" t="s">
        <v>542</v>
      </c>
      <c r="J35" s="120">
        <v>0</v>
      </c>
      <c r="K35" s="120" t="s">
        <v>542</v>
      </c>
      <c r="L35" s="120">
        <v>0</v>
      </c>
      <c r="M35" s="120">
        <v>0</v>
      </c>
      <c r="N35" s="120">
        <v>0</v>
      </c>
      <c r="O35" s="120">
        <v>0</v>
      </c>
      <c r="P35" s="120">
        <v>0</v>
      </c>
      <c r="Q35" s="120">
        <v>0</v>
      </c>
      <c r="R35" s="404">
        <v>0</v>
      </c>
      <c r="S35" s="120">
        <v>0</v>
      </c>
      <c r="T35" s="120">
        <v>0</v>
      </c>
      <c r="U35" s="120">
        <v>0</v>
      </c>
      <c r="V35" s="120">
        <v>0</v>
      </c>
      <c r="W35" s="120">
        <v>0</v>
      </c>
      <c r="X35" s="120">
        <v>0</v>
      </c>
      <c r="Y35" s="120">
        <v>0</v>
      </c>
      <c r="Z35" s="120">
        <f t="shared" si="2"/>
        <v>0</v>
      </c>
      <c r="AA35" s="120">
        <v>0</v>
      </c>
      <c r="AB35" s="120">
        <v>0</v>
      </c>
      <c r="AC35" s="120">
        <f t="shared" si="1"/>
        <v>0</v>
      </c>
    </row>
    <row r="36" spans="1:29" ht="31.5" x14ac:dyDescent="0.25">
      <c r="A36" s="57" t="s">
        <v>157</v>
      </c>
      <c r="B36" s="216" t="s">
        <v>156</v>
      </c>
      <c r="C36" s="120">
        <v>0</v>
      </c>
      <c r="D36" s="120">
        <v>0</v>
      </c>
      <c r="E36" s="120">
        <v>0</v>
      </c>
      <c r="F36" s="120">
        <v>0</v>
      </c>
      <c r="G36" s="122">
        <v>0</v>
      </c>
      <c r="H36" s="120">
        <v>0</v>
      </c>
      <c r="I36" s="122" t="s">
        <v>542</v>
      </c>
      <c r="J36" s="120">
        <v>0</v>
      </c>
      <c r="K36" s="122" t="s">
        <v>542</v>
      </c>
      <c r="L36" s="120">
        <v>0</v>
      </c>
      <c r="M36" s="122">
        <v>0</v>
      </c>
      <c r="N36" s="120">
        <v>0</v>
      </c>
      <c r="O36" s="122">
        <v>0</v>
      </c>
      <c r="P36" s="120">
        <v>0</v>
      </c>
      <c r="Q36" s="120">
        <v>0</v>
      </c>
      <c r="R36" s="404">
        <v>0</v>
      </c>
      <c r="S36" s="120">
        <v>0</v>
      </c>
      <c r="T36" s="120">
        <v>0</v>
      </c>
      <c r="U36" s="120">
        <v>0</v>
      </c>
      <c r="V36" s="120">
        <v>0</v>
      </c>
      <c r="W36" s="120">
        <v>0</v>
      </c>
      <c r="X36" s="120">
        <v>0</v>
      </c>
      <c r="Y36" s="120">
        <v>0</v>
      </c>
      <c r="Z36" s="120">
        <f t="shared" si="2"/>
        <v>0</v>
      </c>
      <c r="AA36" s="120">
        <v>0</v>
      </c>
      <c r="AB36" s="120">
        <v>0</v>
      </c>
      <c r="AC36" s="120">
        <f t="shared" si="1"/>
        <v>0</v>
      </c>
    </row>
    <row r="37" spans="1:29" x14ac:dyDescent="0.25">
      <c r="A37" s="57" t="s">
        <v>155</v>
      </c>
      <c r="B37" s="216" t="s">
        <v>145</v>
      </c>
      <c r="C37" s="120">
        <v>32</v>
      </c>
      <c r="D37" s="120">
        <v>32</v>
      </c>
      <c r="E37" s="120">
        <v>32</v>
      </c>
      <c r="F37" s="120">
        <v>32</v>
      </c>
      <c r="G37" s="122">
        <v>0</v>
      </c>
      <c r="H37" s="120">
        <v>0</v>
      </c>
      <c r="I37" s="122" t="s">
        <v>542</v>
      </c>
      <c r="J37" s="120">
        <v>0</v>
      </c>
      <c r="K37" s="122" t="s">
        <v>542</v>
      </c>
      <c r="L37" s="120">
        <v>0</v>
      </c>
      <c r="M37" s="122">
        <v>0</v>
      </c>
      <c r="N37" s="120">
        <v>0</v>
      </c>
      <c r="O37" s="122">
        <v>0</v>
      </c>
      <c r="P37" s="120">
        <v>0</v>
      </c>
      <c r="Q37" s="120">
        <v>0</v>
      </c>
      <c r="R37" s="404">
        <v>0</v>
      </c>
      <c r="S37" s="120">
        <v>0</v>
      </c>
      <c r="T37" s="120">
        <v>0</v>
      </c>
      <c r="U37" s="120">
        <v>0</v>
      </c>
      <c r="V37" s="120">
        <v>0</v>
      </c>
      <c r="W37" s="120">
        <v>0</v>
      </c>
      <c r="X37" s="120">
        <v>32</v>
      </c>
      <c r="Y37" s="120">
        <v>0</v>
      </c>
      <c r="Z37" s="120">
        <f t="shared" si="2"/>
        <v>32</v>
      </c>
      <c r="AA37" s="120">
        <v>0</v>
      </c>
      <c r="AB37" s="120">
        <v>32</v>
      </c>
      <c r="AC37" s="120">
        <f t="shared" si="1"/>
        <v>32</v>
      </c>
    </row>
    <row r="38" spans="1:29" x14ac:dyDescent="0.25">
      <c r="A38" s="57" t="s">
        <v>154</v>
      </c>
      <c r="B38" s="216" t="s">
        <v>143</v>
      </c>
      <c r="C38" s="120">
        <v>0</v>
      </c>
      <c r="D38" s="120">
        <v>0</v>
      </c>
      <c r="E38" s="120">
        <v>0</v>
      </c>
      <c r="F38" s="120">
        <v>0</v>
      </c>
      <c r="G38" s="122">
        <v>0</v>
      </c>
      <c r="H38" s="120">
        <v>0</v>
      </c>
      <c r="I38" s="122" t="s">
        <v>542</v>
      </c>
      <c r="J38" s="120">
        <v>0</v>
      </c>
      <c r="K38" s="122" t="s">
        <v>542</v>
      </c>
      <c r="L38" s="120">
        <v>0</v>
      </c>
      <c r="M38" s="122">
        <v>0</v>
      </c>
      <c r="N38" s="120">
        <v>0</v>
      </c>
      <c r="O38" s="122">
        <v>0</v>
      </c>
      <c r="P38" s="120">
        <v>0</v>
      </c>
      <c r="Q38" s="120">
        <v>0</v>
      </c>
      <c r="R38" s="404">
        <v>0</v>
      </c>
      <c r="S38" s="120">
        <v>0</v>
      </c>
      <c r="T38" s="120">
        <v>0</v>
      </c>
      <c r="U38" s="120">
        <v>0</v>
      </c>
      <c r="V38" s="120">
        <v>0</v>
      </c>
      <c r="W38" s="120">
        <v>0</v>
      </c>
      <c r="X38" s="120">
        <v>0</v>
      </c>
      <c r="Y38" s="120">
        <v>0</v>
      </c>
      <c r="Z38" s="120">
        <f t="shared" si="2"/>
        <v>0</v>
      </c>
      <c r="AA38" s="120">
        <v>0</v>
      </c>
      <c r="AB38" s="120">
        <v>0</v>
      </c>
      <c r="AC38" s="120">
        <f t="shared" si="1"/>
        <v>0</v>
      </c>
    </row>
    <row r="39" spans="1:29" ht="31.5" x14ac:dyDescent="0.25">
      <c r="A39" s="57" t="s">
        <v>153</v>
      </c>
      <c r="B39" s="33" t="s">
        <v>141</v>
      </c>
      <c r="C39" s="120">
        <v>0</v>
      </c>
      <c r="D39" s="120">
        <v>0</v>
      </c>
      <c r="E39" s="120">
        <v>0</v>
      </c>
      <c r="F39" s="120">
        <v>0</v>
      </c>
      <c r="G39" s="122">
        <v>0</v>
      </c>
      <c r="H39" s="120">
        <v>0</v>
      </c>
      <c r="I39" s="122" t="s">
        <v>542</v>
      </c>
      <c r="J39" s="120">
        <v>0</v>
      </c>
      <c r="K39" s="122" t="s">
        <v>542</v>
      </c>
      <c r="L39" s="120">
        <v>0</v>
      </c>
      <c r="M39" s="122">
        <v>0</v>
      </c>
      <c r="N39" s="120">
        <v>0</v>
      </c>
      <c r="O39" s="122">
        <v>0</v>
      </c>
      <c r="P39" s="120">
        <v>0</v>
      </c>
      <c r="Q39" s="120">
        <v>0</v>
      </c>
      <c r="R39" s="404">
        <v>0</v>
      </c>
      <c r="S39" s="120">
        <v>0</v>
      </c>
      <c r="T39" s="120">
        <v>0</v>
      </c>
      <c r="U39" s="120">
        <v>0</v>
      </c>
      <c r="V39" s="120">
        <v>0</v>
      </c>
      <c r="W39" s="120">
        <v>0</v>
      </c>
      <c r="X39" s="120">
        <v>0</v>
      </c>
      <c r="Y39" s="120">
        <v>0</v>
      </c>
      <c r="Z39" s="120">
        <f t="shared" si="2"/>
        <v>0</v>
      </c>
      <c r="AA39" s="120">
        <v>0</v>
      </c>
      <c r="AB39" s="120">
        <v>0</v>
      </c>
      <c r="AC39" s="120">
        <f t="shared" si="1"/>
        <v>0</v>
      </c>
    </row>
    <row r="40" spans="1:29" ht="31.5" x14ac:dyDescent="0.25">
      <c r="A40" s="57" t="s">
        <v>152</v>
      </c>
      <c r="B40" s="33" t="s">
        <v>139</v>
      </c>
      <c r="C40" s="120">
        <v>0</v>
      </c>
      <c r="D40" s="120">
        <v>0</v>
      </c>
      <c r="E40" s="120">
        <v>0</v>
      </c>
      <c r="F40" s="120">
        <v>0</v>
      </c>
      <c r="G40" s="122">
        <v>0</v>
      </c>
      <c r="H40" s="120">
        <v>0</v>
      </c>
      <c r="I40" s="122" t="s">
        <v>542</v>
      </c>
      <c r="J40" s="120">
        <v>0</v>
      </c>
      <c r="K40" s="122" t="s">
        <v>542</v>
      </c>
      <c r="L40" s="120">
        <v>0</v>
      </c>
      <c r="M40" s="122">
        <v>0</v>
      </c>
      <c r="N40" s="120">
        <v>0</v>
      </c>
      <c r="O40" s="122">
        <v>0</v>
      </c>
      <c r="P40" s="120">
        <v>0</v>
      </c>
      <c r="Q40" s="120">
        <v>0</v>
      </c>
      <c r="R40" s="404">
        <v>0</v>
      </c>
      <c r="S40" s="120">
        <v>0</v>
      </c>
      <c r="T40" s="120">
        <v>0</v>
      </c>
      <c r="U40" s="120">
        <v>0</v>
      </c>
      <c r="V40" s="120">
        <v>0</v>
      </c>
      <c r="W40" s="120">
        <v>0</v>
      </c>
      <c r="X40" s="120">
        <v>0</v>
      </c>
      <c r="Y40" s="120">
        <v>0</v>
      </c>
      <c r="Z40" s="120">
        <f t="shared" si="2"/>
        <v>0</v>
      </c>
      <c r="AA40" s="120">
        <v>0</v>
      </c>
      <c r="AB40" s="120">
        <v>0</v>
      </c>
      <c r="AC40" s="120">
        <f t="shared" si="1"/>
        <v>0</v>
      </c>
    </row>
    <row r="41" spans="1:29" x14ac:dyDescent="0.25">
      <c r="A41" s="57" t="s">
        <v>151</v>
      </c>
      <c r="B41" s="33" t="s">
        <v>137</v>
      </c>
      <c r="C41" s="120">
        <v>0</v>
      </c>
      <c r="D41" s="120">
        <v>0</v>
      </c>
      <c r="E41" s="120">
        <v>0</v>
      </c>
      <c r="F41" s="120">
        <v>0</v>
      </c>
      <c r="G41" s="122">
        <v>0</v>
      </c>
      <c r="H41" s="120">
        <v>0</v>
      </c>
      <c r="I41" s="122" t="s">
        <v>542</v>
      </c>
      <c r="J41" s="120">
        <v>0</v>
      </c>
      <c r="K41" s="122" t="s">
        <v>542</v>
      </c>
      <c r="L41" s="120">
        <v>0</v>
      </c>
      <c r="M41" s="122">
        <v>0</v>
      </c>
      <c r="N41" s="120">
        <v>0</v>
      </c>
      <c r="O41" s="122">
        <v>0</v>
      </c>
      <c r="P41" s="120">
        <v>0</v>
      </c>
      <c r="Q41" s="120">
        <v>0</v>
      </c>
      <c r="R41" s="404">
        <v>0</v>
      </c>
      <c r="S41" s="120">
        <v>0</v>
      </c>
      <c r="T41" s="120">
        <v>0</v>
      </c>
      <c r="U41" s="120">
        <v>0</v>
      </c>
      <c r="V41" s="120">
        <v>0</v>
      </c>
      <c r="W41" s="120">
        <v>0</v>
      </c>
      <c r="X41" s="120">
        <v>0</v>
      </c>
      <c r="Y41" s="120">
        <v>0</v>
      </c>
      <c r="Z41" s="120">
        <f t="shared" si="2"/>
        <v>0</v>
      </c>
      <c r="AA41" s="120">
        <v>0</v>
      </c>
      <c r="AB41" s="120">
        <v>0</v>
      </c>
      <c r="AC41" s="120">
        <f t="shared" si="1"/>
        <v>0</v>
      </c>
    </row>
    <row r="42" spans="1:29" ht="18.75" x14ac:dyDescent="0.25">
      <c r="A42" s="57" t="s">
        <v>150</v>
      </c>
      <c r="B42" s="216" t="s">
        <v>557</v>
      </c>
      <c r="C42" s="120">
        <v>20</v>
      </c>
      <c r="D42" s="120">
        <v>20</v>
      </c>
      <c r="E42" s="120">
        <v>20</v>
      </c>
      <c r="F42" s="120">
        <v>20</v>
      </c>
      <c r="G42" s="122">
        <v>0</v>
      </c>
      <c r="H42" s="120">
        <v>0</v>
      </c>
      <c r="I42" s="122" t="s">
        <v>542</v>
      </c>
      <c r="J42" s="120">
        <v>0</v>
      </c>
      <c r="K42" s="122" t="s">
        <v>542</v>
      </c>
      <c r="L42" s="120">
        <v>0</v>
      </c>
      <c r="M42" s="122">
        <v>0</v>
      </c>
      <c r="N42" s="120">
        <v>0</v>
      </c>
      <c r="O42" s="122">
        <v>0</v>
      </c>
      <c r="P42" s="120">
        <v>0</v>
      </c>
      <c r="Q42" s="120">
        <v>0</v>
      </c>
      <c r="R42" s="404">
        <v>0</v>
      </c>
      <c r="S42" s="120">
        <v>0</v>
      </c>
      <c r="T42" s="120">
        <v>0</v>
      </c>
      <c r="U42" s="120">
        <v>0</v>
      </c>
      <c r="V42" s="120">
        <v>0</v>
      </c>
      <c r="W42" s="120">
        <v>0</v>
      </c>
      <c r="X42" s="120">
        <v>20</v>
      </c>
      <c r="Y42" s="120">
        <v>0</v>
      </c>
      <c r="Z42" s="120">
        <f t="shared" si="2"/>
        <v>20</v>
      </c>
      <c r="AA42" s="120">
        <v>0</v>
      </c>
      <c r="AB42" s="120">
        <v>20</v>
      </c>
      <c r="AC42" s="120">
        <f t="shared" si="1"/>
        <v>20</v>
      </c>
    </row>
    <row r="43" spans="1:29" s="402" customFormat="1" x14ac:dyDescent="0.25">
      <c r="A43" s="60" t="s">
        <v>59</v>
      </c>
      <c r="B43" s="59" t="s">
        <v>149</v>
      </c>
      <c r="C43" s="120">
        <v>0</v>
      </c>
      <c r="D43" s="120">
        <v>0</v>
      </c>
      <c r="E43" s="120">
        <v>0</v>
      </c>
      <c r="F43" s="120">
        <v>0</v>
      </c>
      <c r="G43" s="122">
        <v>0</v>
      </c>
      <c r="H43" s="120">
        <v>0</v>
      </c>
      <c r="I43" s="120" t="s">
        <v>542</v>
      </c>
      <c r="J43" s="120">
        <v>0</v>
      </c>
      <c r="K43" s="120" t="s">
        <v>542</v>
      </c>
      <c r="L43" s="120">
        <v>0</v>
      </c>
      <c r="M43" s="120">
        <v>0</v>
      </c>
      <c r="N43" s="120">
        <v>0</v>
      </c>
      <c r="O43" s="120">
        <v>0</v>
      </c>
      <c r="P43" s="120">
        <v>0</v>
      </c>
      <c r="Q43" s="120">
        <v>0</v>
      </c>
      <c r="R43" s="404">
        <v>0</v>
      </c>
      <c r="S43" s="120">
        <v>0</v>
      </c>
      <c r="T43" s="120">
        <v>0</v>
      </c>
      <c r="U43" s="120">
        <v>0</v>
      </c>
      <c r="V43" s="120">
        <v>0</v>
      </c>
      <c r="W43" s="120">
        <v>0</v>
      </c>
      <c r="X43" s="120">
        <v>0</v>
      </c>
      <c r="Y43" s="120">
        <v>0</v>
      </c>
      <c r="Z43" s="120">
        <f t="shared" si="2"/>
        <v>0</v>
      </c>
      <c r="AA43" s="120">
        <v>0</v>
      </c>
      <c r="AB43" s="120">
        <v>0</v>
      </c>
      <c r="AC43" s="120">
        <f t="shared" si="1"/>
        <v>0</v>
      </c>
    </row>
    <row r="44" spans="1:29" x14ac:dyDescent="0.25">
      <c r="A44" s="57" t="s">
        <v>148</v>
      </c>
      <c r="B44" s="33" t="s">
        <v>147</v>
      </c>
      <c r="C44" s="120">
        <v>0</v>
      </c>
      <c r="D44" s="120">
        <v>0</v>
      </c>
      <c r="E44" s="120">
        <v>0</v>
      </c>
      <c r="F44" s="120">
        <v>0</v>
      </c>
      <c r="G44" s="122">
        <v>0</v>
      </c>
      <c r="H44" s="120">
        <v>0</v>
      </c>
      <c r="I44" s="122" t="s">
        <v>542</v>
      </c>
      <c r="J44" s="120">
        <v>0</v>
      </c>
      <c r="K44" s="122" t="s">
        <v>542</v>
      </c>
      <c r="L44" s="120">
        <v>0</v>
      </c>
      <c r="M44" s="122">
        <v>0</v>
      </c>
      <c r="N44" s="120">
        <v>0</v>
      </c>
      <c r="O44" s="122">
        <v>0</v>
      </c>
      <c r="P44" s="120">
        <v>0</v>
      </c>
      <c r="Q44" s="120">
        <v>0</v>
      </c>
      <c r="R44" s="404">
        <v>0</v>
      </c>
      <c r="S44" s="120">
        <v>0</v>
      </c>
      <c r="T44" s="120">
        <v>0</v>
      </c>
      <c r="U44" s="120">
        <v>0</v>
      </c>
      <c r="V44" s="120">
        <v>0</v>
      </c>
      <c r="W44" s="120">
        <v>0</v>
      </c>
      <c r="X44" s="120">
        <v>0</v>
      </c>
      <c r="Y44" s="120">
        <v>0</v>
      </c>
      <c r="Z44" s="120">
        <f t="shared" si="2"/>
        <v>0</v>
      </c>
      <c r="AA44" s="120">
        <v>0</v>
      </c>
      <c r="AB44" s="120">
        <v>0</v>
      </c>
      <c r="AC44" s="120">
        <f t="shared" si="1"/>
        <v>0</v>
      </c>
    </row>
    <row r="45" spans="1:29" x14ac:dyDescent="0.25">
      <c r="A45" s="57" t="s">
        <v>146</v>
      </c>
      <c r="B45" s="33" t="s">
        <v>145</v>
      </c>
      <c r="C45" s="120">
        <v>32</v>
      </c>
      <c r="D45" s="120">
        <v>32</v>
      </c>
      <c r="E45" s="120">
        <v>32</v>
      </c>
      <c r="F45" s="120">
        <v>32</v>
      </c>
      <c r="G45" s="122">
        <v>0</v>
      </c>
      <c r="H45" s="120">
        <v>0</v>
      </c>
      <c r="I45" s="122" t="s">
        <v>542</v>
      </c>
      <c r="J45" s="120">
        <v>0</v>
      </c>
      <c r="K45" s="122" t="s">
        <v>542</v>
      </c>
      <c r="L45" s="120">
        <v>0</v>
      </c>
      <c r="M45" s="122">
        <v>0</v>
      </c>
      <c r="N45" s="120">
        <v>0</v>
      </c>
      <c r="O45" s="122">
        <v>0</v>
      </c>
      <c r="P45" s="120">
        <v>0</v>
      </c>
      <c r="Q45" s="120">
        <v>0</v>
      </c>
      <c r="R45" s="404">
        <v>0</v>
      </c>
      <c r="S45" s="120">
        <v>0</v>
      </c>
      <c r="T45" s="120">
        <v>0</v>
      </c>
      <c r="U45" s="120">
        <v>0</v>
      </c>
      <c r="V45" s="120">
        <v>0</v>
      </c>
      <c r="W45" s="120">
        <v>0</v>
      </c>
      <c r="X45" s="120">
        <v>32</v>
      </c>
      <c r="Y45" s="120">
        <v>0</v>
      </c>
      <c r="Z45" s="120">
        <f t="shared" si="2"/>
        <v>32</v>
      </c>
      <c r="AA45" s="120">
        <v>0</v>
      </c>
      <c r="AB45" s="120">
        <v>32</v>
      </c>
      <c r="AC45" s="120">
        <f t="shared" si="1"/>
        <v>32</v>
      </c>
    </row>
    <row r="46" spans="1:29" x14ac:dyDescent="0.25">
      <c r="A46" s="57" t="s">
        <v>144</v>
      </c>
      <c r="B46" s="33" t="s">
        <v>143</v>
      </c>
      <c r="C46" s="120">
        <v>0</v>
      </c>
      <c r="D46" s="120">
        <v>0</v>
      </c>
      <c r="E46" s="120">
        <v>0</v>
      </c>
      <c r="F46" s="120">
        <v>0</v>
      </c>
      <c r="G46" s="122">
        <v>0</v>
      </c>
      <c r="H46" s="120">
        <v>0</v>
      </c>
      <c r="I46" s="122" t="s">
        <v>542</v>
      </c>
      <c r="J46" s="120">
        <v>0</v>
      </c>
      <c r="K46" s="122" t="s">
        <v>542</v>
      </c>
      <c r="L46" s="120">
        <v>0</v>
      </c>
      <c r="M46" s="122">
        <v>0</v>
      </c>
      <c r="N46" s="120">
        <v>0</v>
      </c>
      <c r="O46" s="122">
        <v>0</v>
      </c>
      <c r="P46" s="120">
        <v>0</v>
      </c>
      <c r="Q46" s="120">
        <v>0</v>
      </c>
      <c r="R46" s="404">
        <v>0</v>
      </c>
      <c r="S46" s="120">
        <v>0</v>
      </c>
      <c r="T46" s="120">
        <v>0</v>
      </c>
      <c r="U46" s="120">
        <v>0</v>
      </c>
      <c r="V46" s="120">
        <v>0</v>
      </c>
      <c r="W46" s="120">
        <v>0</v>
      </c>
      <c r="X46" s="120">
        <v>0</v>
      </c>
      <c r="Y46" s="120">
        <v>0</v>
      </c>
      <c r="Z46" s="120">
        <f t="shared" si="2"/>
        <v>0</v>
      </c>
      <c r="AA46" s="120">
        <v>0</v>
      </c>
      <c r="AB46" s="120">
        <v>0</v>
      </c>
      <c r="AC46" s="120">
        <f t="shared" si="1"/>
        <v>0</v>
      </c>
    </row>
    <row r="47" spans="1:29" ht="31.5" x14ac:dyDescent="0.25">
      <c r="A47" s="57" t="s">
        <v>142</v>
      </c>
      <c r="B47" s="33" t="s">
        <v>141</v>
      </c>
      <c r="C47" s="120">
        <v>0</v>
      </c>
      <c r="D47" s="120">
        <v>0</v>
      </c>
      <c r="E47" s="120">
        <v>0</v>
      </c>
      <c r="F47" s="120">
        <v>0</v>
      </c>
      <c r="G47" s="122">
        <v>0</v>
      </c>
      <c r="H47" s="120">
        <v>0</v>
      </c>
      <c r="I47" s="122" t="s">
        <v>542</v>
      </c>
      <c r="J47" s="120">
        <v>0</v>
      </c>
      <c r="K47" s="122" t="s">
        <v>542</v>
      </c>
      <c r="L47" s="120">
        <v>0</v>
      </c>
      <c r="M47" s="122">
        <v>0</v>
      </c>
      <c r="N47" s="120">
        <v>0</v>
      </c>
      <c r="O47" s="122">
        <v>0</v>
      </c>
      <c r="P47" s="120">
        <v>0</v>
      </c>
      <c r="Q47" s="120">
        <v>0</v>
      </c>
      <c r="R47" s="404">
        <v>0</v>
      </c>
      <c r="S47" s="120">
        <v>0</v>
      </c>
      <c r="T47" s="120">
        <v>0</v>
      </c>
      <c r="U47" s="120">
        <v>0</v>
      </c>
      <c r="V47" s="120">
        <v>0</v>
      </c>
      <c r="W47" s="120">
        <v>0</v>
      </c>
      <c r="X47" s="120">
        <v>0</v>
      </c>
      <c r="Y47" s="120">
        <v>0</v>
      </c>
      <c r="Z47" s="120">
        <f t="shared" si="2"/>
        <v>0</v>
      </c>
      <c r="AA47" s="120">
        <v>0</v>
      </c>
      <c r="AB47" s="120">
        <v>0</v>
      </c>
      <c r="AC47" s="120">
        <f t="shared" si="1"/>
        <v>0</v>
      </c>
    </row>
    <row r="48" spans="1:29" ht="31.5" x14ac:dyDescent="0.25">
      <c r="A48" s="57" t="s">
        <v>140</v>
      </c>
      <c r="B48" s="33" t="s">
        <v>139</v>
      </c>
      <c r="C48" s="120">
        <v>0</v>
      </c>
      <c r="D48" s="120">
        <v>0</v>
      </c>
      <c r="E48" s="120">
        <v>0</v>
      </c>
      <c r="F48" s="120">
        <v>0</v>
      </c>
      <c r="G48" s="122">
        <v>0</v>
      </c>
      <c r="H48" s="120">
        <v>0</v>
      </c>
      <c r="I48" s="122" t="s">
        <v>542</v>
      </c>
      <c r="J48" s="120">
        <v>0</v>
      </c>
      <c r="K48" s="122" t="s">
        <v>542</v>
      </c>
      <c r="L48" s="120">
        <v>0</v>
      </c>
      <c r="M48" s="122">
        <v>0</v>
      </c>
      <c r="N48" s="120">
        <v>0</v>
      </c>
      <c r="O48" s="122">
        <v>0</v>
      </c>
      <c r="P48" s="120">
        <v>0</v>
      </c>
      <c r="Q48" s="120">
        <v>0</v>
      </c>
      <c r="R48" s="404">
        <v>0</v>
      </c>
      <c r="S48" s="120">
        <v>0</v>
      </c>
      <c r="T48" s="120">
        <v>0</v>
      </c>
      <c r="U48" s="120">
        <v>0</v>
      </c>
      <c r="V48" s="120">
        <v>0</v>
      </c>
      <c r="W48" s="120">
        <v>0</v>
      </c>
      <c r="X48" s="120">
        <v>0</v>
      </c>
      <c r="Y48" s="120">
        <v>0</v>
      </c>
      <c r="Z48" s="120">
        <f t="shared" si="2"/>
        <v>0</v>
      </c>
      <c r="AA48" s="120">
        <v>0</v>
      </c>
      <c r="AB48" s="120">
        <v>0</v>
      </c>
      <c r="AC48" s="120">
        <f t="shared" si="1"/>
        <v>0</v>
      </c>
    </row>
    <row r="49" spans="1:29" x14ac:dyDescent="0.25">
      <c r="A49" s="57" t="s">
        <v>138</v>
      </c>
      <c r="B49" s="33" t="s">
        <v>137</v>
      </c>
      <c r="C49" s="120">
        <v>0</v>
      </c>
      <c r="D49" s="120">
        <v>0</v>
      </c>
      <c r="E49" s="120">
        <v>0</v>
      </c>
      <c r="F49" s="120">
        <v>0</v>
      </c>
      <c r="G49" s="122">
        <v>0</v>
      </c>
      <c r="H49" s="120">
        <v>0</v>
      </c>
      <c r="I49" s="122" t="s">
        <v>542</v>
      </c>
      <c r="J49" s="120">
        <v>0</v>
      </c>
      <c r="K49" s="122" t="s">
        <v>542</v>
      </c>
      <c r="L49" s="120">
        <v>0</v>
      </c>
      <c r="M49" s="122">
        <v>0</v>
      </c>
      <c r="N49" s="120">
        <v>0</v>
      </c>
      <c r="O49" s="122">
        <v>0</v>
      </c>
      <c r="P49" s="120">
        <v>0</v>
      </c>
      <c r="Q49" s="120">
        <v>0</v>
      </c>
      <c r="R49" s="404">
        <v>0</v>
      </c>
      <c r="S49" s="120">
        <v>0</v>
      </c>
      <c r="T49" s="120">
        <v>0</v>
      </c>
      <c r="U49" s="120">
        <v>0</v>
      </c>
      <c r="V49" s="120">
        <v>0</v>
      </c>
      <c r="W49" s="120">
        <v>0</v>
      </c>
      <c r="X49" s="120">
        <v>0</v>
      </c>
      <c r="Y49" s="120">
        <v>0</v>
      </c>
      <c r="Z49" s="120">
        <f t="shared" si="2"/>
        <v>0</v>
      </c>
      <c r="AA49" s="120">
        <v>0</v>
      </c>
      <c r="AB49" s="120">
        <v>0</v>
      </c>
      <c r="AC49" s="120">
        <f t="shared" si="1"/>
        <v>0</v>
      </c>
    </row>
    <row r="50" spans="1:29" ht="18.75" x14ac:dyDescent="0.25">
      <c r="A50" s="57" t="s">
        <v>136</v>
      </c>
      <c r="B50" s="216" t="s">
        <v>557</v>
      </c>
      <c r="C50" s="120">
        <v>20</v>
      </c>
      <c r="D50" s="120">
        <v>20</v>
      </c>
      <c r="E50" s="120">
        <v>20</v>
      </c>
      <c r="F50" s="120">
        <v>20</v>
      </c>
      <c r="G50" s="122">
        <v>0</v>
      </c>
      <c r="H50" s="120">
        <v>0</v>
      </c>
      <c r="I50" s="122" t="s">
        <v>542</v>
      </c>
      <c r="J50" s="120">
        <v>0</v>
      </c>
      <c r="K50" s="122" t="s">
        <v>542</v>
      </c>
      <c r="L50" s="120">
        <v>0</v>
      </c>
      <c r="M50" s="122">
        <v>0</v>
      </c>
      <c r="N50" s="120">
        <v>0</v>
      </c>
      <c r="O50" s="122">
        <v>0</v>
      </c>
      <c r="P50" s="120">
        <v>0</v>
      </c>
      <c r="Q50" s="120">
        <v>0</v>
      </c>
      <c r="R50" s="404">
        <v>0</v>
      </c>
      <c r="S50" s="120">
        <v>0</v>
      </c>
      <c r="T50" s="120">
        <v>0</v>
      </c>
      <c r="U50" s="120">
        <v>0</v>
      </c>
      <c r="V50" s="120">
        <v>0</v>
      </c>
      <c r="W50" s="120">
        <v>0</v>
      </c>
      <c r="X50" s="120">
        <v>20</v>
      </c>
      <c r="Y50" s="120">
        <v>0</v>
      </c>
      <c r="Z50" s="120">
        <f t="shared" si="2"/>
        <v>20</v>
      </c>
      <c r="AA50" s="120">
        <v>0</v>
      </c>
      <c r="AB50" s="120">
        <v>20</v>
      </c>
      <c r="AC50" s="120">
        <f t="shared" si="1"/>
        <v>20</v>
      </c>
    </row>
    <row r="51" spans="1:29" s="402" customFormat="1" ht="35.25" customHeight="1" x14ac:dyDescent="0.25">
      <c r="A51" s="60" t="s">
        <v>57</v>
      </c>
      <c r="B51" s="59" t="s">
        <v>135</v>
      </c>
      <c r="C51" s="120">
        <v>0</v>
      </c>
      <c r="D51" s="120">
        <v>0</v>
      </c>
      <c r="E51" s="120">
        <v>0</v>
      </c>
      <c r="F51" s="120">
        <v>0</v>
      </c>
      <c r="G51" s="122">
        <v>0</v>
      </c>
      <c r="H51" s="120">
        <v>0</v>
      </c>
      <c r="I51" s="120" t="s">
        <v>542</v>
      </c>
      <c r="J51" s="120">
        <v>0</v>
      </c>
      <c r="K51" s="120" t="s">
        <v>542</v>
      </c>
      <c r="L51" s="120">
        <v>0</v>
      </c>
      <c r="M51" s="120">
        <v>0</v>
      </c>
      <c r="N51" s="120">
        <v>0</v>
      </c>
      <c r="O51" s="120">
        <v>0</v>
      </c>
      <c r="P51" s="120">
        <v>0</v>
      </c>
      <c r="Q51" s="120">
        <v>0</v>
      </c>
      <c r="R51" s="404">
        <v>0</v>
      </c>
      <c r="S51" s="120">
        <v>0</v>
      </c>
      <c r="T51" s="120">
        <v>0</v>
      </c>
      <c r="U51" s="120">
        <v>0</v>
      </c>
      <c r="V51" s="120">
        <v>0</v>
      </c>
      <c r="W51" s="120">
        <v>0</v>
      </c>
      <c r="X51" s="120">
        <v>0</v>
      </c>
      <c r="Y51" s="120">
        <v>0</v>
      </c>
      <c r="Z51" s="120">
        <f t="shared" si="2"/>
        <v>0</v>
      </c>
      <c r="AA51" s="120">
        <v>0</v>
      </c>
      <c r="AB51" s="120">
        <v>0</v>
      </c>
      <c r="AC51" s="120">
        <f t="shared" si="1"/>
        <v>0</v>
      </c>
    </row>
    <row r="52" spans="1:29" x14ac:dyDescent="0.25">
      <c r="A52" s="57" t="s">
        <v>134</v>
      </c>
      <c r="B52" s="33" t="s">
        <v>133</v>
      </c>
      <c r="C52" s="120">
        <f>C30</f>
        <v>284.71323287828699</v>
      </c>
      <c r="D52" s="120">
        <f>D30</f>
        <v>284.71323287828699</v>
      </c>
      <c r="E52" s="120">
        <v>284.71323287828699</v>
      </c>
      <c r="F52" s="120">
        <v>284.71323287828699</v>
      </c>
      <c r="G52" s="122">
        <v>0</v>
      </c>
      <c r="H52" s="120">
        <v>0</v>
      </c>
      <c r="I52" s="122" t="s">
        <v>542</v>
      </c>
      <c r="J52" s="120">
        <v>0</v>
      </c>
      <c r="K52" s="122" t="s">
        <v>542</v>
      </c>
      <c r="L52" s="120">
        <v>0</v>
      </c>
      <c r="M52" s="122">
        <v>0</v>
      </c>
      <c r="N52" s="120">
        <v>0</v>
      </c>
      <c r="O52" s="122">
        <v>0</v>
      </c>
      <c r="P52" s="120">
        <v>0</v>
      </c>
      <c r="Q52" s="120">
        <v>0</v>
      </c>
      <c r="R52" s="404">
        <v>0</v>
      </c>
      <c r="S52" s="120">
        <v>0</v>
      </c>
      <c r="T52" s="120">
        <v>0</v>
      </c>
      <c r="U52" s="120">
        <v>0</v>
      </c>
      <c r="V52" s="120">
        <v>0</v>
      </c>
      <c r="W52" s="120">
        <v>0</v>
      </c>
      <c r="X52" s="120">
        <f>C52</f>
        <v>284.71323287828699</v>
      </c>
      <c r="Y52" s="120">
        <v>0</v>
      </c>
      <c r="Z52" s="120">
        <f t="shared" si="2"/>
        <v>284.71323287828699</v>
      </c>
      <c r="AA52" s="120">
        <v>0</v>
      </c>
      <c r="AB52" s="120">
        <f>C52</f>
        <v>284.71323287828699</v>
      </c>
      <c r="AC52" s="120">
        <f t="shared" si="1"/>
        <v>284.71323287828699</v>
      </c>
    </row>
    <row r="53" spans="1:29" x14ac:dyDescent="0.25">
      <c r="A53" s="57" t="s">
        <v>132</v>
      </c>
      <c r="B53" s="33" t="s">
        <v>126</v>
      </c>
      <c r="C53" s="120">
        <v>0</v>
      </c>
      <c r="D53" s="120">
        <v>0</v>
      </c>
      <c r="E53" s="120">
        <v>0</v>
      </c>
      <c r="F53" s="120">
        <v>0</v>
      </c>
      <c r="G53" s="122">
        <v>0</v>
      </c>
      <c r="H53" s="120">
        <v>0</v>
      </c>
      <c r="I53" s="122" t="s">
        <v>542</v>
      </c>
      <c r="J53" s="120">
        <v>0</v>
      </c>
      <c r="K53" s="122" t="s">
        <v>542</v>
      </c>
      <c r="L53" s="120">
        <v>0</v>
      </c>
      <c r="M53" s="122">
        <v>0</v>
      </c>
      <c r="N53" s="120">
        <v>0</v>
      </c>
      <c r="O53" s="122">
        <v>0</v>
      </c>
      <c r="P53" s="120">
        <v>0</v>
      </c>
      <c r="Q53" s="120">
        <v>0</v>
      </c>
      <c r="R53" s="404">
        <v>0</v>
      </c>
      <c r="S53" s="120">
        <v>0</v>
      </c>
      <c r="T53" s="120">
        <v>0</v>
      </c>
      <c r="U53" s="120">
        <v>0</v>
      </c>
      <c r="V53" s="120">
        <v>0</v>
      </c>
      <c r="W53" s="120">
        <v>0</v>
      </c>
      <c r="X53" s="120">
        <v>0</v>
      </c>
      <c r="Y53" s="120">
        <v>0</v>
      </c>
      <c r="Z53" s="120">
        <f t="shared" si="2"/>
        <v>0</v>
      </c>
      <c r="AA53" s="120">
        <v>0</v>
      </c>
      <c r="AB53" s="120">
        <f t="shared" ref="AB53:AB58" si="3">C53</f>
        <v>0</v>
      </c>
      <c r="AC53" s="120">
        <f t="shared" si="1"/>
        <v>0</v>
      </c>
    </row>
    <row r="54" spans="1:29" x14ac:dyDescent="0.25">
      <c r="A54" s="57" t="s">
        <v>131</v>
      </c>
      <c r="B54" s="216" t="s">
        <v>125</v>
      </c>
      <c r="C54" s="120">
        <v>32</v>
      </c>
      <c r="D54" s="120">
        <v>32</v>
      </c>
      <c r="E54" s="120">
        <v>32</v>
      </c>
      <c r="F54" s="120">
        <v>32</v>
      </c>
      <c r="G54" s="122">
        <v>0</v>
      </c>
      <c r="H54" s="120">
        <v>0</v>
      </c>
      <c r="I54" s="122" t="s">
        <v>542</v>
      </c>
      <c r="J54" s="120">
        <v>0</v>
      </c>
      <c r="K54" s="122" t="s">
        <v>542</v>
      </c>
      <c r="L54" s="120">
        <v>0</v>
      </c>
      <c r="M54" s="122">
        <v>0</v>
      </c>
      <c r="N54" s="120">
        <v>0</v>
      </c>
      <c r="O54" s="122">
        <v>0</v>
      </c>
      <c r="P54" s="120">
        <v>0</v>
      </c>
      <c r="Q54" s="120">
        <v>0</v>
      </c>
      <c r="R54" s="404">
        <v>0</v>
      </c>
      <c r="S54" s="120">
        <v>0</v>
      </c>
      <c r="T54" s="120">
        <v>0</v>
      </c>
      <c r="U54" s="120">
        <v>0</v>
      </c>
      <c r="V54" s="120">
        <v>0</v>
      </c>
      <c r="W54" s="120">
        <v>0</v>
      </c>
      <c r="X54" s="120">
        <v>32</v>
      </c>
      <c r="Y54" s="120">
        <v>0</v>
      </c>
      <c r="Z54" s="120">
        <f t="shared" si="2"/>
        <v>32</v>
      </c>
      <c r="AA54" s="120">
        <v>0</v>
      </c>
      <c r="AB54" s="120">
        <f t="shared" si="3"/>
        <v>32</v>
      </c>
      <c r="AC54" s="120">
        <f t="shared" si="1"/>
        <v>32</v>
      </c>
    </row>
    <row r="55" spans="1:29" x14ac:dyDescent="0.25">
      <c r="A55" s="57" t="s">
        <v>130</v>
      </c>
      <c r="B55" s="216" t="s">
        <v>124</v>
      </c>
      <c r="C55" s="120">
        <v>0</v>
      </c>
      <c r="D55" s="120">
        <v>0</v>
      </c>
      <c r="E55" s="120">
        <v>0</v>
      </c>
      <c r="F55" s="120">
        <v>0</v>
      </c>
      <c r="G55" s="122">
        <v>0</v>
      </c>
      <c r="H55" s="120">
        <v>0</v>
      </c>
      <c r="I55" s="122" t="s">
        <v>542</v>
      </c>
      <c r="J55" s="120">
        <v>0</v>
      </c>
      <c r="K55" s="122" t="s">
        <v>542</v>
      </c>
      <c r="L55" s="120">
        <v>0</v>
      </c>
      <c r="M55" s="122">
        <v>0</v>
      </c>
      <c r="N55" s="120">
        <v>0</v>
      </c>
      <c r="O55" s="122">
        <v>0</v>
      </c>
      <c r="P55" s="120">
        <v>0</v>
      </c>
      <c r="Q55" s="120">
        <v>0</v>
      </c>
      <c r="R55" s="404">
        <v>0</v>
      </c>
      <c r="S55" s="120">
        <v>0</v>
      </c>
      <c r="T55" s="120">
        <v>0</v>
      </c>
      <c r="U55" s="120">
        <v>0</v>
      </c>
      <c r="V55" s="120">
        <v>0</v>
      </c>
      <c r="W55" s="120">
        <v>0</v>
      </c>
      <c r="X55" s="120">
        <v>0</v>
      </c>
      <c r="Y55" s="120">
        <v>0</v>
      </c>
      <c r="Z55" s="120">
        <f t="shared" si="2"/>
        <v>0</v>
      </c>
      <c r="AA55" s="120">
        <v>0</v>
      </c>
      <c r="AB55" s="120">
        <f t="shared" si="3"/>
        <v>0</v>
      </c>
      <c r="AC55" s="120">
        <f t="shared" si="1"/>
        <v>0</v>
      </c>
    </row>
    <row r="56" spans="1:29" x14ac:dyDescent="0.25">
      <c r="A56" s="57" t="s">
        <v>129</v>
      </c>
      <c r="B56" s="216" t="s">
        <v>123</v>
      </c>
      <c r="C56" s="120">
        <v>0</v>
      </c>
      <c r="D56" s="120">
        <v>0</v>
      </c>
      <c r="E56" s="120">
        <v>0</v>
      </c>
      <c r="F56" s="120">
        <v>0</v>
      </c>
      <c r="G56" s="122">
        <v>0</v>
      </c>
      <c r="H56" s="120">
        <v>0</v>
      </c>
      <c r="I56" s="122" t="s">
        <v>542</v>
      </c>
      <c r="J56" s="120">
        <v>0</v>
      </c>
      <c r="K56" s="122" t="s">
        <v>542</v>
      </c>
      <c r="L56" s="120">
        <v>0</v>
      </c>
      <c r="M56" s="122">
        <v>0</v>
      </c>
      <c r="N56" s="120">
        <v>0</v>
      </c>
      <c r="O56" s="122">
        <v>0</v>
      </c>
      <c r="P56" s="120">
        <v>0</v>
      </c>
      <c r="Q56" s="120">
        <v>0</v>
      </c>
      <c r="R56" s="404">
        <v>0</v>
      </c>
      <c r="S56" s="120">
        <v>0</v>
      </c>
      <c r="T56" s="120">
        <v>0</v>
      </c>
      <c r="U56" s="120">
        <v>0</v>
      </c>
      <c r="V56" s="120">
        <v>0</v>
      </c>
      <c r="W56" s="120">
        <v>0</v>
      </c>
      <c r="X56" s="120">
        <v>0</v>
      </c>
      <c r="Y56" s="120">
        <v>0</v>
      </c>
      <c r="Z56" s="120">
        <f t="shared" si="2"/>
        <v>0</v>
      </c>
      <c r="AA56" s="120">
        <v>0</v>
      </c>
      <c r="AB56" s="120">
        <f t="shared" si="3"/>
        <v>0</v>
      </c>
      <c r="AC56" s="120">
        <f t="shared" si="1"/>
        <v>0</v>
      </c>
    </row>
    <row r="57" spans="1:29" ht="18.75" x14ac:dyDescent="0.25">
      <c r="A57" s="57" t="s">
        <v>128</v>
      </c>
      <c r="B57" s="216" t="s">
        <v>557</v>
      </c>
      <c r="C57" s="120">
        <v>20</v>
      </c>
      <c r="D57" s="120">
        <v>20</v>
      </c>
      <c r="E57" s="120">
        <v>20</v>
      </c>
      <c r="F57" s="120">
        <v>20</v>
      </c>
      <c r="G57" s="122">
        <v>0</v>
      </c>
      <c r="H57" s="120">
        <v>0</v>
      </c>
      <c r="I57" s="122" t="s">
        <v>542</v>
      </c>
      <c r="J57" s="120">
        <v>0</v>
      </c>
      <c r="K57" s="122" t="s">
        <v>542</v>
      </c>
      <c r="L57" s="120">
        <v>0</v>
      </c>
      <c r="M57" s="122">
        <v>0</v>
      </c>
      <c r="N57" s="120">
        <v>0</v>
      </c>
      <c r="O57" s="122">
        <v>0</v>
      </c>
      <c r="P57" s="120">
        <v>0</v>
      </c>
      <c r="Q57" s="120">
        <v>0</v>
      </c>
      <c r="R57" s="404">
        <v>0</v>
      </c>
      <c r="S57" s="120">
        <v>0</v>
      </c>
      <c r="T57" s="120">
        <v>0</v>
      </c>
      <c r="U57" s="120">
        <v>0</v>
      </c>
      <c r="V57" s="120">
        <v>0</v>
      </c>
      <c r="W57" s="120">
        <v>0</v>
      </c>
      <c r="X57" s="120">
        <v>20</v>
      </c>
      <c r="Y57" s="120">
        <v>0</v>
      </c>
      <c r="Z57" s="120">
        <f t="shared" si="2"/>
        <v>20</v>
      </c>
      <c r="AA57" s="120">
        <v>0</v>
      </c>
      <c r="AB57" s="120">
        <f t="shared" si="3"/>
        <v>20</v>
      </c>
      <c r="AC57" s="120">
        <f t="shared" si="1"/>
        <v>20</v>
      </c>
    </row>
    <row r="58" spans="1:29" s="402" customFormat="1" ht="36.75" customHeight="1" x14ac:dyDescent="0.25">
      <c r="A58" s="60" t="s">
        <v>56</v>
      </c>
      <c r="B58" s="217" t="s">
        <v>207</v>
      </c>
      <c r="C58" s="120">
        <v>0</v>
      </c>
      <c r="D58" s="120">
        <v>0</v>
      </c>
      <c r="E58" s="120">
        <v>0</v>
      </c>
      <c r="F58" s="120">
        <v>0</v>
      </c>
      <c r="G58" s="122">
        <v>0</v>
      </c>
      <c r="H58" s="120">
        <v>0</v>
      </c>
      <c r="I58" s="120" t="s">
        <v>542</v>
      </c>
      <c r="J58" s="120">
        <v>0</v>
      </c>
      <c r="K58" s="120" t="s">
        <v>542</v>
      </c>
      <c r="L58" s="120">
        <v>0</v>
      </c>
      <c r="M58" s="120">
        <v>0</v>
      </c>
      <c r="N58" s="120">
        <v>0</v>
      </c>
      <c r="O58" s="120">
        <v>0</v>
      </c>
      <c r="P58" s="120">
        <v>0</v>
      </c>
      <c r="Q58" s="120">
        <v>0</v>
      </c>
      <c r="R58" s="404">
        <v>0</v>
      </c>
      <c r="S58" s="120">
        <v>0</v>
      </c>
      <c r="T58" s="120">
        <v>0</v>
      </c>
      <c r="U58" s="120">
        <v>0</v>
      </c>
      <c r="V58" s="120">
        <v>0</v>
      </c>
      <c r="W58" s="120">
        <v>0</v>
      </c>
      <c r="X58" s="120">
        <v>0</v>
      </c>
      <c r="Y58" s="120">
        <v>0</v>
      </c>
      <c r="Z58" s="120">
        <v>0</v>
      </c>
      <c r="AA58" s="120">
        <v>0</v>
      </c>
      <c r="AB58" s="120">
        <f t="shared" si="3"/>
        <v>0</v>
      </c>
      <c r="AC58" s="120">
        <f>SUM(Z58,V58,R58,N58,J58)</f>
        <v>0</v>
      </c>
    </row>
    <row r="59" spans="1:29" s="402" customFormat="1" x14ac:dyDescent="0.25">
      <c r="A59" s="60" t="s">
        <v>54</v>
      </c>
      <c r="B59" s="59" t="s">
        <v>127</v>
      </c>
      <c r="C59" s="120">
        <v>0</v>
      </c>
      <c r="D59" s="120">
        <v>0</v>
      </c>
      <c r="E59" s="120">
        <v>0</v>
      </c>
      <c r="F59" s="120">
        <v>0</v>
      </c>
      <c r="G59" s="122">
        <v>0</v>
      </c>
      <c r="H59" s="120">
        <v>0</v>
      </c>
      <c r="I59" s="120" t="s">
        <v>542</v>
      </c>
      <c r="J59" s="120">
        <v>0</v>
      </c>
      <c r="K59" s="120" t="s">
        <v>542</v>
      </c>
      <c r="L59" s="120">
        <v>0</v>
      </c>
      <c r="M59" s="120">
        <v>0</v>
      </c>
      <c r="N59" s="120">
        <v>0</v>
      </c>
      <c r="O59" s="120">
        <v>0</v>
      </c>
      <c r="P59" s="120">
        <v>0</v>
      </c>
      <c r="Q59" s="120">
        <v>0</v>
      </c>
      <c r="R59" s="404">
        <v>0</v>
      </c>
      <c r="S59" s="120">
        <v>0</v>
      </c>
      <c r="T59" s="120">
        <v>0</v>
      </c>
      <c r="U59" s="120">
        <v>0</v>
      </c>
      <c r="V59" s="120">
        <v>0</v>
      </c>
      <c r="W59" s="120">
        <v>0</v>
      </c>
      <c r="X59" s="120">
        <v>0</v>
      </c>
      <c r="Y59" s="120">
        <v>0</v>
      </c>
      <c r="Z59" s="120">
        <f t="shared" si="2"/>
        <v>0</v>
      </c>
      <c r="AA59" s="120">
        <v>0</v>
      </c>
      <c r="AB59" s="120">
        <v>0</v>
      </c>
      <c r="AC59" s="120">
        <f t="shared" si="1"/>
        <v>0</v>
      </c>
    </row>
    <row r="60" spans="1:29" x14ac:dyDescent="0.25">
      <c r="A60" s="57" t="s">
        <v>201</v>
      </c>
      <c r="B60" s="218" t="s">
        <v>147</v>
      </c>
      <c r="C60" s="120">
        <v>0</v>
      </c>
      <c r="D60" s="120">
        <v>0</v>
      </c>
      <c r="E60" s="120">
        <v>0</v>
      </c>
      <c r="F60" s="120">
        <v>0</v>
      </c>
      <c r="G60" s="122">
        <v>0</v>
      </c>
      <c r="H60" s="120">
        <v>0</v>
      </c>
      <c r="I60" s="122" t="s">
        <v>542</v>
      </c>
      <c r="J60" s="120">
        <v>0</v>
      </c>
      <c r="K60" s="122" t="s">
        <v>542</v>
      </c>
      <c r="L60" s="120">
        <v>0</v>
      </c>
      <c r="M60" s="122">
        <v>0</v>
      </c>
      <c r="N60" s="120">
        <v>0</v>
      </c>
      <c r="O60" s="122">
        <v>0</v>
      </c>
      <c r="P60" s="120">
        <v>0</v>
      </c>
      <c r="Q60" s="120">
        <v>0</v>
      </c>
      <c r="R60" s="404">
        <v>0</v>
      </c>
      <c r="S60" s="120">
        <v>0</v>
      </c>
      <c r="T60" s="120">
        <v>0</v>
      </c>
      <c r="U60" s="120">
        <v>0</v>
      </c>
      <c r="V60" s="120">
        <v>0</v>
      </c>
      <c r="W60" s="120">
        <v>0</v>
      </c>
      <c r="X60" s="120">
        <v>0</v>
      </c>
      <c r="Y60" s="120">
        <v>0</v>
      </c>
      <c r="Z60" s="120">
        <f t="shared" si="2"/>
        <v>0</v>
      </c>
      <c r="AA60" s="120">
        <v>0</v>
      </c>
      <c r="AB60" s="120">
        <v>0</v>
      </c>
      <c r="AC60" s="120">
        <f t="shared" si="1"/>
        <v>0</v>
      </c>
    </row>
    <row r="61" spans="1:29" x14ac:dyDescent="0.25">
      <c r="A61" s="57" t="s">
        <v>202</v>
      </c>
      <c r="B61" s="218" t="s">
        <v>145</v>
      </c>
      <c r="C61" s="120">
        <v>0</v>
      </c>
      <c r="D61" s="120">
        <v>0</v>
      </c>
      <c r="E61" s="120">
        <v>0</v>
      </c>
      <c r="F61" s="120">
        <v>0</v>
      </c>
      <c r="G61" s="122">
        <v>0</v>
      </c>
      <c r="H61" s="120">
        <v>0</v>
      </c>
      <c r="I61" s="122" t="s">
        <v>542</v>
      </c>
      <c r="J61" s="120">
        <v>0</v>
      </c>
      <c r="K61" s="122" t="s">
        <v>542</v>
      </c>
      <c r="L61" s="120">
        <v>0</v>
      </c>
      <c r="M61" s="122">
        <v>0</v>
      </c>
      <c r="N61" s="120">
        <v>0</v>
      </c>
      <c r="O61" s="122">
        <v>0</v>
      </c>
      <c r="P61" s="120">
        <v>0</v>
      </c>
      <c r="Q61" s="120">
        <v>0</v>
      </c>
      <c r="R61" s="404">
        <v>0</v>
      </c>
      <c r="S61" s="120">
        <v>0</v>
      </c>
      <c r="T61" s="120">
        <v>0</v>
      </c>
      <c r="U61" s="120">
        <v>0</v>
      </c>
      <c r="V61" s="120">
        <v>0</v>
      </c>
      <c r="W61" s="120">
        <v>0</v>
      </c>
      <c r="X61" s="120">
        <v>0</v>
      </c>
      <c r="Y61" s="120">
        <v>0</v>
      </c>
      <c r="Z61" s="120">
        <f t="shared" si="2"/>
        <v>0</v>
      </c>
      <c r="AA61" s="120">
        <v>0</v>
      </c>
      <c r="AB61" s="120">
        <v>0</v>
      </c>
      <c r="AC61" s="120">
        <f t="shared" si="1"/>
        <v>0</v>
      </c>
    </row>
    <row r="62" spans="1:29" x14ac:dyDescent="0.25">
      <c r="A62" s="57" t="s">
        <v>203</v>
      </c>
      <c r="B62" s="218" t="s">
        <v>143</v>
      </c>
      <c r="C62" s="120">
        <v>0</v>
      </c>
      <c r="D62" s="120">
        <v>0</v>
      </c>
      <c r="E62" s="120">
        <v>0</v>
      </c>
      <c r="F62" s="120">
        <v>0</v>
      </c>
      <c r="G62" s="122">
        <v>0</v>
      </c>
      <c r="H62" s="120">
        <v>0</v>
      </c>
      <c r="I62" s="122" t="s">
        <v>542</v>
      </c>
      <c r="J62" s="120">
        <v>0</v>
      </c>
      <c r="K62" s="122" t="s">
        <v>542</v>
      </c>
      <c r="L62" s="120">
        <v>0</v>
      </c>
      <c r="M62" s="122">
        <v>0</v>
      </c>
      <c r="N62" s="120">
        <v>0</v>
      </c>
      <c r="O62" s="122">
        <v>0</v>
      </c>
      <c r="P62" s="120">
        <v>0</v>
      </c>
      <c r="Q62" s="120">
        <v>0</v>
      </c>
      <c r="R62" s="404">
        <v>0</v>
      </c>
      <c r="S62" s="120">
        <v>0</v>
      </c>
      <c r="T62" s="120">
        <v>0</v>
      </c>
      <c r="U62" s="120">
        <v>0</v>
      </c>
      <c r="V62" s="120">
        <v>0</v>
      </c>
      <c r="W62" s="120">
        <v>0</v>
      </c>
      <c r="X62" s="120">
        <v>0</v>
      </c>
      <c r="Y62" s="120">
        <v>0</v>
      </c>
      <c r="Z62" s="120">
        <f t="shared" si="2"/>
        <v>0</v>
      </c>
      <c r="AA62" s="120">
        <v>0</v>
      </c>
      <c r="AB62" s="120">
        <v>0</v>
      </c>
      <c r="AC62" s="120">
        <f t="shared" si="1"/>
        <v>0</v>
      </c>
    </row>
    <row r="63" spans="1:29" x14ac:dyDescent="0.25">
      <c r="A63" s="57" t="s">
        <v>204</v>
      </c>
      <c r="B63" s="218" t="s">
        <v>206</v>
      </c>
      <c r="C63" s="120">
        <v>0</v>
      </c>
      <c r="D63" s="120">
        <v>0</v>
      </c>
      <c r="E63" s="120">
        <v>0</v>
      </c>
      <c r="F63" s="120">
        <v>0</v>
      </c>
      <c r="G63" s="122">
        <v>0</v>
      </c>
      <c r="H63" s="120">
        <v>0</v>
      </c>
      <c r="I63" s="122" t="s">
        <v>542</v>
      </c>
      <c r="J63" s="120">
        <v>0</v>
      </c>
      <c r="K63" s="122" t="s">
        <v>542</v>
      </c>
      <c r="L63" s="120">
        <v>0</v>
      </c>
      <c r="M63" s="122">
        <v>0</v>
      </c>
      <c r="N63" s="120">
        <v>0</v>
      </c>
      <c r="O63" s="122">
        <v>0</v>
      </c>
      <c r="P63" s="120">
        <v>0</v>
      </c>
      <c r="Q63" s="120">
        <v>0</v>
      </c>
      <c r="R63" s="404">
        <v>0</v>
      </c>
      <c r="S63" s="120">
        <v>0</v>
      </c>
      <c r="T63" s="120">
        <v>0</v>
      </c>
      <c r="U63" s="120">
        <v>0</v>
      </c>
      <c r="V63" s="120">
        <v>0</v>
      </c>
      <c r="W63" s="120">
        <v>0</v>
      </c>
      <c r="X63" s="120">
        <v>0</v>
      </c>
      <c r="Y63" s="120">
        <v>0</v>
      </c>
      <c r="Z63" s="120">
        <f t="shared" si="2"/>
        <v>0</v>
      </c>
      <c r="AA63" s="120">
        <v>0</v>
      </c>
      <c r="AB63" s="120">
        <v>0</v>
      </c>
      <c r="AC63" s="120">
        <f t="shared" si="1"/>
        <v>0</v>
      </c>
    </row>
    <row r="64" spans="1:29" ht="18.75" x14ac:dyDescent="0.25">
      <c r="A64" s="57" t="s">
        <v>205</v>
      </c>
      <c r="B64" s="216" t="s">
        <v>557</v>
      </c>
      <c r="C64" s="120">
        <v>0</v>
      </c>
      <c r="D64" s="120">
        <v>0</v>
      </c>
      <c r="E64" s="120">
        <v>0</v>
      </c>
      <c r="F64" s="120">
        <v>0</v>
      </c>
      <c r="G64" s="122">
        <v>0</v>
      </c>
      <c r="H64" s="120">
        <v>0</v>
      </c>
      <c r="I64" s="122" t="s">
        <v>542</v>
      </c>
      <c r="J64" s="120">
        <v>0</v>
      </c>
      <c r="K64" s="122" t="s">
        <v>542</v>
      </c>
      <c r="L64" s="120">
        <v>0</v>
      </c>
      <c r="M64" s="122">
        <v>0</v>
      </c>
      <c r="N64" s="120">
        <v>0</v>
      </c>
      <c r="O64" s="122">
        <v>0</v>
      </c>
      <c r="P64" s="120">
        <v>0</v>
      </c>
      <c r="Q64" s="120">
        <v>0</v>
      </c>
      <c r="R64" s="404">
        <v>0</v>
      </c>
      <c r="S64" s="120">
        <v>0</v>
      </c>
      <c r="T64" s="120">
        <v>0</v>
      </c>
      <c r="U64" s="120">
        <v>0</v>
      </c>
      <c r="V64" s="120">
        <v>0</v>
      </c>
      <c r="W64" s="120">
        <v>0</v>
      </c>
      <c r="X64" s="120">
        <v>0</v>
      </c>
      <c r="Y64" s="120">
        <v>0</v>
      </c>
      <c r="Z64" s="120">
        <f t="shared" si="2"/>
        <v>0</v>
      </c>
      <c r="AA64" s="120">
        <v>0</v>
      </c>
      <c r="AB64" s="120">
        <v>0</v>
      </c>
      <c r="AC64" s="120">
        <f t="shared" si="1"/>
        <v>0</v>
      </c>
    </row>
    <row r="65" spans="1:28" x14ac:dyDescent="0.25">
      <c r="A65" s="53"/>
      <c r="B65" s="54"/>
      <c r="C65" s="54"/>
      <c r="D65" s="54"/>
      <c r="E65" s="54"/>
      <c r="F65" s="54"/>
      <c r="G65" s="54"/>
    </row>
    <row r="66" spans="1:28" ht="54" customHeight="1" x14ac:dyDescent="0.25">
      <c r="B66" s="466"/>
      <c r="C66" s="466"/>
      <c r="D66" s="466"/>
      <c r="E66" s="466"/>
      <c r="F66" s="466"/>
      <c r="G66" s="393"/>
      <c r="H66" s="52"/>
      <c r="I66" s="52"/>
      <c r="J66" s="52"/>
      <c r="K66" s="52"/>
      <c r="L66" s="52"/>
      <c r="M66" s="52"/>
      <c r="N66" s="52"/>
      <c r="O66" s="52"/>
      <c r="P66" s="52"/>
      <c r="Q66" s="52"/>
      <c r="R66" s="52"/>
      <c r="S66" s="52"/>
      <c r="T66" s="52"/>
      <c r="U66" s="52"/>
      <c r="V66" s="52"/>
      <c r="W66" s="52"/>
      <c r="X66" s="52"/>
      <c r="Y66" s="52"/>
      <c r="Z66" s="52"/>
      <c r="AA66" s="52"/>
      <c r="AB66" s="52"/>
    </row>
    <row r="68" spans="1:28" ht="50.25" customHeight="1" x14ac:dyDescent="0.25">
      <c r="B68" s="467"/>
      <c r="C68" s="467"/>
      <c r="D68" s="467"/>
      <c r="E68" s="467"/>
      <c r="F68" s="467"/>
      <c r="G68" s="394"/>
    </row>
    <row r="70" spans="1:28" ht="36.75" customHeight="1" x14ac:dyDescent="0.25">
      <c r="B70" s="466"/>
      <c r="C70" s="466"/>
      <c r="D70" s="466"/>
      <c r="E70" s="466"/>
      <c r="F70" s="466"/>
      <c r="G70" s="393"/>
    </row>
    <row r="71" spans="1:28" x14ac:dyDescent="0.25">
      <c r="B71" s="51"/>
      <c r="C71" s="51"/>
      <c r="D71" s="51"/>
      <c r="E71" s="51"/>
      <c r="F71" s="51"/>
    </row>
    <row r="72" spans="1:28" ht="51" customHeight="1" x14ac:dyDescent="0.25">
      <c r="B72" s="466"/>
      <c r="C72" s="466"/>
      <c r="D72" s="466"/>
      <c r="E72" s="466"/>
      <c r="F72" s="466"/>
      <c r="G72" s="393"/>
    </row>
    <row r="73" spans="1:28" ht="32.25" customHeight="1" x14ac:dyDescent="0.25">
      <c r="B73" s="467"/>
      <c r="C73" s="467"/>
      <c r="D73" s="467"/>
      <c r="E73" s="467"/>
      <c r="F73" s="467"/>
      <c r="G73" s="394"/>
    </row>
    <row r="74" spans="1:28" ht="51.75" customHeight="1" x14ac:dyDescent="0.25">
      <c r="B74" s="466"/>
      <c r="C74" s="466"/>
      <c r="D74" s="466"/>
      <c r="E74" s="466"/>
      <c r="F74" s="466"/>
      <c r="G74" s="393"/>
    </row>
    <row r="75" spans="1:28" ht="21.75" customHeight="1" x14ac:dyDescent="0.25">
      <c r="B75" s="474"/>
      <c r="C75" s="474"/>
      <c r="D75" s="474"/>
      <c r="E75" s="474"/>
      <c r="F75" s="474"/>
      <c r="G75" s="397"/>
    </row>
    <row r="76" spans="1:28" ht="23.25" customHeight="1" x14ac:dyDescent="0.25">
      <c r="B76" s="46"/>
      <c r="C76" s="46"/>
      <c r="D76" s="46"/>
      <c r="E76" s="46"/>
      <c r="F76" s="46"/>
    </row>
    <row r="77" spans="1:28" ht="18.75" customHeight="1" x14ac:dyDescent="0.25">
      <c r="B77" s="465"/>
      <c r="C77" s="465"/>
      <c r="D77" s="465"/>
      <c r="E77" s="465"/>
      <c r="F77" s="465"/>
      <c r="G77" s="392"/>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conditionalFormatting sqref="J24:K24 N24:O24 J25:J64 N25:N64">
    <cfRule type="cellIs" dxfId="16" priority="74" operator="greaterThan">
      <formula>0</formula>
    </cfRule>
  </conditionalFormatting>
  <conditionalFormatting sqref="N24:O24 J24:K64 N25:N64">
    <cfRule type="cellIs" dxfId="15" priority="70" operator="notEqual">
      <formula>0</formula>
    </cfRule>
  </conditionalFormatting>
  <conditionalFormatting sqref="O25:O64">
    <cfRule type="cellIs" dxfId="14" priority="61" operator="notEqual">
      <formula>0</formula>
    </cfRule>
  </conditionalFormatting>
  <conditionalFormatting sqref="G25:G64">
    <cfRule type="cellIs" dxfId="13" priority="38" operator="notEqual">
      <formula>0</formula>
    </cfRule>
  </conditionalFormatting>
  <conditionalFormatting sqref="D24:D26 D53:D64 D29:D51">
    <cfRule type="cellIs" dxfId="12" priority="35" operator="greaterThan">
      <formula>0</formula>
    </cfRule>
  </conditionalFormatting>
  <conditionalFormatting sqref="D24:D26 D53:D64 D29:D51">
    <cfRule type="cellIs" dxfId="11" priority="34" operator="notEqual">
      <formula>0</formula>
    </cfRule>
  </conditionalFormatting>
  <conditionalFormatting sqref="G24">
    <cfRule type="cellIs" dxfId="10" priority="33" operator="greaterThan">
      <formula>0</formula>
    </cfRule>
  </conditionalFormatting>
  <conditionalFormatting sqref="G24">
    <cfRule type="cellIs" dxfId="9" priority="32" operator="notEqual">
      <formula>0</formula>
    </cfRule>
  </conditionalFormatting>
  <conditionalFormatting sqref="AC24:AC64">
    <cfRule type="cellIs" dxfId="8" priority="31" operator="notEqual">
      <formula>0</formula>
    </cfRule>
  </conditionalFormatting>
  <conditionalFormatting sqref="C24:C64 D52 E24:F64 D27:D28">
    <cfRule type="cellIs" dxfId="7" priority="10" operator="greaterThan">
      <formula>0</formula>
    </cfRule>
  </conditionalFormatting>
  <conditionalFormatting sqref="C24:C64 D52 E24:F64 D27:D28">
    <cfRule type="cellIs" dxfId="6" priority="9" operator="notEqual">
      <formula>0</formula>
    </cfRule>
  </conditionalFormatting>
  <conditionalFormatting sqref="H24:I24 H25:H64">
    <cfRule type="cellIs" dxfId="5" priority="8" operator="greaterThan">
      <formula>0</formula>
    </cfRule>
  </conditionalFormatting>
  <conditionalFormatting sqref="H24:I64">
    <cfRule type="cellIs" dxfId="4" priority="7" operator="notEqual">
      <formula>0</formula>
    </cfRule>
  </conditionalFormatting>
  <conditionalFormatting sqref="L24:M24 L25:L64">
    <cfRule type="cellIs" dxfId="3" priority="6" operator="greaterThan">
      <formula>0</formula>
    </cfRule>
  </conditionalFormatting>
  <conditionalFormatting sqref="L24:M24 L25:L64">
    <cfRule type="cellIs" dxfId="2" priority="5" operator="notEqual">
      <formula>0</formula>
    </cfRule>
  </conditionalFormatting>
  <conditionalFormatting sqref="M25:M64">
    <cfRule type="cellIs" dxfId="1" priority="4" operator="notEqual">
      <formula>0</formula>
    </cfRule>
  </conditionalFormatting>
  <conditionalFormatting sqref="AB24:AB64">
    <cfRule type="cellIs" dxfId="0" priority="3"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T1" zoomScale="70" zoomScaleSheetLayoutView="70" workbookViewId="0">
      <selection activeCell="A15" sqref="A15:AV15"/>
    </sheetView>
  </sheetViews>
  <sheetFormatPr defaultColWidth="9.140625" defaultRowHeight="15" x14ac:dyDescent="0.25"/>
  <cols>
    <col min="1" max="1" width="6.140625" style="183" customWidth="1"/>
    <col min="2" max="2" width="23.140625" style="184" customWidth="1"/>
    <col min="3" max="3" width="13.85546875" style="184" customWidth="1"/>
    <col min="4" max="4" width="15.140625" style="184" customWidth="1"/>
    <col min="5" max="12" width="7.7109375" style="184" customWidth="1"/>
    <col min="13" max="13" width="18" style="184" customWidth="1"/>
    <col min="14" max="14" width="53.28515625" style="184" customWidth="1"/>
    <col min="15" max="15" width="24.5703125" style="184" customWidth="1"/>
    <col min="16" max="16" width="23.140625" style="184" customWidth="1"/>
    <col min="17" max="17" width="21.85546875" style="184" customWidth="1"/>
    <col min="18" max="18" width="20.140625" style="184" customWidth="1"/>
    <col min="19" max="19" width="14.28515625" style="184" customWidth="1"/>
    <col min="20" max="20" width="12.42578125" style="184" customWidth="1"/>
    <col min="21" max="21" width="11.42578125" style="184" customWidth="1"/>
    <col min="22" max="22" width="12.7109375" style="184" customWidth="1"/>
    <col min="23" max="23" width="27.85546875" style="184" customWidth="1"/>
    <col min="24" max="24" width="21.28515625" style="184" customWidth="1"/>
    <col min="25" max="25" width="21.140625" style="184" customWidth="1"/>
    <col min="26" max="26" width="7.7109375" style="184" customWidth="1"/>
    <col min="27" max="27" width="23.28515625" style="184" customWidth="1"/>
    <col min="28" max="28" width="21.28515625" style="184" customWidth="1"/>
    <col min="29" max="29" width="28.5703125" style="184" customWidth="1"/>
    <col min="30" max="30" width="17.42578125" style="184" customWidth="1"/>
    <col min="31" max="31" width="25.7109375" style="184" customWidth="1"/>
    <col min="32" max="32" width="17.42578125" style="184" customWidth="1"/>
    <col min="33" max="33" width="17.28515625" style="184" customWidth="1"/>
    <col min="34" max="34" width="14.7109375" style="184" customWidth="1"/>
    <col min="35" max="35" width="15.42578125" style="184" customWidth="1"/>
    <col min="36" max="36" width="20" style="184" customWidth="1"/>
    <col min="37" max="37" width="19.85546875" style="184" customWidth="1"/>
    <col min="38" max="38" width="26.7109375" style="184" customWidth="1"/>
    <col min="39" max="39" width="20.140625" style="184" customWidth="1"/>
    <col min="40" max="40" width="16.140625" style="184" customWidth="1"/>
    <col min="41" max="41" width="16.5703125" style="184" customWidth="1"/>
    <col min="42" max="42" width="16.28515625" style="184" customWidth="1"/>
    <col min="43" max="43" width="17.140625" style="184" customWidth="1"/>
    <col min="44" max="44" width="18" style="184" customWidth="1"/>
    <col min="45" max="45" width="16.140625" style="184" customWidth="1"/>
    <col min="46" max="46" width="18" style="184" customWidth="1"/>
    <col min="47" max="47" width="16.28515625" style="184" customWidth="1"/>
    <col min="48" max="48" width="19.7109375" style="184" customWidth="1"/>
    <col min="49" max="16384" width="9.140625" style="184"/>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ht="18.75" x14ac:dyDescent="0.3">
      <c r="AV6" s="14"/>
    </row>
    <row r="7" spans="1:48" ht="18.75" x14ac:dyDescent="0.25">
      <c r="A7" s="417" t="s">
        <v>7</v>
      </c>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417"/>
      <c r="AB7" s="417"/>
      <c r="AC7" s="417"/>
      <c r="AD7" s="417"/>
      <c r="AE7" s="417"/>
      <c r="AF7" s="417"/>
      <c r="AG7" s="417"/>
      <c r="AH7" s="417"/>
      <c r="AI7" s="417"/>
      <c r="AJ7" s="417"/>
      <c r="AK7" s="417"/>
      <c r="AL7" s="417"/>
      <c r="AM7" s="417"/>
      <c r="AN7" s="417"/>
      <c r="AO7" s="417"/>
      <c r="AP7" s="417"/>
      <c r="AQ7" s="417"/>
      <c r="AR7" s="417"/>
      <c r="AS7" s="417"/>
      <c r="AT7" s="417"/>
      <c r="AU7" s="417"/>
      <c r="AV7" s="417"/>
    </row>
    <row r="8" spans="1:48" ht="18.75" x14ac:dyDescent="0.25">
      <c r="A8" s="417"/>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c r="AD8" s="417"/>
      <c r="AE8" s="417"/>
      <c r="AF8" s="417"/>
      <c r="AG8" s="417"/>
      <c r="AH8" s="417"/>
      <c r="AI8" s="417"/>
      <c r="AJ8" s="417"/>
      <c r="AK8" s="417"/>
      <c r="AL8" s="417"/>
      <c r="AM8" s="417"/>
      <c r="AN8" s="417"/>
      <c r="AO8" s="417"/>
      <c r="AP8" s="417"/>
      <c r="AQ8" s="417"/>
      <c r="AR8" s="417"/>
      <c r="AS8" s="417"/>
      <c r="AT8" s="417"/>
      <c r="AU8" s="417"/>
      <c r="AV8" s="417"/>
    </row>
    <row r="9" spans="1:48" ht="15.75" x14ac:dyDescent="0.25">
      <c r="A9" s="415" t="str">
        <f>'1. паспорт местоположение'!A9:C9</f>
        <v xml:space="preserve">Акционерное общество "Западная энергетическая компания" </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415"/>
      <c r="AB9" s="415"/>
      <c r="AC9" s="415"/>
      <c r="AD9" s="415"/>
      <c r="AE9" s="415"/>
      <c r="AF9" s="415"/>
      <c r="AG9" s="415"/>
      <c r="AH9" s="415"/>
      <c r="AI9" s="415"/>
      <c r="AJ9" s="415"/>
      <c r="AK9" s="415"/>
      <c r="AL9" s="415"/>
      <c r="AM9" s="415"/>
      <c r="AN9" s="415"/>
      <c r="AO9" s="415"/>
      <c r="AP9" s="415"/>
      <c r="AQ9" s="415"/>
      <c r="AR9" s="415"/>
      <c r="AS9" s="415"/>
      <c r="AT9" s="415"/>
      <c r="AU9" s="415"/>
      <c r="AV9" s="415"/>
    </row>
    <row r="10" spans="1:48" ht="15.75" x14ac:dyDescent="0.25">
      <c r="A10" s="421" t="s">
        <v>6</v>
      </c>
      <c r="B10" s="421"/>
      <c r="C10" s="421"/>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421"/>
      <c r="AB10" s="421"/>
      <c r="AC10" s="421"/>
      <c r="AD10" s="421"/>
      <c r="AE10" s="421"/>
      <c r="AF10" s="421"/>
      <c r="AG10" s="421"/>
      <c r="AH10" s="421"/>
      <c r="AI10" s="421"/>
      <c r="AJ10" s="421"/>
      <c r="AK10" s="421"/>
      <c r="AL10" s="421"/>
      <c r="AM10" s="421"/>
      <c r="AN10" s="421"/>
      <c r="AO10" s="421"/>
      <c r="AP10" s="421"/>
      <c r="AQ10" s="421"/>
      <c r="AR10" s="421"/>
      <c r="AS10" s="421"/>
      <c r="AT10" s="421"/>
      <c r="AU10" s="421"/>
      <c r="AV10" s="421"/>
    </row>
    <row r="11" spans="1:48" ht="18.75" x14ac:dyDescent="0.25">
      <c r="A11" s="417"/>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c r="AD11" s="417"/>
      <c r="AE11" s="417"/>
      <c r="AF11" s="417"/>
      <c r="AG11" s="417"/>
      <c r="AH11" s="417"/>
      <c r="AI11" s="417"/>
      <c r="AJ11" s="417"/>
      <c r="AK11" s="417"/>
      <c r="AL11" s="417"/>
      <c r="AM11" s="417"/>
      <c r="AN11" s="417"/>
      <c r="AO11" s="417"/>
      <c r="AP11" s="417"/>
      <c r="AQ11" s="417"/>
      <c r="AR11" s="417"/>
      <c r="AS11" s="417"/>
      <c r="AT11" s="417"/>
      <c r="AU11" s="417"/>
      <c r="AV11" s="417"/>
    </row>
    <row r="12" spans="1:48" ht="15.75" x14ac:dyDescent="0.25">
      <c r="A12" s="415" t="str">
        <f>'1. паспорт местоположение'!A12:C12</f>
        <v>J 19-02</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415"/>
      <c r="AB12" s="415"/>
      <c r="AC12" s="415"/>
      <c r="AD12" s="415"/>
      <c r="AE12" s="415"/>
      <c r="AF12" s="415"/>
      <c r="AG12" s="415"/>
      <c r="AH12" s="415"/>
      <c r="AI12" s="415"/>
      <c r="AJ12" s="415"/>
      <c r="AK12" s="415"/>
      <c r="AL12" s="415"/>
      <c r="AM12" s="415"/>
      <c r="AN12" s="415"/>
      <c r="AO12" s="415"/>
      <c r="AP12" s="415"/>
      <c r="AQ12" s="415"/>
      <c r="AR12" s="415"/>
      <c r="AS12" s="415"/>
      <c r="AT12" s="415"/>
      <c r="AU12" s="415"/>
      <c r="AV12" s="415"/>
    </row>
    <row r="13" spans="1:48" ht="15.75" x14ac:dyDescent="0.25">
      <c r="A13" s="421" t="s">
        <v>5</v>
      </c>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421"/>
      <c r="AB13" s="421"/>
      <c r="AC13" s="421"/>
      <c r="AD13" s="421"/>
      <c r="AE13" s="421"/>
      <c r="AF13" s="421"/>
      <c r="AG13" s="421"/>
      <c r="AH13" s="421"/>
      <c r="AI13" s="421"/>
      <c r="AJ13" s="421"/>
      <c r="AK13" s="421"/>
      <c r="AL13" s="421"/>
      <c r="AM13" s="421"/>
      <c r="AN13" s="421"/>
      <c r="AO13" s="421"/>
      <c r="AP13" s="421"/>
      <c r="AQ13" s="421"/>
      <c r="AR13" s="421"/>
      <c r="AS13" s="421"/>
      <c r="AT13" s="421"/>
      <c r="AU13" s="421"/>
      <c r="AV13" s="421"/>
    </row>
    <row r="14" spans="1:48" ht="18.75" x14ac:dyDescent="0.25">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row>
    <row r="15" spans="1:48" ht="15.75" x14ac:dyDescent="0.25">
      <c r="A15" s="415"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c r="AD15" s="415"/>
      <c r="AE15" s="415"/>
      <c r="AF15" s="415"/>
      <c r="AG15" s="415"/>
      <c r="AH15" s="415"/>
      <c r="AI15" s="415"/>
      <c r="AJ15" s="415"/>
      <c r="AK15" s="415"/>
      <c r="AL15" s="415"/>
      <c r="AM15" s="415"/>
      <c r="AN15" s="415"/>
      <c r="AO15" s="415"/>
      <c r="AP15" s="415"/>
      <c r="AQ15" s="415"/>
      <c r="AR15" s="415"/>
      <c r="AS15" s="415"/>
      <c r="AT15" s="415"/>
      <c r="AU15" s="415"/>
      <c r="AV15" s="415"/>
    </row>
    <row r="16" spans="1:48" ht="15.75" x14ac:dyDescent="0.25">
      <c r="A16" s="421" t="s">
        <v>4</v>
      </c>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421"/>
      <c r="AB16" s="421"/>
      <c r="AC16" s="421"/>
      <c r="AD16" s="421"/>
      <c r="AE16" s="421"/>
      <c r="AF16" s="421"/>
      <c r="AG16" s="421"/>
      <c r="AH16" s="421"/>
      <c r="AI16" s="421"/>
      <c r="AJ16" s="421"/>
      <c r="AK16" s="421"/>
      <c r="AL16" s="421"/>
      <c r="AM16" s="421"/>
      <c r="AN16" s="421"/>
      <c r="AO16" s="421"/>
      <c r="AP16" s="421"/>
      <c r="AQ16" s="421"/>
      <c r="AR16" s="421"/>
      <c r="AS16" s="421"/>
      <c r="AT16" s="421"/>
      <c r="AU16" s="421"/>
      <c r="AV16" s="421"/>
    </row>
    <row r="17" spans="1:48" x14ac:dyDescent="0.25">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row>
    <row r="18" spans="1:48" ht="14.25" customHeight="1" x14ac:dyDescent="0.25">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c r="AD18" s="459"/>
      <c r="AE18" s="459"/>
      <c r="AF18" s="459"/>
      <c r="AG18" s="459"/>
      <c r="AH18" s="459"/>
      <c r="AI18" s="459"/>
      <c r="AJ18" s="459"/>
      <c r="AK18" s="459"/>
      <c r="AL18" s="459"/>
      <c r="AM18" s="459"/>
      <c r="AN18" s="459"/>
      <c r="AO18" s="459"/>
      <c r="AP18" s="459"/>
      <c r="AQ18" s="459"/>
      <c r="AR18" s="459"/>
      <c r="AS18" s="459"/>
      <c r="AT18" s="459"/>
      <c r="AU18" s="459"/>
      <c r="AV18" s="459"/>
    </row>
    <row r="19" spans="1:48" x14ac:dyDescent="0.25">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459"/>
      <c r="AB19" s="459"/>
      <c r="AC19" s="459"/>
      <c r="AD19" s="459"/>
      <c r="AE19" s="459"/>
      <c r="AF19" s="459"/>
      <c r="AG19" s="459"/>
      <c r="AH19" s="459"/>
      <c r="AI19" s="459"/>
      <c r="AJ19" s="459"/>
      <c r="AK19" s="459"/>
      <c r="AL19" s="459"/>
      <c r="AM19" s="459"/>
      <c r="AN19" s="459"/>
      <c r="AO19" s="459"/>
      <c r="AP19" s="459"/>
      <c r="AQ19" s="459"/>
      <c r="AR19" s="459"/>
      <c r="AS19" s="459"/>
      <c r="AT19" s="459"/>
      <c r="AU19" s="459"/>
      <c r="AV19" s="459"/>
    </row>
    <row r="20" spans="1:48" s="185" customFormat="1"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453"/>
      <c r="AB20" s="453"/>
      <c r="AC20" s="453"/>
      <c r="AD20" s="453"/>
      <c r="AE20" s="453"/>
      <c r="AF20" s="453"/>
      <c r="AG20" s="453"/>
      <c r="AH20" s="453"/>
      <c r="AI20" s="453"/>
      <c r="AJ20" s="453"/>
      <c r="AK20" s="453"/>
      <c r="AL20" s="453"/>
      <c r="AM20" s="453"/>
      <c r="AN20" s="453"/>
      <c r="AO20" s="453"/>
      <c r="AP20" s="453"/>
      <c r="AQ20" s="453"/>
      <c r="AR20" s="453"/>
      <c r="AS20" s="453"/>
      <c r="AT20" s="453"/>
      <c r="AU20" s="453"/>
      <c r="AV20" s="453"/>
    </row>
    <row r="21" spans="1:48" s="185" customFormat="1" x14ac:dyDescent="0.25">
      <c r="A21" s="523" t="s">
        <v>405</v>
      </c>
      <c r="B21" s="523"/>
      <c r="C21" s="523"/>
      <c r="D21" s="523"/>
      <c r="E21" s="523"/>
      <c r="F21" s="523"/>
      <c r="G21" s="523"/>
      <c r="H21" s="523"/>
      <c r="I21" s="523"/>
      <c r="J21" s="523"/>
      <c r="K21" s="523"/>
      <c r="L21" s="523"/>
      <c r="M21" s="523"/>
      <c r="N21" s="523"/>
      <c r="O21" s="523"/>
      <c r="P21" s="523"/>
      <c r="Q21" s="523"/>
      <c r="R21" s="523"/>
      <c r="S21" s="523"/>
      <c r="T21" s="523"/>
      <c r="U21" s="523"/>
      <c r="V21" s="523"/>
      <c r="W21" s="523"/>
      <c r="X21" s="523"/>
      <c r="Y21" s="523"/>
      <c r="Z21" s="523"/>
      <c r="AA21" s="523"/>
      <c r="AB21" s="523"/>
      <c r="AC21" s="523"/>
      <c r="AD21" s="523"/>
      <c r="AE21" s="523"/>
      <c r="AF21" s="523"/>
      <c r="AG21" s="523"/>
      <c r="AH21" s="523"/>
      <c r="AI21" s="523"/>
      <c r="AJ21" s="523"/>
      <c r="AK21" s="523"/>
      <c r="AL21" s="523"/>
      <c r="AM21" s="523"/>
      <c r="AN21" s="523"/>
      <c r="AO21" s="523"/>
      <c r="AP21" s="523"/>
      <c r="AQ21" s="523"/>
      <c r="AR21" s="523"/>
      <c r="AS21" s="523"/>
      <c r="AT21" s="523"/>
      <c r="AU21" s="523"/>
      <c r="AV21" s="523"/>
    </row>
    <row r="22" spans="1:48" s="185" customFormat="1" ht="58.5" customHeight="1" x14ac:dyDescent="0.25">
      <c r="A22" s="524" t="s">
        <v>50</v>
      </c>
      <c r="B22" s="528" t="s">
        <v>22</v>
      </c>
      <c r="C22" s="514" t="s">
        <v>49</v>
      </c>
      <c r="D22" s="514" t="s">
        <v>48</v>
      </c>
      <c r="E22" s="531" t="s">
        <v>415</v>
      </c>
      <c r="F22" s="532"/>
      <c r="G22" s="532"/>
      <c r="H22" s="532"/>
      <c r="I22" s="532"/>
      <c r="J22" s="532"/>
      <c r="K22" s="532"/>
      <c r="L22" s="533"/>
      <c r="M22" s="514" t="s">
        <v>47</v>
      </c>
      <c r="N22" s="514" t="s">
        <v>46</v>
      </c>
      <c r="O22" s="514" t="s">
        <v>45</v>
      </c>
      <c r="P22" s="509" t="s">
        <v>228</v>
      </c>
      <c r="Q22" s="509" t="s">
        <v>44</v>
      </c>
      <c r="R22" s="509" t="s">
        <v>43</v>
      </c>
      <c r="S22" s="509" t="s">
        <v>42</v>
      </c>
      <c r="T22" s="509"/>
      <c r="U22" s="534" t="s">
        <v>41</v>
      </c>
      <c r="V22" s="534" t="s">
        <v>40</v>
      </c>
      <c r="W22" s="509" t="s">
        <v>39</v>
      </c>
      <c r="X22" s="509" t="s">
        <v>38</v>
      </c>
      <c r="Y22" s="509" t="s">
        <v>37</v>
      </c>
      <c r="Z22" s="516" t="s">
        <v>36</v>
      </c>
      <c r="AA22" s="509" t="s">
        <v>35</v>
      </c>
      <c r="AB22" s="509" t="s">
        <v>34</v>
      </c>
      <c r="AC22" s="509" t="s">
        <v>33</v>
      </c>
      <c r="AD22" s="509" t="s">
        <v>32</v>
      </c>
      <c r="AE22" s="509" t="s">
        <v>31</v>
      </c>
      <c r="AF22" s="509" t="s">
        <v>30</v>
      </c>
      <c r="AG22" s="509"/>
      <c r="AH22" s="509"/>
      <c r="AI22" s="509"/>
      <c r="AJ22" s="509"/>
      <c r="AK22" s="509"/>
      <c r="AL22" s="509" t="s">
        <v>29</v>
      </c>
      <c r="AM22" s="509"/>
      <c r="AN22" s="509"/>
      <c r="AO22" s="509"/>
      <c r="AP22" s="509" t="s">
        <v>28</v>
      </c>
      <c r="AQ22" s="509"/>
      <c r="AR22" s="509" t="s">
        <v>27</v>
      </c>
      <c r="AS22" s="509" t="s">
        <v>26</v>
      </c>
      <c r="AT22" s="509" t="s">
        <v>25</v>
      </c>
      <c r="AU22" s="509" t="s">
        <v>24</v>
      </c>
      <c r="AV22" s="517" t="s">
        <v>23</v>
      </c>
    </row>
    <row r="23" spans="1:48" s="185" customFormat="1" ht="64.5" customHeight="1" x14ac:dyDescent="0.25">
      <c r="A23" s="525"/>
      <c r="B23" s="529"/>
      <c r="C23" s="527"/>
      <c r="D23" s="527"/>
      <c r="E23" s="519" t="s">
        <v>21</v>
      </c>
      <c r="F23" s="510" t="s">
        <v>126</v>
      </c>
      <c r="G23" s="510" t="s">
        <v>125</v>
      </c>
      <c r="H23" s="510" t="s">
        <v>124</v>
      </c>
      <c r="I23" s="512" t="s">
        <v>353</v>
      </c>
      <c r="J23" s="512" t="s">
        <v>354</v>
      </c>
      <c r="K23" s="512" t="s">
        <v>355</v>
      </c>
      <c r="L23" s="510" t="s">
        <v>74</v>
      </c>
      <c r="M23" s="527"/>
      <c r="N23" s="527"/>
      <c r="O23" s="527"/>
      <c r="P23" s="509"/>
      <c r="Q23" s="509"/>
      <c r="R23" s="509"/>
      <c r="S23" s="521" t="s">
        <v>2</v>
      </c>
      <c r="T23" s="521" t="s">
        <v>9</v>
      </c>
      <c r="U23" s="534"/>
      <c r="V23" s="534"/>
      <c r="W23" s="509"/>
      <c r="X23" s="509"/>
      <c r="Y23" s="509"/>
      <c r="Z23" s="509"/>
      <c r="AA23" s="509"/>
      <c r="AB23" s="509"/>
      <c r="AC23" s="509"/>
      <c r="AD23" s="509"/>
      <c r="AE23" s="509"/>
      <c r="AF23" s="509" t="s">
        <v>20</v>
      </c>
      <c r="AG23" s="509"/>
      <c r="AH23" s="509" t="s">
        <v>19</v>
      </c>
      <c r="AI23" s="509"/>
      <c r="AJ23" s="514" t="s">
        <v>18</v>
      </c>
      <c r="AK23" s="514" t="s">
        <v>17</v>
      </c>
      <c r="AL23" s="514" t="s">
        <v>16</v>
      </c>
      <c r="AM23" s="514" t="s">
        <v>15</v>
      </c>
      <c r="AN23" s="514" t="s">
        <v>14</v>
      </c>
      <c r="AO23" s="514" t="s">
        <v>13</v>
      </c>
      <c r="AP23" s="514" t="s">
        <v>12</v>
      </c>
      <c r="AQ23" s="535" t="s">
        <v>9</v>
      </c>
      <c r="AR23" s="509"/>
      <c r="AS23" s="509"/>
      <c r="AT23" s="509"/>
      <c r="AU23" s="509"/>
      <c r="AV23" s="518"/>
    </row>
    <row r="24" spans="1:48" s="185" customFormat="1" ht="96.75" customHeight="1" x14ac:dyDescent="0.25">
      <c r="A24" s="526"/>
      <c r="B24" s="530"/>
      <c r="C24" s="515"/>
      <c r="D24" s="515"/>
      <c r="E24" s="520"/>
      <c r="F24" s="511"/>
      <c r="G24" s="511"/>
      <c r="H24" s="511"/>
      <c r="I24" s="513"/>
      <c r="J24" s="513"/>
      <c r="K24" s="513"/>
      <c r="L24" s="511"/>
      <c r="M24" s="515"/>
      <c r="N24" s="515"/>
      <c r="O24" s="515"/>
      <c r="P24" s="509"/>
      <c r="Q24" s="509"/>
      <c r="R24" s="509"/>
      <c r="S24" s="522"/>
      <c r="T24" s="522"/>
      <c r="U24" s="534"/>
      <c r="V24" s="534"/>
      <c r="W24" s="509"/>
      <c r="X24" s="509"/>
      <c r="Y24" s="509"/>
      <c r="Z24" s="509"/>
      <c r="AA24" s="509"/>
      <c r="AB24" s="509"/>
      <c r="AC24" s="509"/>
      <c r="AD24" s="509"/>
      <c r="AE24" s="509"/>
      <c r="AF24" s="186" t="s">
        <v>11</v>
      </c>
      <c r="AG24" s="186" t="s">
        <v>10</v>
      </c>
      <c r="AH24" s="187" t="s">
        <v>2</v>
      </c>
      <c r="AI24" s="187" t="s">
        <v>9</v>
      </c>
      <c r="AJ24" s="515"/>
      <c r="AK24" s="515"/>
      <c r="AL24" s="515"/>
      <c r="AM24" s="515"/>
      <c r="AN24" s="515"/>
      <c r="AO24" s="515"/>
      <c r="AP24" s="515"/>
      <c r="AQ24" s="536"/>
      <c r="AR24" s="509"/>
      <c r="AS24" s="509"/>
      <c r="AT24" s="509"/>
      <c r="AU24" s="509"/>
      <c r="AV24" s="518"/>
    </row>
    <row r="25" spans="1:48" s="190" customFormat="1" ht="11.25" x14ac:dyDescent="0.2">
      <c r="A25" s="188">
        <v>1</v>
      </c>
      <c r="B25" s="189">
        <v>2</v>
      </c>
      <c r="C25" s="189">
        <v>4</v>
      </c>
      <c r="D25" s="189">
        <v>5</v>
      </c>
      <c r="E25" s="189">
        <v>6</v>
      </c>
      <c r="F25" s="189">
        <f>E25+1</f>
        <v>7</v>
      </c>
      <c r="G25" s="189">
        <f t="shared" ref="G25:H25" si="0">F25+1</f>
        <v>8</v>
      </c>
      <c r="H25" s="189">
        <f t="shared" si="0"/>
        <v>9</v>
      </c>
      <c r="I25" s="189">
        <f t="shared" ref="I25" si="1">H25+1</f>
        <v>10</v>
      </c>
      <c r="J25" s="189">
        <f t="shared" ref="J25" si="2">I25+1</f>
        <v>11</v>
      </c>
      <c r="K25" s="189">
        <f t="shared" ref="K25" si="3">J25+1</f>
        <v>12</v>
      </c>
      <c r="L25" s="189">
        <f t="shared" ref="L25" si="4">K25+1</f>
        <v>13</v>
      </c>
      <c r="M25" s="189">
        <f t="shared" ref="M25" si="5">L25+1</f>
        <v>14</v>
      </c>
      <c r="N25" s="189">
        <f t="shared" ref="N25" si="6">M25+1</f>
        <v>15</v>
      </c>
      <c r="O25" s="189">
        <f t="shared" ref="O25" si="7">N25+1</f>
        <v>16</v>
      </c>
      <c r="P25" s="189">
        <f t="shared" ref="P25" si="8">O25+1</f>
        <v>17</v>
      </c>
      <c r="Q25" s="189">
        <f t="shared" ref="Q25" si="9">P25+1</f>
        <v>18</v>
      </c>
      <c r="R25" s="189">
        <f t="shared" ref="R25" si="10">Q25+1</f>
        <v>19</v>
      </c>
      <c r="S25" s="189">
        <f t="shared" ref="S25" si="11">R25+1</f>
        <v>20</v>
      </c>
      <c r="T25" s="189">
        <f t="shared" ref="T25" si="12">S25+1</f>
        <v>21</v>
      </c>
      <c r="U25" s="189">
        <f t="shared" ref="U25" si="13">T25+1</f>
        <v>22</v>
      </c>
      <c r="V25" s="189">
        <f t="shared" ref="V25" si="14">U25+1</f>
        <v>23</v>
      </c>
      <c r="W25" s="189">
        <f t="shared" ref="W25" si="15">V25+1</f>
        <v>24</v>
      </c>
      <c r="X25" s="189">
        <f t="shared" ref="X25" si="16">W25+1</f>
        <v>25</v>
      </c>
      <c r="Y25" s="189">
        <f t="shared" ref="Y25" si="17">X25+1</f>
        <v>26</v>
      </c>
      <c r="Z25" s="189">
        <f t="shared" ref="Z25" si="18">Y25+1</f>
        <v>27</v>
      </c>
      <c r="AA25" s="189">
        <f t="shared" ref="AA25" si="19">Z25+1</f>
        <v>28</v>
      </c>
      <c r="AB25" s="189">
        <f t="shared" ref="AB25" si="20">AA25+1</f>
        <v>29</v>
      </c>
      <c r="AC25" s="189">
        <f t="shared" ref="AC25" si="21">AB25+1</f>
        <v>30</v>
      </c>
      <c r="AD25" s="189">
        <f t="shared" ref="AD25" si="22">AC25+1</f>
        <v>31</v>
      </c>
      <c r="AE25" s="189">
        <f t="shared" ref="AE25" si="23">AD25+1</f>
        <v>32</v>
      </c>
      <c r="AF25" s="189">
        <f t="shared" ref="AF25" si="24">AE25+1</f>
        <v>33</v>
      </c>
      <c r="AG25" s="189">
        <f t="shared" ref="AG25" si="25">AF25+1</f>
        <v>34</v>
      </c>
      <c r="AH25" s="189">
        <f t="shared" ref="AH25" si="26">AG25+1</f>
        <v>35</v>
      </c>
      <c r="AI25" s="189">
        <f t="shared" ref="AI25" si="27">AH25+1</f>
        <v>36</v>
      </c>
      <c r="AJ25" s="189">
        <f t="shared" ref="AJ25" si="28">AI25+1</f>
        <v>37</v>
      </c>
      <c r="AK25" s="189">
        <f t="shared" ref="AK25" si="29">AJ25+1</f>
        <v>38</v>
      </c>
      <c r="AL25" s="189">
        <f t="shared" ref="AL25" si="30">AK25+1</f>
        <v>39</v>
      </c>
      <c r="AM25" s="189">
        <f t="shared" ref="AM25" si="31">AL25+1</f>
        <v>40</v>
      </c>
      <c r="AN25" s="189">
        <f t="shared" ref="AN25" si="32">AM25+1</f>
        <v>41</v>
      </c>
      <c r="AO25" s="189">
        <f t="shared" ref="AO25" si="33">AN25+1</f>
        <v>42</v>
      </c>
      <c r="AP25" s="189">
        <f t="shared" ref="AP25" si="34">AO25+1</f>
        <v>43</v>
      </c>
      <c r="AQ25" s="189">
        <f t="shared" ref="AQ25" si="35">AP25+1</f>
        <v>44</v>
      </c>
      <c r="AR25" s="189">
        <f t="shared" ref="AR25" si="36">AQ25+1</f>
        <v>45</v>
      </c>
      <c r="AS25" s="189">
        <f t="shared" ref="AS25" si="37">AR25+1</f>
        <v>46</v>
      </c>
      <c r="AT25" s="189">
        <f t="shared" ref="AT25" si="38">AS25+1</f>
        <v>47</v>
      </c>
      <c r="AU25" s="189">
        <f t="shared" ref="AU25" si="39">AT25+1</f>
        <v>48</v>
      </c>
      <c r="AV25" s="189">
        <f t="shared" ref="AV25" si="40">AU25+1</f>
        <v>49</v>
      </c>
    </row>
    <row r="26" spans="1:48" s="198" customFormat="1" ht="63" x14ac:dyDescent="0.25">
      <c r="A26" s="191">
        <v>1</v>
      </c>
      <c r="B26" s="192" t="str">
        <f>A9</f>
        <v xml:space="preserve">Акционерное общество "Западная энергетическая компания" </v>
      </c>
      <c r="C26" s="192" t="s">
        <v>62</v>
      </c>
      <c r="D26" s="208">
        <f>'6.1. Паспорт сетевой график'!D53</f>
        <v>45524</v>
      </c>
      <c r="E26" s="192"/>
      <c r="F26" s="192"/>
      <c r="G26" s="192">
        <f>'3.1. паспорт Техсостояние ПС'!O25</f>
        <v>32</v>
      </c>
      <c r="H26" s="192"/>
      <c r="I26" s="192"/>
      <c r="J26" s="192"/>
      <c r="K26" s="192"/>
      <c r="L26" s="192"/>
      <c r="M26" s="192" t="s">
        <v>534</v>
      </c>
      <c r="N26" s="192" t="s">
        <v>571</v>
      </c>
      <c r="O26" s="193" t="str">
        <f>B26</f>
        <v xml:space="preserve">Акционерное общество "Западная энергетическая компания" </v>
      </c>
      <c r="P26" s="194"/>
      <c r="Q26" s="192"/>
      <c r="R26" s="194"/>
      <c r="S26" s="193"/>
      <c r="T26" s="193"/>
      <c r="U26" s="193"/>
      <c r="V26" s="193"/>
      <c r="W26" s="193"/>
      <c r="X26" s="193"/>
      <c r="Y26" s="193"/>
      <c r="Z26" s="193"/>
      <c r="AA26" s="193"/>
      <c r="AB26" s="193"/>
      <c r="AC26" s="193"/>
      <c r="AD26" s="192"/>
      <c r="AE26" s="192"/>
      <c r="AF26" s="195"/>
      <c r="AG26" s="196"/>
      <c r="AH26" s="197"/>
      <c r="AI26" s="197"/>
      <c r="AJ26" s="197"/>
      <c r="AK26" s="197"/>
      <c r="AL26" s="192"/>
      <c r="AM26" s="192"/>
      <c r="AN26" s="192"/>
      <c r="AO26" s="192"/>
      <c r="AP26" s="233"/>
      <c r="AQ26" s="233"/>
      <c r="AR26" s="233"/>
      <c r="AS26" s="233"/>
      <c r="AT26" s="233"/>
      <c r="AU26" s="192"/>
      <c r="AV26" s="19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27"/>
  <sheetViews>
    <sheetView view="pageBreakPreview" zoomScale="90" zoomScaleNormal="90" zoomScaleSheetLayoutView="90" workbookViewId="0">
      <selection activeCell="B66" sqref="B66"/>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421</v>
      </c>
    </row>
    <row r="4" spans="1:8" x14ac:dyDescent="0.25">
      <c r="B4" s="32"/>
    </row>
    <row r="5" spans="1:8" ht="18.75" x14ac:dyDescent="0.3">
      <c r="A5" s="542" t="str">
        <f>'1. паспорт местоположение'!A5:C5</f>
        <v>Год раскрытия информации: 2022 год</v>
      </c>
      <c r="B5" s="542"/>
      <c r="C5" s="68"/>
      <c r="D5" s="68"/>
      <c r="E5" s="68"/>
      <c r="F5" s="68"/>
      <c r="G5" s="68"/>
      <c r="H5" s="68"/>
    </row>
    <row r="6" spans="1:8" ht="18.75" x14ac:dyDescent="0.3">
      <c r="A6" s="104"/>
      <c r="B6" s="104"/>
      <c r="C6" s="104"/>
      <c r="D6" s="104"/>
      <c r="E6" s="104"/>
      <c r="F6" s="104"/>
      <c r="G6" s="104"/>
      <c r="H6" s="104"/>
    </row>
    <row r="7" spans="1:8" ht="18.75" x14ac:dyDescent="0.25">
      <c r="A7" s="417" t="s">
        <v>7</v>
      </c>
      <c r="B7" s="417"/>
      <c r="C7" s="143"/>
      <c r="D7" s="143"/>
      <c r="E7" s="143"/>
      <c r="F7" s="143"/>
      <c r="G7" s="143"/>
      <c r="H7" s="143"/>
    </row>
    <row r="8" spans="1:8" ht="18.75" x14ac:dyDescent="0.25">
      <c r="A8" s="143"/>
      <c r="B8" s="143"/>
      <c r="C8" s="143"/>
      <c r="D8" s="143"/>
      <c r="E8" s="143"/>
      <c r="F8" s="143"/>
      <c r="G8" s="143"/>
      <c r="H8" s="143"/>
    </row>
    <row r="9" spans="1:8" x14ac:dyDescent="0.25">
      <c r="A9" s="415" t="str">
        <f>'1. паспорт местоположение'!A9:C9</f>
        <v xml:space="preserve">Акционерное общество "Западная энергетическая компания" </v>
      </c>
      <c r="B9" s="415"/>
      <c r="C9" s="145"/>
      <c r="D9" s="145"/>
      <c r="E9" s="145"/>
      <c r="F9" s="145"/>
      <c r="G9" s="145"/>
      <c r="H9" s="145"/>
    </row>
    <row r="10" spans="1:8" x14ac:dyDescent="0.25">
      <c r="A10" s="421" t="s">
        <v>6</v>
      </c>
      <c r="B10" s="421"/>
      <c r="C10" s="146"/>
      <c r="D10" s="146"/>
      <c r="E10" s="146"/>
      <c r="F10" s="146"/>
      <c r="G10" s="146"/>
      <c r="H10" s="146"/>
    </row>
    <row r="11" spans="1:8" ht="18.75" x14ac:dyDescent="0.25">
      <c r="A11" s="143"/>
      <c r="B11" s="143"/>
      <c r="C11" s="143"/>
      <c r="D11" s="143"/>
      <c r="E11" s="143"/>
      <c r="F11" s="143"/>
      <c r="G11" s="143"/>
      <c r="H11" s="143"/>
    </row>
    <row r="12" spans="1:8" ht="30.75" customHeight="1" x14ac:dyDescent="0.25">
      <c r="A12" s="415" t="str">
        <f>'1. паспорт местоположение'!A12:C12</f>
        <v>J 19-02</v>
      </c>
      <c r="B12" s="415"/>
      <c r="C12" s="145"/>
      <c r="D12" s="145"/>
      <c r="E12" s="145"/>
      <c r="F12" s="145"/>
      <c r="G12" s="145"/>
      <c r="H12" s="145"/>
    </row>
    <row r="13" spans="1:8" x14ac:dyDescent="0.25">
      <c r="A13" s="421" t="s">
        <v>5</v>
      </c>
      <c r="B13" s="421"/>
      <c r="C13" s="146"/>
      <c r="D13" s="146"/>
      <c r="E13" s="146"/>
      <c r="F13" s="146"/>
      <c r="G13" s="146"/>
      <c r="H13" s="146"/>
    </row>
    <row r="14" spans="1:8" ht="18.75" x14ac:dyDescent="0.25">
      <c r="A14" s="165"/>
      <c r="B14" s="165"/>
      <c r="C14" s="165"/>
      <c r="D14" s="165"/>
      <c r="E14" s="165"/>
      <c r="F14" s="165"/>
      <c r="G14" s="165"/>
      <c r="H14" s="165"/>
    </row>
    <row r="15" spans="1:8" ht="63.6" customHeight="1" x14ac:dyDescent="0.25">
      <c r="A15" s="452"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52"/>
      <c r="C15" s="145"/>
      <c r="D15" s="145"/>
      <c r="E15" s="145"/>
      <c r="F15" s="145"/>
      <c r="G15" s="145"/>
      <c r="H15" s="145"/>
    </row>
    <row r="16" spans="1:8" x14ac:dyDescent="0.25">
      <c r="A16" s="421" t="s">
        <v>4</v>
      </c>
      <c r="B16" s="421"/>
      <c r="C16" s="146"/>
      <c r="D16" s="146"/>
      <c r="E16" s="146"/>
      <c r="F16" s="146"/>
      <c r="G16" s="146"/>
      <c r="H16" s="146"/>
    </row>
    <row r="17" spans="1:2" x14ac:dyDescent="0.25">
      <c r="B17" s="78"/>
    </row>
    <row r="18" spans="1:2" ht="33.75" customHeight="1" x14ac:dyDescent="0.25">
      <c r="A18" s="537" t="s">
        <v>406</v>
      </c>
      <c r="B18" s="538"/>
    </row>
    <row r="19" spans="1:2" x14ac:dyDescent="0.25">
      <c r="B19" s="32"/>
    </row>
    <row r="20" spans="1:2" ht="16.5" thickBot="1" x14ac:dyDescent="0.3">
      <c r="B20" s="79"/>
    </row>
    <row r="21" spans="1:2" ht="61.5" customHeight="1" thickBot="1" x14ac:dyDescent="0.3">
      <c r="A21" s="80" t="s">
        <v>304</v>
      </c>
      <c r="B21" s="134" t="str">
        <f>A15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row>
    <row r="22" spans="1:2" ht="30" customHeight="1" thickBot="1" x14ac:dyDescent="0.3">
      <c r="A22" s="80" t="s">
        <v>305</v>
      </c>
      <c r="B22" s="246" t="s">
        <v>595</v>
      </c>
    </row>
    <row r="23" spans="1:2" ht="16.5" thickBot="1" x14ac:dyDescent="0.3">
      <c r="A23" s="80" t="s">
        <v>289</v>
      </c>
      <c r="B23" s="82" t="s">
        <v>548</v>
      </c>
    </row>
    <row r="24" spans="1:2" ht="16.5" thickBot="1" x14ac:dyDescent="0.3">
      <c r="A24" s="80" t="s">
        <v>306</v>
      </c>
      <c r="B24" s="82" t="s">
        <v>572</v>
      </c>
    </row>
    <row r="25" spans="1:2" ht="16.5" thickBot="1" x14ac:dyDescent="0.3">
      <c r="A25" s="83" t="s">
        <v>307</v>
      </c>
      <c r="B25" s="81">
        <v>2024</v>
      </c>
    </row>
    <row r="26" spans="1:2" ht="16.5" thickBot="1" x14ac:dyDescent="0.3">
      <c r="A26" s="84" t="s">
        <v>308</v>
      </c>
      <c r="B26" s="132" t="s">
        <v>436</v>
      </c>
    </row>
    <row r="27" spans="1:2" ht="29.25" thickBot="1" x14ac:dyDescent="0.3">
      <c r="A27" s="91" t="s">
        <v>654</v>
      </c>
      <c r="B27" s="133">
        <f>'6.2. Паспорт фин осв ввод'!D24</f>
        <v>341.65587945394435</v>
      </c>
    </row>
    <row r="28" spans="1:2" ht="21.75" customHeight="1" thickBot="1" x14ac:dyDescent="0.3">
      <c r="A28" s="86" t="s">
        <v>309</v>
      </c>
      <c r="B28" s="86" t="s">
        <v>573</v>
      </c>
    </row>
    <row r="29" spans="1:2" ht="29.25" thickBot="1" x14ac:dyDescent="0.3">
      <c r="A29" s="92" t="s">
        <v>310</v>
      </c>
      <c r="B29" s="133" t="s">
        <v>542</v>
      </c>
    </row>
    <row r="30" spans="1:2" ht="19.5" customHeight="1" thickBot="1" x14ac:dyDescent="0.3">
      <c r="A30" s="92" t="s">
        <v>311</v>
      </c>
      <c r="B30" s="133">
        <f>SUM(B32,B53,B70)</f>
        <v>7.5</v>
      </c>
    </row>
    <row r="31" spans="1:2" ht="16.5" thickBot="1" x14ac:dyDescent="0.3">
      <c r="A31" s="86" t="s">
        <v>312</v>
      </c>
      <c r="B31" s="133" t="s">
        <v>542</v>
      </c>
    </row>
    <row r="32" spans="1:2" ht="29.25" thickBot="1" x14ac:dyDescent="0.3">
      <c r="A32" s="92" t="s">
        <v>313</v>
      </c>
      <c r="B32" s="133" t="s">
        <v>542</v>
      </c>
    </row>
    <row r="33" spans="1:3" s="199" customFormat="1" ht="16.5" thickBot="1" x14ac:dyDescent="0.3">
      <c r="A33" s="206"/>
      <c r="B33" s="207" t="s">
        <v>542</v>
      </c>
      <c r="C33" s="199">
        <v>10</v>
      </c>
    </row>
    <row r="34" spans="1:3" ht="16.5" thickBot="1" x14ac:dyDescent="0.3">
      <c r="A34" s="86" t="s">
        <v>315</v>
      </c>
      <c r="B34" s="114" t="s">
        <v>542</v>
      </c>
    </row>
    <row r="35" spans="1:3" ht="16.5" thickBot="1" x14ac:dyDescent="0.3">
      <c r="A35" s="86" t="s">
        <v>316</v>
      </c>
      <c r="B35" s="133" t="s">
        <v>542</v>
      </c>
      <c r="C35" s="44">
        <v>1</v>
      </c>
    </row>
    <row r="36" spans="1:3" ht="16.5" thickBot="1" x14ac:dyDescent="0.3">
      <c r="A36" s="86" t="s">
        <v>317</v>
      </c>
      <c r="B36" s="133" t="s">
        <v>542</v>
      </c>
      <c r="C36" s="44">
        <v>2</v>
      </c>
    </row>
    <row r="37" spans="1:3" s="199" customFormat="1" ht="16.5" thickBot="1" x14ac:dyDescent="0.3">
      <c r="A37" s="112" t="s">
        <v>314</v>
      </c>
      <c r="B37" s="113" t="s">
        <v>542</v>
      </c>
      <c r="C37" s="199">
        <v>10</v>
      </c>
    </row>
    <row r="38" spans="1:3" ht="16.5" thickBot="1" x14ac:dyDescent="0.3">
      <c r="A38" s="86" t="s">
        <v>315</v>
      </c>
      <c r="B38" s="114" t="s">
        <v>542</v>
      </c>
    </row>
    <row r="39" spans="1:3" ht="16.5" thickBot="1" x14ac:dyDescent="0.3">
      <c r="A39" s="86" t="s">
        <v>316</v>
      </c>
      <c r="B39" s="111" t="s">
        <v>542</v>
      </c>
      <c r="C39" s="44">
        <v>1</v>
      </c>
    </row>
    <row r="40" spans="1:3" ht="16.5" thickBot="1" x14ac:dyDescent="0.3">
      <c r="A40" s="86" t="s">
        <v>317</v>
      </c>
      <c r="B40" s="111" t="s">
        <v>542</v>
      </c>
      <c r="C40" s="44">
        <v>2</v>
      </c>
    </row>
    <row r="41" spans="1:3" ht="16.5" thickBot="1" x14ac:dyDescent="0.3">
      <c r="A41" s="112" t="s">
        <v>314</v>
      </c>
      <c r="B41" s="113" t="s">
        <v>542</v>
      </c>
      <c r="C41" s="199">
        <v>10</v>
      </c>
    </row>
    <row r="42" spans="1:3" ht="16.5" thickBot="1" x14ac:dyDescent="0.3">
      <c r="A42" s="86" t="s">
        <v>315</v>
      </c>
      <c r="B42" s="114" t="s">
        <v>542</v>
      </c>
    </row>
    <row r="43" spans="1:3" ht="16.5" thickBot="1" x14ac:dyDescent="0.3">
      <c r="A43" s="86" t="s">
        <v>316</v>
      </c>
      <c r="B43" s="111" t="s">
        <v>542</v>
      </c>
      <c r="C43" s="44">
        <v>1</v>
      </c>
    </row>
    <row r="44" spans="1:3" ht="16.5" thickBot="1" x14ac:dyDescent="0.3">
      <c r="A44" s="86" t="s">
        <v>317</v>
      </c>
      <c r="B44" s="111" t="s">
        <v>542</v>
      </c>
      <c r="C44" s="44">
        <v>2</v>
      </c>
    </row>
    <row r="45" spans="1:3" ht="16.5" thickBot="1" x14ac:dyDescent="0.3">
      <c r="A45" s="112" t="s">
        <v>314</v>
      </c>
      <c r="B45" s="113" t="s">
        <v>542</v>
      </c>
      <c r="C45" s="199">
        <v>10</v>
      </c>
    </row>
    <row r="46" spans="1:3" ht="16.5" thickBot="1" x14ac:dyDescent="0.3">
      <c r="A46" s="86" t="s">
        <v>315</v>
      </c>
      <c r="B46" s="114" t="s">
        <v>542</v>
      </c>
    </row>
    <row r="47" spans="1:3" ht="16.5" thickBot="1" x14ac:dyDescent="0.3">
      <c r="A47" s="86" t="s">
        <v>316</v>
      </c>
      <c r="B47" s="111" t="s">
        <v>542</v>
      </c>
      <c r="C47" s="44">
        <v>1</v>
      </c>
    </row>
    <row r="48" spans="1:3" ht="16.5" thickBot="1" x14ac:dyDescent="0.3">
      <c r="A48" s="86" t="s">
        <v>317</v>
      </c>
      <c r="B48" s="111" t="s">
        <v>542</v>
      </c>
      <c r="C48" s="44">
        <v>2</v>
      </c>
    </row>
    <row r="49" spans="1:3" ht="16.5" thickBot="1" x14ac:dyDescent="0.3">
      <c r="A49" s="112" t="s">
        <v>314</v>
      </c>
      <c r="B49" s="113" t="s">
        <v>542</v>
      </c>
      <c r="C49" s="199">
        <v>10</v>
      </c>
    </row>
    <row r="50" spans="1:3" ht="16.5" thickBot="1" x14ac:dyDescent="0.3">
      <c r="A50" s="86" t="s">
        <v>315</v>
      </c>
      <c r="B50" s="114" t="s">
        <v>542</v>
      </c>
    </row>
    <row r="51" spans="1:3" ht="16.5" thickBot="1" x14ac:dyDescent="0.3">
      <c r="A51" s="86" t="s">
        <v>316</v>
      </c>
      <c r="B51" s="111" t="s">
        <v>542</v>
      </c>
      <c r="C51" s="44">
        <v>1</v>
      </c>
    </row>
    <row r="52" spans="1:3" ht="16.5" thickBot="1" x14ac:dyDescent="0.3">
      <c r="A52" s="86" t="s">
        <v>317</v>
      </c>
      <c r="B52" s="111" t="s">
        <v>542</v>
      </c>
      <c r="C52" s="44">
        <v>2</v>
      </c>
    </row>
    <row r="53" spans="1:3" ht="29.25" thickBot="1" x14ac:dyDescent="0.3">
      <c r="A53" s="92" t="s">
        <v>318</v>
      </c>
      <c r="B53" s="111" t="s">
        <v>542</v>
      </c>
    </row>
    <row r="54" spans="1:3" s="199" customFormat="1" ht="16.5" thickBot="1" x14ac:dyDescent="0.3">
      <c r="A54" s="112" t="s">
        <v>314</v>
      </c>
      <c r="B54" s="113" t="s">
        <v>542</v>
      </c>
      <c r="C54" s="199">
        <v>20</v>
      </c>
    </row>
    <row r="55" spans="1:3" ht="16.5" thickBot="1" x14ac:dyDescent="0.3">
      <c r="A55" s="86" t="s">
        <v>315</v>
      </c>
      <c r="B55" s="114" t="s">
        <v>542</v>
      </c>
    </row>
    <row r="56" spans="1:3" ht="16.5" thickBot="1" x14ac:dyDescent="0.3">
      <c r="A56" s="86" t="s">
        <v>316</v>
      </c>
      <c r="B56" s="111" t="s">
        <v>542</v>
      </c>
      <c r="C56" s="44">
        <v>1</v>
      </c>
    </row>
    <row r="57" spans="1:3" ht="16.5" thickBot="1" x14ac:dyDescent="0.3">
      <c r="A57" s="86" t="s">
        <v>317</v>
      </c>
      <c r="B57" s="111" t="s">
        <v>542</v>
      </c>
      <c r="C57" s="44">
        <v>2</v>
      </c>
    </row>
    <row r="58" spans="1:3" s="199" customFormat="1" ht="16.5" thickBot="1" x14ac:dyDescent="0.3">
      <c r="A58" s="112" t="s">
        <v>314</v>
      </c>
      <c r="B58" s="113" t="s">
        <v>542</v>
      </c>
      <c r="C58" s="199">
        <v>20</v>
      </c>
    </row>
    <row r="59" spans="1:3" ht="16.5" thickBot="1" x14ac:dyDescent="0.3">
      <c r="A59" s="86" t="s">
        <v>315</v>
      </c>
      <c r="B59" s="114" t="s">
        <v>542</v>
      </c>
    </row>
    <row r="60" spans="1:3" ht="16.5" thickBot="1" x14ac:dyDescent="0.3">
      <c r="A60" s="86" t="s">
        <v>316</v>
      </c>
      <c r="B60" s="111" t="s">
        <v>542</v>
      </c>
      <c r="C60" s="44">
        <v>1</v>
      </c>
    </row>
    <row r="61" spans="1:3" ht="16.5" thickBot="1" x14ac:dyDescent="0.3">
      <c r="A61" s="86" t="s">
        <v>317</v>
      </c>
      <c r="B61" s="111" t="s">
        <v>542</v>
      </c>
      <c r="C61" s="44">
        <v>2</v>
      </c>
    </row>
    <row r="62" spans="1:3" s="199" customFormat="1" ht="16.5" thickBot="1" x14ac:dyDescent="0.3">
      <c r="A62" s="112" t="s">
        <v>314</v>
      </c>
      <c r="B62" s="113" t="s">
        <v>542</v>
      </c>
      <c r="C62" s="199">
        <v>20</v>
      </c>
    </row>
    <row r="63" spans="1:3" ht="16.5" thickBot="1" x14ac:dyDescent="0.3">
      <c r="A63" s="86" t="s">
        <v>315</v>
      </c>
      <c r="B63" s="114" t="s">
        <v>542</v>
      </c>
    </row>
    <row r="64" spans="1:3" ht="16.5" thickBot="1" x14ac:dyDescent="0.3">
      <c r="A64" s="86" t="s">
        <v>316</v>
      </c>
      <c r="B64" s="111" t="s">
        <v>542</v>
      </c>
      <c r="C64" s="44">
        <v>1</v>
      </c>
    </row>
    <row r="65" spans="1:3" ht="16.5" thickBot="1" x14ac:dyDescent="0.3">
      <c r="A65" s="86" t="s">
        <v>317</v>
      </c>
      <c r="B65" s="111" t="s">
        <v>542</v>
      </c>
      <c r="C65" s="44">
        <v>2</v>
      </c>
    </row>
    <row r="66" spans="1:3" s="199" customFormat="1" ht="16.5" thickBot="1" x14ac:dyDescent="0.3">
      <c r="A66" s="112" t="s">
        <v>314</v>
      </c>
      <c r="B66" s="113" t="s">
        <v>542</v>
      </c>
      <c r="C66" s="199">
        <v>20</v>
      </c>
    </row>
    <row r="67" spans="1:3" ht="16.5" thickBot="1" x14ac:dyDescent="0.3">
      <c r="A67" s="86" t="s">
        <v>315</v>
      </c>
      <c r="B67" s="114" t="s">
        <v>542</v>
      </c>
    </row>
    <row r="68" spans="1:3" ht="16.5" thickBot="1" x14ac:dyDescent="0.3">
      <c r="A68" s="86" t="s">
        <v>316</v>
      </c>
      <c r="B68" s="111" t="s">
        <v>542</v>
      </c>
      <c r="C68" s="44">
        <v>1</v>
      </c>
    </row>
    <row r="69" spans="1:3" ht="16.5" thickBot="1" x14ac:dyDescent="0.3">
      <c r="A69" s="86" t="s">
        <v>317</v>
      </c>
      <c r="B69" s="111" t="s">
        <v>542</v>
      </c>
      <c r="C69" s="44">
        <v>2</v>
      </c>
    </row>
    <row r="70" spans="1:3" ht="29.25" thickBot="1" x14ac:dyDescent="0.3">
      <c r="A70" s="92" t="s">
        <v>319</v>
      </c>
      <c r="B70" s="111">
        <f>SUM(B71,B75,B79,B83,B87)</f>
        <v>7.5</v>
      </c>
    </row>
    <row r="71" spans="1:3" s="199" customFormat="1" ht="29.25" customHeight="1" thickBot="1" x14ac:dyDescent="0.3">
      <c r="A71" s="206" t="s">
        <v>655</v>
      </c>
      <c r="B71" s="207">
        <v>7.5</v>
      </c>
      <c r="C71" s="199">
        <v>30</v>
      </c>
    </row>
    <row r="72" spans="1:3" ht="16.5" thickBot="1" x14ac:dyDescent="0.3">
      <c r="A72" s="86" t="s">
        <v>315</v>
      </c>
      <c r="B72" s="114">
        <f>B71/B27</f>
        <v>2.1951912585221615E-2</v>
      </c>
    </row>
    <row r="73" spans="1:3" ht="16.5" thickBot="1" x14ac:dyDescent="0.3">
      <c r="A73" s="86" t="s">
        <v>316</v>
      </c>
      <c r="B73" s="133" t="s">
        <v>542</v>
      </c>
      <c r="C73" s="44">
        <v>1</v>
      </c>
    </row>
    <row r="74" spans="1:3" ht="16.5" thickBot="1" x14ac:dyDescent="0.3">
      <c r="A74" s="86" t="s">
        <v>317</v>
      </c>
      <c r="B74" s="133" t="s">
        <v>542</v>
      </c>
      <c r="C74" s="44">
        <v>2</v>
      </c>
    </row>
    <row r="75" spans="1:3" s="199" customFormat="1" ht="16.5" thickBot="1" x14ac:dyDescent="0.3">
      <c r="A75" s="112" t="s">
        <v>314</v>
      </c>
      <c r="B75" s="113" t="s">
        <v>542</v>
      </c>
      <c r="C75" s="199">
        <v>30</v>
      </c>
    </row>
    <row r="76" spans="1:3" ht="16.5" thickBot="1" x14ac:dyDescent="0.3">
      <c r="A76" s="86" t="s">
        <v>315</v>
      </c>
      <c r="B76" s="114" t="s">
        <v>542</v>
      </c>
    </row>
    <row r="77" spans="1:3" ht="16.5" thickBot="1" x14ac:dyDescent="0.3">
      <c r="A77" s="86" t="s">
        <v>316</v>
      </c>
      <c r="B77" s="111" t="s">
        <v>542</v>
      </c>
      <c r="C77" s="44">
        <v>1</v>
      </c>
    </row>
    <row r="78" spans="1:3" ht="16.5" thickBot="1" x14ac:dyDescent="0.3">
      <c r="A78" s="86" t="s">
        <v>317</v>
      </c>
      <c r="B78" s="111" t="s">
        <v>542</v>
      </c>
      <c r="C78" s="44">
        <v>2</v>
      </c>
    </row>
    <row r="79" spans="1:3" s="199" customFormat="1" ht="16.5" thickBot="1" x14ac:dyDescent="0.3">
      <c r="A79" s="112" t="s">
        <v>314</v>
      </c>
      <c r="B79" s="113" t="s">
        <v>542</v>
      </c>
      <c r="C79" s="199">
        <v>30</v>
      </c>
    </row>
    <row r="80" spans="1:3" ht="16.5" thickBot="1" x14ac:dyDescent="0.3">
      <c r="A80" s="86" t="s">
        <v>315</v>
      </c>
      <c r="B80" s="114" t="s">
        <v>542</v>
      </c>
    </row>
    <row r="81" spans="1:3" ht="16.5" thickBot="1" x14ac:dyDescent="0.3">
      <c r="A81" s="86" t="s">
        <v>316</v>
      </c>
      <c r="B81" s="111" t="s">
        <v>542</v>
      </c>
      <c r="C81" s="44">
        <v>1</v>
      </c>
    </row>
    <row r="82" spans="1:3" ht="16.5" thickBot="1" x14ac:dyDescent="0.3">
      <c r="A82" s="86" t="s">
        <v>317</v>
      </c>
      <c r="B82" s="111" t="s">
        <v>542</v>
      </c>
      <c r="C82" s="44">
        <v>2</v>
      </c>
    </row>
    <row r="83" spans="1:3" s="199" customFormat="1" ht="16.5" thickBot="1" x14ac:dyDescent="0.3">
      <c r="A83" s="112" t="s">
        <v>314</v>
      </c>
      <c r="B83" s="113" t="s">
        <v>542</v>
      </c>
      <c r="C83" s="199">
        <v>30</v>
      </c>
    </row>
    <row r="84" spans="1:3" ht="16.5" thickBot="1" x14ac:dyDescent="0.3">
      <c r="A84" s="86" t="s">
        <v>315</v>
      </c>
      <c r="B84" s="114" t="s">
        <v>542</v>
      </c>
    </row>
    <row r="85" spans="1:3" ht="16.5" thickBot="1" x14ac:dyDescent="0.3">
      <c r="A85" s="86" t="s">
        <v>316</v>
      </c>
      <c r="B85" s="111" t="s">
        <v>542</v>
      </c>
      <c r="C85" s="44">
        <v>1</v>
      </c>
    </row>
    <row r="86" spans="1:3" ht="16.5" thickBot="1" x14ac:dyDescent="0.3">
      <c r="A86" s="86" t="s">
        <v>317</v>
      </c>
      <c r="B86" s="111" t="s">
        <v>542</v>
      </c>
      <c r="C86" s="44">
        <v>2</v>
      </c>
    </row>
    <row r="87" spans="1:3" s="199" customFormat="1" ht="16.5" thickBot="1" x14ac:dyDescent="0.3">
      <c r="A87" s="112" t="s">
        <v>314</v>
      </c>
      <c r="B87" s="113" t="s">
        <v>542</v>
      </c>
      <c r="C87" s="199">
        <v>30</v>
      </c>
    </row>
    <row r="88" spans="1:3" ht="16.5" thickBot="1" x14ac:dyDescent="0.3">
      <c r="A88" s="86" t="s">
        <v>315</v>
      </c>
      <c r="B88" s="114" t="s">
        <v>542</v>
      </c>
    </row>
    <row r="89" spans="1:3" ht="16.5" thickBot="1" x14ac:dyDescent="0.3">
      <c r="A89" s="86" t="s">
        <v>316</v>
      </c>
      <c r="B89" s="111" t="s">
        <v>542</v>
      </c>
      <c r="C89" s="44">
        <v>1</v>
      </c>
    </row>
    <row r="90" spans="1:3" ht="16.5" thickBot="1" x14ac:dyDescent="0.3">
      <c r="A90" s="86" t="s">
        <v>317</v>
      </c>
      <c r="B90" s="111" t="s">
        <v>542</v>
      </c>
      <c r="C90" s="44">
        <v>2</v>
      </c>
    </row>
    <row r="91" spans="1:3" ht="29.25" thickBot="1" x14ac:dyDescent="0.3">
      <c r="A91" s="85" t="s">
        <v>320</v>
      </c>
      <c r="B91" s="114" t="s">
        <v>542</v>
      </c>
    </row>
    <row r="92" spans="1:3" ht="16.5" thickBot="1" x14ac:dyDescent="0.3">
      <c r="A92" s="87" t="s">
        <v>312</v>
      </c>
      <c r="B92" s="93" t="s">
        <v>542</v>
      </c>
    </row>
    <row r="93" spans="1:3" ht="16.5" thickBot="1" x14ac:dyDescent="0.3">
      <c r="A93" s="87" t="s">
        <v>321</v>
      </c>
      <c r="B93" s="114" t="s">
        <v>542</v>
      </c>
    </row>
    <row r="94" spans="1:3" ht="16.5" thickBot="1" x14ac:dyDescent="0.3">
      <c r="A94" s="87" t="s">
        <v>322</v>
      </c>
      <c r="B94" s="114" t="s">
        <v>542</v>
      </c>
    </row>
    <row r="95" spans="1:3" ht="16.5" thickBot="1" x14ac:dyDescent="0.3">
      <c r="A95" s="87" t="s">
        <v>323</v>
      </c>
      <c r="B95" s="114" t="s">
        <v>542</v>
      </c>
    </row>
    <row r="96" spans="1:3" ht="16.5" thickBot="1" x14ac:dyDescent="0.3">
      <c r="A96" s="83" t="s">
        <v>324</v>
      </c>
      <c r="B96" s="115" t="s">
        <v>542</v>
      </c>
    </row>
    <row r="97" spans="1:2" ht="16.5" thickBot="1" x14ac:dyDescent="0.3">
      <c r="A97" s="83" t="s">
        <v>325</v>
      </c>
      <c r="B97" s="224" t="s">
        <v>542</v>
      </c>
    </row>
    <row r="98" spans="1:2" ht="16.5" thickBot="1" x14ac:dyDescent="0.3">
      <c r="A98" s="83" t="s">
        <v>326</v>
      </c>
      <c r="B98" s="115" t="s">
        <v>542</v>
      </c>
    </row>
    <row r="99" spans="1:2" ht="16.5" thickBot="1" x14ac:dyDescent="0.3">
      <c r="A99" s="84" t="s">
        <v>327</v>
      </c>
      <c r="B99" s="224" t="s">
        <v>542</v>
      </c>
    </row>
    <row r="100" spans="1:2" ht="15.75" customHeight="1" x14ac:dyDescent="0.25">
      <c r="A100" s="85" t="s">
        <v>328</v>
      </c>
      <c r="B100" s="87" t="s">
        <v>329</v>
      </c>
    </row>
    <row r="101" spans="1:2" x14ac:dyDescent="0.25">
      <c r="A101" s="89" t="s">
        <v>330</v>
      </c>
      <c r="B101" s="89" t="str">
        <f>A9</f>
        <v xml:space="preserve">Акционерное общество "Западная энергетическая компания" </v>
      </c>
    </row>
    <row r="102" spans="1:2" x14ac:dyDescent="0.25">
      <c r="A102" s="89" t="s">
        <v>331</v>
      </c>
      <c r="B102" s="89"/>
    </row>
    <row r="103" spans="1:2" x14ac:dyDescent="0.25">
      <c r="A103" s="89" t="s">
        <v>332</v>
      </c>
      <c r="B103" s="89"/>
    </row>
    <row r="104" spans="1:2" x14ac:dyDescent="0.25">
      <c r="A104" s="89" t="s">
        <v>333</v>
      </c>
      <c r="B104" s="89"/>
    </row>
    <row r="105" spans="1:2" ht="16.5" thickBot="1" x14ac:dyDescent="0.3">
      <c r="A105" s="90" t="s">
        <v>334</v>
      </c>
      <c r="B105" s="90"/>
    </row>
    <row r="106" spans="1:2" ht="30.75" thickBot="1" x14ac:dyDescent="0.3">
      <c r="A106" s="87" t="s">
        <v>335</v>
      </c>
      <c r="B106" s="88"/>
    </row>
    <row r="107" spans="1:2" ht="29.25" thickBot="1" x14ac:dyDescent="0.3">
      <c r="A107" s="83" t="s">
        <v>336</v>
      </c>
      <c r="B107" s="225"/>
    </row>
    <row r="108" spans="1:2" ht="16.5" thickBot="1" x14ac:dyDescent="0.3">
      <c r="A108" s="87" t="s">
        <v>312</v>
      </c>
      <c r="B108" s="226"/>
    </row>
    <row r="109" spans="1:2" ht="16.5" thickBot="1" x14ac:dyDescent="0.3">
      <c r="A109" s="87" t="s">
        <v>337</v>
      </c>
      <c r="B109" s="225"/>
    </row>
    <row r="110" spans="1:2" ht="16.5" thickBot="1" x14ac:dyDescent="0.3">
      <c r="A110" s="87" t="s">
        <v>338</v>
      </c>
      <c r="B110" s="226"/>
    </row>
    <row r="111" spans="1:2" ht="16.5" thickBot="1" x14ac:dyDescent="0.3">
      <c r="A111" s="96" t="s">
        <v>339</v>
      </c>
      <c r="B111" s="138"/>
    </row>
    <row r="112" spans="1:2" ht="16.5" thickBot="1" x14ac:dyDescent="0.3">
      <c r="A112" s="83" t="s">
        <v>340</v>
      </c>
      <c r="B112" s="94"/>
    </row>
    <row r="113" spans="1:2" ht="16.5" thickBot="1" x14ac:dyDescent="0.3">
      <c r="A113" s="89" t="s">
        <v>341</v>
      </c>
      <c r="B113" s="223">
        <f>'6.1. Паспорт сетевой график'!H43</f>
        <v>45229</v>
      </c>
    </row>
    <row r="114" spans="1:2" ht="16.5" thickBot="1" x14ac:dyDescent="0.3">
      <c r="A114" s="89" t="s">
        <v>342</v>
      </c>
      <c r="B114" s="97" t="s">
        <v>549</v>
      </c>
    </row>
    <row r="115" spans="1:2" ht="16.5" thickBot="1" x14ac:dyDescent="0.3">
      <c r="A115" s="89" t="s">
        <v>343</v>
      </c>
      <c r="B115" s="97" t="s">
        <v>549</v>
      </c>
    </row>
    <row r="116" spans="1:2" ht="29.25" thickBot="1" x14ac:dyDescent="0.3">
      <c r="A116" s="98" t="s">
        <v>344</v>
      </c>
      <c r="B116" s="95" t="s">
        <v>550</v>
      </c>
    </row>
    <row r="117" spans="1:2" ht="28.5" customHeight="1" x14ac:dyDescent="0.25">
      <c r="A117" s="85" t="s">
        <v>345</v>
      </c>
      <c r="B117" s="539" t="s">
        <v>549</v>
      </c>
    </row>
    <row r="118" spans="1:2" x14ac:dyDescent="0.25">
      <c r="A118" s="89" t="s">
        <v>346</v>
      </c>
      <c r="B118" s="540"/>
    </row>
    <row r="119" spans="1:2" x14ac:dyDescent="0.25">
      <c r="A119" s="89" t="s">
        <v>347</v>
      </c>
      <c r="B119" s="540"/>
    </row>
    <row r="120" spans="1:2" x14ac:dyDescent="0.25">
      <c r="A120" s="89" t="s">
        <v>348</v>
      </c>
      <c r="B120" s="540"/>
    </row>
    <row r="121" spans="1:2" x14ac:dyDescent="0.25">
      <c r="A121" s="89" t="s">
        <v>349</v>
      </c>
      <c r="B121" s="540"/>
    </row>
    <row r="122" spans="1:2" ht="16.5" thickBot="1" x14ac:dyDescent="0.3">
      <c r="A122" s="99" t="s">
        <v>350</v>
      </c>
      <c r="B122" s="541"/>
    </row>
    <row r="125" spans="1:2" x14ac:dyDescent="0.25">
      <c r="A125" s="100"/>
      <c r="B125" s="101"/>
    </row>
    <row r="126" spans="1:2" x14ac:dyDescent="0.25">
      <c r="B126" s="102"/>
    </row>
    <row r="127" spans="1:2" x14ac:dyDescent="0.25">
      <c r="B127" s="103"/>
    </row>
  </sheetData>
  <mergeCells count="10">
    <mergeCell ref="A5:B5"/>
    <mergeCell ref="A7:B7"/>
    <mergeCell ref="A9:B9"/>
    <mergeCell ref="A10:B10"/>
    <mergeCell ref="A12:B12"/>
    <mergeCell ref="A15:B15"/>
    <mergeCell ref="A16:B16"/>
    <mergeCell ref="A18:B18"/>
    <mergeCell ref="B117:B122"/>
    <mergeCell ref="A13:B13"/>
  </mergeCells>
  <hyperlinks>
    <hyperlink ref="B22" r:id="rId1" xr:uid="{00000000-0004-0000-0C00-000000000000}"/>
  </hyperlinks>
  <pageMargins left="0.70866141732283472" right="0.70866141732283472" top="0.74803149606299213" bottom="0.74803149606299213" header="0.31496062992125984" footer="0.31496062992125984"/>
  <pageSetup paperSize="8" scale="4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43"/>
  <sheetViews>
    <sheetView view="pageBreakPreview" topLeftCell="F1" zoomScale="40" zoomScaleSheetLayoutView="40" workbookViewId="0">
      <selection activeCell="A4" sqref="A4:S4"/>
    </sheetView>
  </sheetViews>
  <sheetFormatPr defaultColWidth="9.140625" defaultRowHeight="15" x14ac:dyDescent="0.25"/>
  <cols>
    <col min="1" max="1" width="7.42578125" style="157" customWidth="1"/>
    <col min="2" max="2" width="35.85546875" style="157" customWidth="1"/>
    <col min="3" max="3" width="31.140625" style="157" customWidth="1"/>
    <col min="4" max="4" width="25" style="157" customWidth="1"/>
    <col min="5" max="5" width="50" style="157" customWidth="1"/>
    <col min="6" max="6" width="57" style="157" customWidth="1"/>
    <col min="7" max="7" width="75" style="157" customWidth="1"/>
    <col min="8" max="10" width="20.5703125" style="157" customWidth="1"/>
    <col min="11" max="11" width="16" style="157" customWidth="1"/>
    <col min="12" max="12" width="20.5703125" style="157" customWidth="1"/>
    <col min="13" max="13" width="21.28515625" style="157" customWidth="1"/>
    <col min="14" max="14" width="23.85546875" style="157" customWidth="1"/>
    <col min="15" max="15" width="17.85546875" style="157" customWidth="1"/>
    <col min="16" max="16" width="23.85546875" style="157" customWidth="1"/>
    <col min="17" max="17" width="127.5703125" style="157" customWidth="1"/>
    <col min="18" max="18" width="92.42578125" style="157" customWidth="1"/>
    <col min="19" max="19" width="51.5703125" style="157" customWidth="1"/>
    <col min="20" max="16384" width="9.140625" style="157"/>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row>
    <row r="5" spans="1:28" s="17" customFormat="1" ht="15.75" x14ac:dyDescent="0.2">
      <c r="A5" s="140"/>
    </row>
    <row r="6" spans="1:28" s="17" customFormat="1" ht="18.75" x14ac:dyDescent="0.2">
      <c r="A6" s="417" t="s">
        <v>7</v>
      </c>
      <c r="B6" s="417"/>
      <c r="C6" s="417"/>
      <c r="D6" s="417"/>
      <c r="E6" s="417"/>
      <c r="F6" s="417"/>
      <c r="G6" s="417"/>
      <c r="H6" s="417"/>
      <c r="I6" s="417"/>
      <c r="J6" s="417"/>
      <c r="K6" s="417"/>
      <c r="L6" s="417"/>
      <c r="M6" s="417"/>
      <c r="N6" s="417"/>
      <c r="O6" s="417"/>
      <c r="P6" s="417"/>
      <c r="Q6" s="417"/>
      <c r="R6" s="417"/>
      <c r="S6" s="417"/>
      <c r="T6" s="143"/>
      <c r="U6" s="143"/>
      <c r="V6" s="143"/>
      <c r="W6" s="143"/>
      <c r="X6" s="143"/>
      <c r="Y6" s="143"/>
      <c r="Z6" s="143"/>
      <c r="AA6" s="143"/>
      <c r="AB6" s="143"/>
    </row>
    <row r="7" spans="1:28" s="17" customFormat="1" ht="18.75" x14ac:dyDescent="0.2">
      <c r="A7" s="417"/>
      <c r="B7" s="417"/>
      <c r="C7" s="417"/>
      <c r="D7" s="417"/>
      <c r="E7" s="417"/>
      <c r="F7" s="417"/>
      <c r="G7" s="417"/>
      <c r="H7" s="417"/>
      <c r="I7" s="417"/>
      <c r="J7" s="417"/>
      <c r="K7" s="417"/>
      <c r="L7" s="417"/>
      <c r="M7" s="417"/>
      <c r="N7" s="417"/>
      <c r="O7" s="417"/>
      <c r="P7" s="417"/>
      <c r="Q7" s="417"/>
      <c r="R7" s="417"/>
      <c r="S7" s="417"/>
      <c r="T7" s="143"/>
      <c r="U7" s="143"/>
      <c r="V7" s="143"/>
      <c r="W7" s="143"/>
      <c r="X7" s="143"/>
      <c r="Y7" s="143"/>
      <c r="Z7" s="143"/>
      <c r="AA7" s="143"/>
      <c r="AB7" s="143"/>
    </row>
    <row r="8" spans="1:28" s="17" customFormat="1" ht="18.75" x14ac:dyDescent="0.2">
      <c r="A8" s="415" t="str">
        <f>'1. паспорт местоположение'!A9:C9</f>
        <v xml:space="preserve">Акционерное общество "Западная энергетическая компания" </v>
      </c>
      <c r="B8" s="415"/>
      <c r="C8" s="415"/>
      <c r="D8" s="415"/>
      <c r="E8" s="415"/>
      <c r="F8" s="415"/>
      <c r="G8" s="415"/>
      <c r="H8" s="415"/>
      <c r="I8" s="415"/>
      <c r="J8" s="415"/>
      <c r="K8" s="415"/>
      <c r="L8" s="415"/>
      <c r="M8" s="415"/>
      <c r="N8" s="415"/>
      <c r="O8" s="415"/>
      <c r="P8" s="415"/>
      <c r="Q8" s="415"/>
      <c r="R8" s="415"/>
      <c r="S8" s="415"/>
      <c r="T8" s="143"/>
      <c r="U8" s="143"/>
      <c r="V8" s="143"/>
      <c r="W8" s="143"/>
      <c r="X8" s="143"/>
      <c r="Y8" s="143"/>
      <c r="Z8" s="143"/>
      <c r="AA8" s="143"/>
      <c r="AB8" s="143"/>
    </row>
    <row r="9" spans="1:28" s="17" customFormat="1" ht="18.75" x14ac:dyDescent="0.2">
      <c r="A9" s="421" t="s">
        <v>6</v>
      </c>
      <c r="B9" s="421"/>
      <c r="C9" s="421"/>
      <c r="D9" s="421"/>
      <c r="E9" s="421"/>
      <c r="F9" s="421"/>
      <c r="G9" s="421"/>
      <c r="H9" s="421"/>
      <c r="I9" s="421"/>
      <c r="J9" s="421"/>
      <c r="K9" s="421"/>
      <c r="L9" s="421"/>
      <c r="M9" s="421"/>
      <c r="N9" s="421"/>
      <c r="O9" s="421"/>
      <c r="P9" s="421"/>
      <c r="Q9" s="421"/>
      <c r="R9" s="421"/>
      <c r="S9" s="421"/>
      <c r="T9" s="143"/>
      <c r="U9" s="143"/>
      <c r="V9" s="143"/>
      <c r="W9" s="143"/>
      <c r="X9" s="143"/>
      <c r="Y9" s="143"/>
      <c r="Z9" s="143"/>
      <c r="AA9" s="143"/>
      <c r="AB9" s="143"/>
    </row>
    <row r="10" spans="1:28" s="17" customFormat="1" ht="18.75" x14ac:dyDescent="0.2">
      <c r="A10" s="417"/>
      <c r="B10" s="417"/>
      <c r="C10" s="417"/>
      <c r="D10" s="417"/>
      <c r="E10" s="417"/>
      <c r="F10" s="417"/>
      <c r="G10" s="417"/>
      <c r="H10" s="417"/>
      <c r="I10" s="417"/>
      <c r="J10" s="417"/>
      <c r="K10" s="417"/>
      <c r="L10" s="417"/>
      <c r="M10" s="417"/>
      <c r="N10" s="417"/>
      <c r="O10" s="417"/>
      <c r="P10" s="417"/>
      <c r="Q10" s="417"/>
      <c r="R10" s="417"/>
      <c r="S10" s="417"/>
      <c r="T10" s="143"/>
      <c r="U10" s="143"/>
      <c r="V10" s="143"/>
      <c r="W10" s="143"/>
      <c r="X10" s="143"/>
      <c r="Y10" s="143"/>
      <c r="Z10" s="143"/>
      <c r="AA10" s="143"/>
      <c r="AB10" s="143"/>
    </row>
    <row r="11" spans="1:28" s="17" customFormat="1" ht="18.75" x14ac:dyDescent="0.2">
      <c r="A11" s="415" t="str">
        <f>'1. паспорт местоположение'!A12:C12</f>
        <v>J 19-02</v>
      </c>
      <c r="B11" s="415"/>
      <c r="C11" s="415"/>
      <c r="D11" s="415"/>
      <c r="E11" s="415"/>
      <c r="F11" s="415"/>
      <c r="G11" s="415"/>
      <c r="H11" s="415"/>
      <c r="I11" s="415"/>
      <c r="J11" s="415"/>
      <c r="K11" s="415"/>
      <c r="L11" s="415"/>
      <c r="M11" s="415"/>
      <c r="N11" s="415"/>
      <c r="O11" s="415"/>
      <c r="P11" s="415"/>
      <c r="Q11" s="415"/>
      <c r="R11" s="415"/>
      <c r="S11" s="415"/>
      <c r="T11" s="143"/>
      <c r="U11" s="143"/>
      <c r="V11" s="143"/>
      <c r="W11" s="143"/>
      <c r="X11" s="143"/>
      <c r="Y11" s="143"/>
      <c r="Z11" s="143"/>
      <c r="AA11" s="143"/>
      <c r="AB11" s="143"/>
    </row>
    <row r="12" spans="1:28" s="17" customFormat="1" ht="18.75" x14ac:dyDescent="0.2">
      <c r="A12" s="421" t="s">
        <v>5</v>
      </c>
      <c r="B12" s="421"/>
      <c r="C12" s="421"/>
      <c r="D12" s="421"/>
      <c r="E12" s="421"/>
      <c r="F12" s="421"/>
      <c r="G12" s="421"/>
      <c r="H12" s="421"/>
      <c r="I12" s="421"/>
      <c r="J12" s="421"/>
      <c r="K12" s="421"/>
      <c r="L12" s="421"/>
      <c r="M12" s="421"/>
      <c r="N12" s="421"/>
      <c r="O12" s="421"/>
      <c r="P12" s="421"/>
      <c r="Q12" s="421"/>
      <c r="R12" s="421"/>
      <c r="S12" s="421"/>
      <c r="T12" s="143"/>
      <c r="U12" s="143"/>
      <c r="V12" s="143"/>
      <c r="W12" s="143"/>
      <c r="X12" s="143"/>
      <c r="Y12" s="143"/>
      <c r="Z12" s="143"/>
      <c r="AA12" s="143"/>
      <c r="AB12" s="143"/>
    </row>
    <row r="13" spans="1:28" s="141" customFormat="1" ht="15.75" customHeight="1" x14ac:dyDescent="0.2">
      <c r="A13" s="422"/>
      <c r="B13" s="422"/>
      <c r="C13" s="422"/>
      <c r="D13" s="422"/>
      <c r="E13" s="422"/>
      <c r="F13" s="422"/>
      <c r="G13" s="422"/>
      <c r="H13" s="422"/>
      <c r="I13" s="422"/>
      <c r="J13" s="422"/>
      <c r="K13" s="422"/>
      <c r="L13" s="422"/>
      <c r="M13" s="422"/>
      <c r="N13" s="422"/>
      <c r="O13" s="422"/>
      <c r="P13" s="422"/>
      <c r="Q13" s="422"/>
      <c r="R13" s="422"/>
      <c r="S13" s="422"/>
      <c r="T13" s="144"/>
      <c r="U13" s="144"/>
      <c r="V13" s="144"/>
      <c r="W13" s="144"/>
      <c r="X13" s="144"/>
      <c r="Y13" s="144"/>
      <c r="Z13" s="144"/>
      <c r="AA13" s="144"/>
      <c r="AB13" s="144"/>
    </row>
    <row r="14" spans="1:28" s="142" customFormat="1" ht="15.75" x14ac:dyDescent="0.2">
      <c r="A14" s="415"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4" s="415"/>
      <c r="C14" s="415"/>
      <c r="D14" s="415"/>
      <c r="E14" s="415"/>
      <c r="F14" s="415"/>
      <c r="G14" s="415"/>
      <c r="H14" s="415"/>
      <c r="I14" s="415"/>
      <c r="J14" s="415"/>
      <c r="K14" s="415"/>
      <c r="L14" s="415"/>
      <c r="M14" s="415"/>
      <c r="N14" s="415"/>
      <c r="O14" s="415"/>
      <c r="P14" s="415"/>
      <c r="Q14" s="415"/>
      <c r="R14" s="415"/>
      <c r="S14" s="415"/>
      <c r="T14" s="145"/>
      <c r="U14" s="145"/>
      <c r="V14" s="145"/>
      <c r="W14" s="145"/>
      <c r="X14" s="145"/>
      <c r="Y14" s="145"/>
      <c r="Z14" s="145"/>
      <c r="AA14" s="145"/>
      <c r="AB14" s="145"/>
    </row>
    <row r="15" spans="1:28" s="142" customFormat="1" ht="15" customHeight="1" x14ac:dyDescent="0.2">
      <c r="A15" s="421" t="s">
        <v>4</v>
      </c>
      <c r="B15" s="421"/>
      <c r="C15" s="421"/>
      <c r="D15" s="421"/>
      <c r="E15" s="421"/>
      <c r="F15" s="421"/>
      <c r="G15" s="421"/>
      <c r="H15" s="421"/>
      <c r="I15" s="421"/>
      <c r="J15" s="421"/>
      <c r="K15" s="421"/>
      <c r="L15" s="421"/>
      <c r="M15" s="421"/>
      <c r="N15" s="421"/>
      <c r="O15" s="421"/>
      <c r="P15" s="421"/>
      <c r="Q15" s="421"/>
      <c r="R15" s="421"/>
      <c r="S15" s="421"/>
      <c r="T15" s="146"/>
      <c r="U15" s="146"/>
      <c r="V15" s="146"/>
      <c r="W15" s="146"/>
      <c r="X15" s="146"/>
      <c r="Y15" s="146"/>
      <c r="Z15" s="146"/>
      <c r="AA15" s="146"/>
      <c r="AB15" s="146"/>
    </row>
    <row r="16" spans="1:28" s="142" customFormat="1" ht="15" customHeight="1" x14ac:dyDescent="0.2">
      <c r="A16" s="423"/>
      <c r="B16" s="423"/>
      <c r="C16" s="423"/>
      <c r="D16" s="423"/>
      <c r="E16" s="423"/>
      <c r="F16" s="423"/>
      <c r="G16" s="423"/>
      <c r="H16" s="423"/>
      <c r="I16" s="423"/>
      <c r="J16" s="423"/>
      <c r="K16" s="423"/>
      <c r="L16" s="423"/>
      <c r="M16" s="423"/>
      <c r="N16" s="423"/>
      <c r="O16" s="423"/>
      <c r="P16" s="423"/>
      <c r="Q16" s="423"/>
      <c r="R16" s="423"/>
      <c r="S16" s="423"/>
      <c r="T16" s="147"/>
      <c r="U16" s="147"/>
      <c r="V16" s="147"/>
      <c r="W16" s="147"/>
      <c r="X16" s="147"/>
      <c r="Y16" s="147"/>
    </row>
    <row r="17" spans="1:28" s="142" customFormat="1" ht="45.75" customHeight="1" x14ac:dyDescent="0.2">
      <c r="A17" s="424" t="s">
        <v>381</v>
      </c>
      <c r="B17" s="424"/>
      <c r="C17" s="424"/>
      <c r="D17" s="424"/>
      <c r="E17" s="424"/>
      <c r="F17" s="424"/>
      <c r="G17" s="424"/>
      <c r="H17" s="424"/>
      <c r="I17" s="424"/>
      <c r="J17" s="424"/>
      <c r="K17" s="424"/>
      <c r="L17" s="424"/>
      <c r="M17" s="424"/>
      <c r="N17" s="424"/>
      <c r="O17" s="424"/>
      <c r="P17" s="424"/>
      <c r="Q17" s="424"/>
      <c r="R17" s="424"/>
      <c r="S17" s="424"/>
      <c r="T17" s="148"/>
      <c r="U17" s="148"/>
      <c r="V17" s="148"/>
      <c r="W17" s="148"/>
      <c r="X17" s="148"/>
      <c r="Y17" s="148"/>
      <c r="Z17" s="148"/>
      <c r="AA17" s="148"/>
      <c r="AB17" s="148"/>
    </row>
    <row r="18" spans="1:28" s="142" customFormat="1" ht="15" customHeight="1" x14ac:dyDescent="0.2">
      <c r="A18" s="425"/>
      <c r="B18" s="425"/>
      <c r="C18" s="425"/>
      <c r="D18" s="425"/>
      <c r="E18" s="425"/>
      <c r="F18" s="425"/>
      <c r="G18" s="425"/>
      <c r="H18" s="425"/>
      <c r="I18" s="425"/>
      <c r="J18" s="425"/>
      <c r="K18" s="425"/>
      <c r="L18" s="425"/>
      <c r="M18" s="425"/>
      <c r="N18" s="425"/>
      <c r="O18" s="425"/>
      <c r="P18" s="425"/>
      <c r="Q18" s="425"/>
      <c r="R18" s="425"/>
      <c r="S18" s="425"/>
      <c r="T18" s="147"/>
      <c r="U18" s="147"/>
      <c r="V18" s="147"/>
      <c r="W18" s="147"/>
      <c r="X18" s="147"/>
      <c r="Y18" s="147"/>
    </row>
    <row r="19" spans="1:28" s="142" customFormat="1" ht="54" customHeight="1" x14ac:dyDescent="0.2">
      <c r="A19" s="416" t="s">
        <v>3</v>
      </c>
      <c r="B19" s="416" t="s">
        <v>94</v>
      </c>
      <c r="C19" s="418" t="s">
        <v>303</v>
      </c>
      <c r="D19" s="416" t="s">
        <v>302</v>
      </c>
      <c r="E19" s="416" t="s">
        <v>93</v>
      </c>
      <c r="F19" s="416" t="s">
        <v>92</v>
      </c>
      <c r="G19" s="416" t="s">
        <v>298</v>
      </c>
      <c r="H19" s="416" t="s">
        <v>91</v>
      </c>
      <c r="I19" s="416" t="s">
        <v>90</v>
      </c>
      <c r="J19" s="416" t="s">
        <v>89</v>
      </c>
      <c r="K19" s="416" t="s">
        <v>88</v>
      </c>
      <c r="L19" s="416" t="s">
        <v>87</v>
      </c>
      <c r="M19" s="416" t="s">
        <v>86</v>
      </c>
      <c r="N19" s="416" t="s">
        <v>85</v>
      </c>
      <c r="O19" s="416" t="s">
        <v>84</v>
      </c>
      <c r="P19" s="416" t="s">
        <v>83</v>
      </c>
      <c r="Q19" s="416" t="s">
        <v>301</v>
      </c>
      <c r="R19" s="416"/>
      <c r="S19" s="420" t="s">
        <v>600</v>
      </c>
      <c r="T19" s="147"/>
      <c r="U19" s="147"/>
      <c r="V19" s="147"/>
      <c r="W19" s="147"/>
      <c r="X19" s="147"/>
      <c r="Y19" s="147"/>
    </row>
    <row r="20" spans="1:28" s="142" customFormat="1" ht="180.75" customHeight="1" x14ac:dyDescent="0.2">
      <c r="A20" s="416"/>
      <c r="B20" s="416"/>
      <c r="C20" s="419"/>
      <c r="D20" s="416"/>
      <c r="E20" s="416"/>
      <c r="F20" s="416"/>
      <c r="G20" s="416"/>
      <c r="H20" s="416"/>
      <c r="I20" s="416"/>
      <c r="J20" s="416"/>
      <c r="K20" s="416"/>
      <c r="L20" s="416"/>
      <c r="M20" s="416"/>
      <c r="N20" s="416"/>
      <c r="O20" s="416"/>
      <c r="P20" s="416"/>
      <c r="Q20" s="149" t="s">
        <v>299</v>
      </c>
      <c r="R20" s="150" t="s">
        <v>300</v>
      </c>
      <c r="S20" s="420"/>
      <c r="T20" s="151"/>
      <c r="U20" s="151"/>
      <c r="V20" s="151"/>
      <c r="W20" s="151"/>
      <c r="X20" s="151"/>
      <c r="Y20" s="151"/>
      <c r="Z20" s="152"/>
      <c r="AA20" s="152"/>
      <c r="AB20" s="152"/>
    </row>
    <row r="21" spans="1:28" s="142" customFormat="1" ht="18.75" x14ac:dyDescent="0.2">
      <c r="A21" s="149">
        <v>1</v>
      </c>
      <c r="B21" s="153">
        <v>2</v>
      </c>
      <c r="C21" s="149">
        <v>3</v>
      </c>
      <c r="D21" s="153">
        <v>4</v>
      </c>
      <c r="E21" s="149">
        <v>5</v>
      </c>
      <c r="F21" s="153">
        <v>6</v>
      </c>
      <c r="G21" s="149">
        <v>7</v>
      </c>
      <c r="H21" s="153">
        <v>8</v>
      </c>
      <c r="I21" s="149">
        <v>9</v>
      </c>
      <c r="J21" s="153">
        <v>10</v>
      </c>
      <c r="K21" s="149">
        <v>11</v>
      </c>
      <c r="L21" s="153">
        <v>12</v>
      </c>
      <c r="M21" s="149">
        <v>13</v>
      </c>
      <c r="N21" s="153">
        <v>14</v>
      </c>
      <c r="O21" s="149">
        <v>15</v>
      </c>
      <c r="P21" s="153">
        <v>16</v>
      </c>
      <c r="Q21" s="149">
        <v>17</v>
      </c>
      <c r="R21" s="153">
        <v>18</v>
      </c>
      <c r="S21" s="149">
        <v>19</v>
      </c>
      <c r="T21" s="151"/>
      <c r="U21" s="151"/>
      <c r="V21" s="151"/>
      <c r="W21" s="151"/>
      <c r="X21" s="151"/>
      <c r="Y21" s="151"/>
      <c r="Z21" s="152"/>
      <c r="AA21" s="152"/>
      <c r="AB21" s="152"/>
    </row>
    <row r="22" spans="1:28" s="142" customFormat="1" ht="409.5" customHeight="1" x14ac:dyDescent="0.2">
      <c r="A22" s="237">
        <v>1</v>
      </c>
      <c r="B22" s="235" t="s">
        <v>598</v>
      </c>
      <c r="C22" s="235" t="s">
        <v>542</v>
      </c>
      <c r="D22" s="235" t="s">
        <v>599</v>
      </c>
      <c r="E22" s="235" t="s">
        <v>591</v>
      </c>
      <c r="F22" s="235" t="s">
        <v>592</v>
      </c>
      <c r="G22" s="235" t="s">
        <v>586</v>
      </c>
      <c r="H22" s="235">
        <v>8.8000000000000007</v>
      </c>
      <c r="I22" s="235">
        <v>0</v>
      </c>
      <c r="J22" s="235">
        <v>8.8000000000000007</v>
      </c>
      <c r="K22" s="235">
        <v>10</v>
      </c>
      <c r="L22" s="235" t="s">
        <v>568</v>
      </c>
      <c r="M22" s="235">
        <v>8.8000000000000007</v>
      </c>
      <c r="N22" s="235">
        <v>2</v>
      </c>
      <c r="O22" s="235">
        <v>0</v>
      </c>
      <c r="P22" s="235">
        <v>0</v>
      </c>
      <c r="Q22" s="245" t="s">
        <v>593</v>
      </c>
      <c r="R22" s="236"/>
      <c r="S22" s="247">
        <f>278.559639*1.2</f>
        <v>334.27156680000002</v>
      </c>
      <c r="T22" s="151"/>
      <c r="U22" s="151"/>
      <c r="V22" s="151"/>
      <c r="W22" s="151"/>
      <c r="X22" s="151"/>
      <c r="Y22" s="151"/>
      <c r="Z22" s="152"/>
      <c r="AA22" s="152"/>
      <c r="AB22" s="152"/>
    </row>
    <row r="23" spans="1:28"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56"/>
      <c r="AB23" s="156"/>
    </row>
    <row r="24" spans="1:28" x14ac:dyDescent="0.25">
      <c r="A24" s="156"/>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c r="AA24" s="156"/>
      <c r="AB24" s="156"/>
    </row>
    <row r="25" spans="1:28" x14ac:dyDescent="0.25">
      <c r="A25" s="156"/>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c r="AA25" s="156"/>
      <c r="AB25" s="156"/>
    </row>
    <row r="26" spans="1:28" x14ac:dyDescent="0.25">
      <c r="A26" s="156"/>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row>
    <row r="27" spans="1:28" x14ac:dyDescent="0.25">
      <c r="A27" s="156"/>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row>
    <row r="28" spans="1:28" x14ac:dyDescent="0.25">
      <c r="A28" s="156"/>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c r="AA28" s="156"/>
      <c r="AB28" s="156"/>
    </row>
    <row r="29" spans="1:28" x14ac:dyDescent="0.25">
      <c r="A29" s="156"/>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c r="AA29" s="156"/>
      <c r="AB29" s="156"/>
    </row>
    <row r="30" spans="1:28" x14ac:dyDescent="0.25">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row>
    <row r="31" spans="1:28" x14ac:dyDescent="0.25">
      <c r="A31" s="156"/>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row>
    <row r="32" spans="1:28" x14ac:dyDescent="0.25">
      <c r="A32" s="156"/>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row>
    <row r="33" spans="1:28" x14ac:dyDescent="0.25">
      <c r="A33" s="156"/>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row>
    <row r="34" spans="1:28" x14ac:dyDescent="0.25">
      <c r="A34" s="156"/>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row>
    <row r="35" spans="1:28" x14ac:dyDescent="0.25">
      <c r="A35" s="156"/>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row>
    <row r="36" spans="1:28" x14ac:dyDescent="0.25">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c r="AA36" s="156"/>
      <c r="AB36" s="156"/>
    </row>
    <row r="37" spans="1:28" x14ac:dyDescent="0.25">
      <c r="A37" s="156"/>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c r="AA37" s="156"/>
      <c r="AB37" s="156"/>
    </row>
    <row r="38" spans="1:28" x14ac:dyDescent="0.25">
      <c r="A38" s="156"/>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row>
    <row r="39" spans="1:28" x14ac:dyDescent="0.25">
      <c r="A39" s="156"/>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c r="AA39" s="156"/>
      <c r="AB39" s="156"/>
    </row>
    <row r="40" spans="1:28" x14ac:dyDescent="0.25">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c r="AA40" s="156"/>
      <c r="AB40" s="156"/>
    </row>
    <row r="41" spans="1:28" x14ac:dyDescent="0.25">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row>
    <row r="42" spans="1:28" x14ac:dyDescent="0.25">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row>
    <row r="43" spans="1:28" x14ac:dyDescent="0.25">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row>
    <row r="44" spans="1:28" x14ac:dyDescent="0.25">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row>
    <row r="45" spans="1:28" x14ac:dyDescent="0.25">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row>
    <row r="46" spans="1:28" x14ac:dyDescent="0.25">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c r="AA46" s="156"/>
      <c r="AB46" s="156"/>
    </row>
    <row r="47" spans="1:28" x14ac:dyDescent="0.25">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c r="AA47" s="156"/>
      <c r="AB47" s="156"/>
    </row>
    <row r="48" spans="1:28" x14ac:dyDescent="0.25">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row>
    <row r="49" spans="1:28" x14ac:dyDescent="0.25">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row>
    <row r="50" spans="1:28" x14ac:dyDescent="0.25">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c r="AA50" s="156"/>
      <c r="AB50" s="156"/>
    </row>
    <row r="51" spans="1:28" x14ac:dyDescent="0.25">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row>
    <row r="52" spans="1:28" x14ac:dyDescent="0.25">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c r="AA52" s="156"/>
      <c r="AB52" s="156"/>
    </row>
    <row r="53" spans="1:28" x14ac:dyDescent="0.25">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row>
    <row r="54" spans="1:28" x14ac:dyDescent="0.25">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row>
    <row r="55" spans="1:28" x14ac:dyDescent="0.25">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row>
    <row r="56" spans="1:28" x14ac:dyDescent="0.25">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c r="AA56" s="156"/>
      <c r="AB56" s="156"/>
    </row>
    <row r="57" spans="1:28" x14ac:dyDescent="0.25">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row>
    <row r="58" spans="1:28" x14ac:dyDescent="0.25">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c r="AA58" s="156"/>
      <c r="AB58" s="156"/>
    </row>
    <row r="59" spans="1:28" x14ac:dyDescent="0.25">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c r="AA59" s="156"/>
      <c r="AB59" s="156"/>
    </row>
    <row r="60" spans="1:28" x14ac:dyDescent="0.25">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row>
    <row r="61" spans="1:28" x14ac:dyDescent="0.25">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row>
    <row r="62" spans="1:28" x14ac:dyDescent="0.25">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row>
    <row r="63" spans="1:28" x14ac:dyDescent="0.25">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row>
    <row r="64" spans="1:28" x14ac:dyDescent="0.25">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row>
    <row r="65" spans="1:28" x14ac:dyDescent="0.25">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row>
    <row r="66" spans="1:28" x14ac:dyDescent="0.25">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c r="AA66" s="156"/>
      <c r="AB66" s="156"/>
    </row>
    <row r="67" spans="1:28" x14ac:dyDescent="0.25">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row>
    <row r="68" spans="1:28" x14ac:dyDescent="0.25">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c r="AA68" s="156"/>
      <c r="AB68" s="156"/>
    </row>
    <row r="69" spans="1:28" x14ac:dyDescent="0.25">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row>
    <row r="70" spans="1:28" x14ac:dyDescent="0.25">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c r="AA70" s="156"/>
      <c r="AB70" s="156"/>
    </row>
    <row r="71" spans="1:28" x14ac:dyDescent="0.25">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row>
    <row r="72" spans="1:28" x14ac:dyDescent="0.25">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c r="AA72" s="156"/>
      <c r="AB72" s="156"/>
    </row>
    <row r="73" spans="1:28" x14ac:dyDescent="0.25">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row>
    <row r="74" spans="1:28" x14ac:dyDescent="0.25">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c r="AA74" s="156"/>
      <c r="AB74" s="156"/>
    </row>
    <row r="75" spans="1:28" x14ac:dyDescent="0.25">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c r="AA75" s="156"/>
      <c r="AB75" s="156"/>
    </row>
    <row r="76" spans="1:28" x14ac:dyDescent="0.25">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row>
    <row r="77" spans="1:28" x14ac:dyDescent="0.25">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row>
    <row r="78" spans="1:28" x14ac:dyDescent="0.25">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row>
    <row r="79" spans="1:28" x14ac:dyDescent="0.25">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row>
    <row r="80" spans="1:28" x14ac:dyDescent="0.25">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row>
    <row r="81" spans="1:28" x14ac:dyDescent="0.25">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row>
    <row r="82" spans="1:28" x14ac:dyDescent="0.25">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row>
    <row r="83" spans="1:28" x14ac:dyDescent="0.25">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c r="AA83" s="156"/>
      <c r="AB83" s="156"/>
    </row>
    <row r="84" spans="1:28" x14ac:dyDescent="0.25">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c r="AA84" s="156"/>
      <c r="AB84" s="156"/>
    </row>
    <row r="85" spans="1:28" x14ac:dyDescent="0.25">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row>
    <row r="86" spans="1:28" x14ac:dyDescent="0.25">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c r="AA86" s="156"/>
      <c r="AB86" s="156"/>
    </row>
    <row r="87" spans="1:28" x14ac:dyDescent="0.25">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c r="AA87" s="156"/>
      <c r="AB87" s="156"/>
    </row>
    <row r="88" spans="1:28" x14ac:dyDescent="0.25">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c r="AA88" s="156"/>
      <c r="AB88" s="156"/>
    </row>
    <row r="89" spans="1:28" x14ac:dyDescent="0.25">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c r="AA89" s="156"/>
      <c r="AB89" s="156"/>
    </row>
    <row r="90" spans="1:28" x14ac:dyDescent="0.25">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c r="AA90" s="156"/>
      <c r="AB90" s="156"/>
    </row>
    <row r="91" spans="1:28"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c r="AA91" s="156"/>
      <c r="AB91" s="156"/>
    </row>
    <row r="92" spans="1:28" x14ac:dyDescent="0.25">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c r="AA92" s="156"/>
      <c r="AB92" s="156"/>
    </row>
    <row r="93" spans="1:28" x14ac:dyDescent="0.25">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c r="AA93" s="156"/>
      <c r="AB93" s="156"/>
    </row>
    <row r="94" spans="1:28" x14ac:dyDescent="0.25">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c r="AA94" s="156"/>
      <c r="AB94" s="156"/>
    </row>
    <row r="95" spans="1:28" x14ac:dyDescent="0.25">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c r="AA95" s="156"/>
      <c r="AB95" s="156"/>
    </row>
    <row r="96" spans="1:28" x14ac:dyDescent="0.25">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c r="AA96" s="156"/>
      <c r="AB96" s="156"/>
    </row>
    <row r="97" spans="1:28" x14ac:dyDescent="0.25">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c r="AA97" s="156"/>
      <c r="AB97" s="156"/>
    </row>
    <row r="98" spans="1:28" x14ac:dyDescent="0.25">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c r="AA98" s="156"/>
      <c r="AB98" s="156"/>
    </row>
    <row r="99" spans="1:28" x14ac:dyDescent="0.25">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c r="AA99" s="156"/>
      <c r="AB99" s="156"/>
    </row>
    <row r="100" spans="1:28"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c r="AA100" s="156"/>
      <c r="AB100" s="156"/>
    </row>
    <row r="101" spans="1:28"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c r="AA101" s="156"/>
      <c r="AB101" s="156"/>
    </row>
    <row r="102" spans="1:28"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c r="AA102" s="156"/>
      <c r="AB102" s="156"/>
    </row>
    <row r="103" spans="1:28"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c r="AA103" s="156"/>
      <c r="AB103" s="156"/>
    </row>
    <row r="104" spans="1:28"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c r="AA104" s="156"/>
      <c r="AB104" s="156"/>
    </row>
    <row r="105" spans="1:28"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c r="AA105" s="156"/>
      <c r="AB105" s="156"/>
    </row>
    <row r="106" spans="1:28"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c r="AA106" s="156"/>
      <c r="AB106" s="156"/>
    </row>
    <row r="107" spans="1:28"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c r="AA107" s="156"/>
      <c r="AB107" s="156"/>
    </row>
    <row r="108" spans="1:28"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c r="AA108" s="156"/>
      <c r="AB108" s="156"/>
    </row>
    <row r="109" spans="1:28"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c r="AA109" s="156"/>
      <c r="AB109" s="156"/>
    </row>
    <row r="110" spans="1:28"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c r="AA110" s="156"/>
      <c r="AB110" s="156"/>
    </row>
    <row r="111" spans="1:28"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c r="AA111" s="156"/>
      <c r="AB111" s="156"/>
    </row>
    <row r="112" spans="1:28"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c r="AA112" s="156"/>
      <c r="AB112" s="156"/>
    </row>
    <row r="113" spans="1:28"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c r="AA113" s="156"/>
      <c r="AB113" s="156"/>
    </row>
    <row r="114" spans="1:28"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c r="AA114" s="156"/>
      <c r="AB114" s="156"/>
    </row>
    <row r="115" spans="1:28"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c r="AA115" s="156"/>
      <c r="AB115" s="156"/>
    </row>
    <row r="116" spans="1:28"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c r="AA116" s="156"/>
      <c r="AB116" s="156"/>
    </row>
    <row r="117" spans="1:28"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c r="AA117" s="156"/>
      <c r="AB117" s="156"/>
    </row>
    <row r="118" spans="1:28"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c r="AA118" s="156"/>
      <c r="AB118" s="156"/>
    </row>
    <row r="119" spans="1:28"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c r="AA119" s="156"/>
      <c r="AB119" s="156"/>
    </row>
    <row r="120" spans="1:28"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c r="AA120" s="156"/>
      <c r="AB120" s="156"/>
    </row>
    <row r="121" spans="1:28"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c r="AA121" s="156"/>
      <c r="AB121" s="156"/>
    </row>
    <row r="122" spans="1:28"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c r="AA122" s="156"/>
      <c r="AB122" s="156"/>
    </row>
    <row r="123" spans="1:28"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c r="AA123" s="156"/>
      <c r="AB123" s="156"/>
    </row>
    <row r="124" spans="1:28"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c r="AA124" s="156"/>
      <c r="AB124" s="156"/>
    </row>
    <row r="125" spans="1:28"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c r="AA125" s="156"/>
      <c r="AB125" s="156"/>
    </row>
    <row r="126" spans="1:28"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c r="AA126" s="156"/>
      <c r="AB126" s="156"/>
    </row>
    <row r="127" spans="1:28"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c r="AA127" s="156"/>
      <c r="AB127" s="156"/>
    </row>
    <row r="128" spans="1:28"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c r="AA128" s="156"/>
      <c r="AB128" s="156"/>
    </row>
    <row r="129" spans="1:28"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c r="AA129" s="156"/>
      <c r="AB129" s="156"/>
    </row>
    <row r="130" spans="1:28"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c r="AA130" s="156"/>
      <c r="AB130" s="156"/>
    </row>
    <row r="131" spans="1:28"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c r="AA131" s="156"/>
      <c r="AB131" s="156"/>
    </row>
    <row r="132" spans="1:28"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c r="AA132" s="156"/>
      <c r="AB132" s="156"/>
    </row>
    <row r="133" spans="1:28"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c r="AA133" s="156"/>
      <c r="AB133" s="156"/>
    </row>
    <row r="134" spans="1:28"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c r="AA134" s="156"/>
      <c r="AB134" s="156"/>
    </row>
    <row r="135" spans="1:28"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c r="AA135" s="156"/>
      <c r="AB135" s="156"/>
    </row>
    <row r="136" spans="1:28"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c r="AA136" s="156"/>
      <c r="AB136" s="156"/>
    </row>
    <row r="137" spans="1:28"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c r="AA137" s="156"/>
      <c r="AB137" s="156"/>
    </row>
    <row r="138" spans="1:28"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c r="AA138" s="156"/>
      <c r="AB138" s="156"/>
    </row>
    <row r="139" spans="1:28"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c r="AA139" s="156"/>
      <c r="AB139" s="156"/>
    </row>
    <row r="140" spans="1:28"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c r="AA140" s="156"/>
      <c r="AB140" s="156"/>
    </row>
    <row r="141" spans="1:28"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c r="AA141" s="156"/>
      <c r="AB141" s="156"/>
    </row>
    <row r="142" spans="1:28"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c r="AA142" s="156"/>
      <c r="AB142" s="156"/>
    </row>
    <row r="143" spans="1:28"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c r="AA143" s="156"/>
      <c r="AB143" s="156"/>
    </row>
    <row r="144" spans="1:28"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c r="AA144" s="156"/>
      <c r="AB144" s="156"/>
    </row>
    <row r="145" spans="1:28"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c r="AA145" s="156"/>
      <c r="AB145" s="156"/>
    </row>
    <row r="146" spans="1:28"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c r="AA146" s="156"/>
      <c r="AB146" s="156"/>
    </row>
    <row r="147" spans="1:28"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c r="AA147" s="156"/>
      <c r="AB147" s="156"/>
    </row>
    <row r="148" spans="1:28"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c r="AA148" s="156"/>
      <c r="AB148" s="156"/>
    </row>
    <row r="149" spans="1:28"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c r="AA149" s="156"/>
      <c r="AB149" s="156"/>
    </row>
    <row r="150" spans="1:28"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c r="AA150" s="156"/>
      <c r="AB150" s="156"/>
    </row>
    <row r="151" spans="1:28"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c r="AA151" s="156"/>
      <c r="AB151" s="156"/>
    </row>
    <row r="152" spans="1:28"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c r="AA152" s="156"/>
      <c r="AB152" s="156"/>
    </row>
    <row r="153" spans="1:28"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c r="AA153" s="156"/>
      <c r="AB153" s="156"/>
    </row>
    <row r="154" spans="1:28"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c r="AA154" s="156"/>
      <c r="AB154" s="156"/>
    </row>
    <row r="155" spans="1:28"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c r="AA155" s="156"/>
      <c r="AB155" s="156"/>
    </row>
    <row r="156" spans="1:28"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c r="AA156" s="156"/>
      <c r="AB156" s="156"/>
    </row>
    <row r="157" spans="1:28"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c r="AA157" s="156"/>
      <c r="AB157" s="156"/>
    </row>
    <row r="158" spans="1:28"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c r="AA158" s="156"/>
      <c r="AB158" s="156"/>
    </row>
    <row r="159" spans="1:28"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c r="AA159" s="156"/>
      <c r="AB159" s="156"/>
    </row>
    <row r="160" spans="1:28"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c r="AA160" s="156"/>
      <c r="AB160" s="156"/>
    </row>
    <row r="161" spans="1:28"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c r="AA161" s="156"/>
      <c r="AB161" s="156"/>
    </row>
    <row r="162" spans="1:28"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c r="AA162" s="156"/>
      <c r="AB162" s="156"/>
    </row>
    <row r="163" spans="1:28"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c r="AA163" s="156"/>
      <c r="AB163" s="156"/>
    </row>
    <row r="164" spans="1:28"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c r="AA164" s="156"/>
      <c r="AB164" s="156"/>
    </row>
    <row r="165" spans="1:28"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c r="AA165" s="156"/>
      <c r="AB165" s="156"/>
    </row>
    <row r="166" spans="1:28"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c r="AA166" s="156"/>
      <c r="AB166" s="156"/>
    </row>
    <row r="167" spans="1:28"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c r="AA167" s="156"/>
      <c r="AB167" s="156"/>
    </row>
    <row r="168" spans="1:28"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c r="AA168" s="156"/>
      <c r="AB168" s="156"/>
    </row>
    <row r="169" spans="1:28"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c r="AA169" s="156"/>
      <c r="AB169" s="156"/>
    </row>
    <row r="170" spans="1:28"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c r="AA170" s="156"/>
      <c r="AB170" s="156"/>
    </row>
    <row r="171" spans="1:28"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c r="AA171" s="156"/>
      <c r="AB171" s="156"/>
    </row>
    <row r="172" spans="1:28"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c r="AA172" s="156"/>
      <c r="AB172" s="156"/>
    </row>
    <row r="173" spans="1:28"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c r="AA173" s="156"/>
      <c r="AB173" s="156"/>
    </row>
    <row r="174" spans="1:28"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c r="AA174" s="156"/>
      <c r="AB174" s="156"/>
    </row>
    <row r="175" spans="1:28"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c r="AA175" s="156"/>
      <c r="AB175" s="156"/>
    </row>
    <row r="176" spans="1:28"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c r="AA176" s="156"/>
      <c r="AB176" s="156"/>
    </row>
    <row r="177" spans="1:28"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c r="AA177" s="156"/>
      <c r="AB177" s="156"/>
    </row>
    <row r="178" spans="1:28"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c r="AA178" s="156"/>
      <c r="AB178" s="156"/>
    </row>
    <row r="179" spans="1:28"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c r="AA179" s="156"/>
      <c r="AB179" s="156"/>
    </row>
    <row r="180" spans="1:28"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c r="AA180" s="156"/>
      <c r="AB180" s="156"/>
    </row>
    <row r="181" spans="1:28"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c r="AA181" s="156"/>
      <c r="AB181" s="156"/>
    </row>
    <row r="182" spans="1:28"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c r="AA182" s="156"/>
      <c r="AB182" s="156"/>
    </row>
    <row r="183" spans="1:28"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c r="AA183" s="156"/>
      <c r="AB183" s="156"/>
    </row>
    <row r="184" spans="1:28"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c r="AA184" s="156"/>
      <c r="AB184" s="156"/>
    </row>
    <row r="185" spans="1:28"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c r="AA185" s="156"/>
      <c r="AB185" s="156"/>
    </row>
    <row r="186" spans="1:28"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c r="AA186" s="156"/>
      <c r="AB186" s="156"/>
    </row>
    <row r="187" spans="1:28"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c r="AA187" s="156"/>
      <c r="AB187" s="156"/>
    </row>
    <row r="188" spans="1:28"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c r="AA188" s="156"/>
      <c r="AB188" s="156"/>
    </row>
    <row r="189" spans="1:28"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c r="AA189" s="156"/>
      <c r="AB189" s="156"/>
    </row>
    <row r="190" spans="1:28"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c r="AA190" s="156"/>
      <c r="AB190" s="156"/>
    </row>
    <row r="191" spans="1:28"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c r="AA191" s="156"/>
      <c r="AB191" s="156"/>
    </row>
    <row r="192" spans="1:28"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c r="AA192" s="156"/>
      <c r="AB192" s="156"/>
    </row>
    <row r="193" spans="1:28"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c r="AA193" s="156"/>
      <c r="AB193" s="156"/>
    </row>
    <row r="194" spans="1:28"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c r="AA194" s="156"/>
      <c r="AB194" s="156"/>
    </row>
    <row r="195" spans="1:28"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c r="AA195" s="156"/>
      <c r="AB195" s="156"/>
    </row>
    <row r="196" spans="1:28"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c r="AA196" s="156"/>
      <c r="AB196" s="156"/>
    </row>
    <row r="197" spans="1:28"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c r="AA197" s="156"/>
      <c r="AB197" s="156"/>
    </row>
    <row r="198" spans="1:28"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c r="AA198" s="156"/>
      <c r="AB198" s="156"/>
    </row>
    <row r="199" spans="1:28"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c r="AA199" s="156"/>
      <c r="AB199" s="156"/>
    </row>
    <row r="200" spans="1:28"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c r="AA200" s="156"/>
      <c r="AB200" s="156"/>
    </row>
    <row r="201" spans="1:28"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c r="AA201" s="156"/>
      <c r="AB201" s="156"/>
    </row>
    <row r="202" spans="1:28"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c r="AA202" s="156"/>
      <c r="AB202" s="156"/>
    </row>
    <row r="203" spans="1:28"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c r="AA203" s="156"/>
      <c r="AB203" s="156"/>
    </row>
    <row r="204" spans="1:28"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c r="AA204" s="156"/>
      <c r="AB204" s="156"/>
    </row>
    <row r="205" spans="1:28"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c r="AA205" s="156"/>
      <c r="AB205" s="156"/>
    </row>
    <row r="206" spans="1:28"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c r="AA206" s="156"/>
      <c r="AB206" s="156"/>
    </row>
    <row r="207" spans="1:28"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c r="AA207" s="156"/>
      <c r="AB207" s="156"/>
    </row>
    <row r="208" spans="1:28"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c r="AA208" s="156"/>
      <c r="AB208" s="156"/>
    </row>
    <row r="209" spans="1:28"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c r="AA209" s="156"/>
      <c r="AB209" s="156"/>
    </row>
    <row r="210" spans="1:28"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c r="AA210" s="156"/>
      <c r="AB210" s="156"/>
    </row>
    <row r="211" spans="1:28"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c r="AA211" s="156"/>
      <c r="AB211" s="156"/>
    </row>
    <row r="212" spans="1:28"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c r="AA212" s="156"/>
      <c r="AB212" s="156"/>
    </row>
    <row r="213" spans="1:28"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c r="AA213" s="156"/>
      <c r="AB213" s="156"/>
    </row>
    <row r="214" spans="1:28"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c r="AA214" s="156"/>
      <c r="AB214" s="156"/>
    </row>
    <row r="215" spans="1:28"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c r="AA215" s="156"/>
      <c r="AB215" s="156"/>
    </row>
    <row r="216" spans="1:28"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c r="AA216" s="156"/>
      <c r="AB216" s="156"/>
    </row>
    <row r="217" spans="1:28"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c r="AA217" s="156"/>
      <c r="AB217" s="156"/>
    </row>
    <row r="218" spans="1:28"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c r="AA218" s="156"/>
      <c r="AB218" s="156"/>
    </row>
    <row r="219" spans="1:28"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c r="AA219" s="156"/>
      <c r="AB219" s="156"/>
    </row>
    <row r="220" spans="1:28"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c r="AA220" s="156"/>
      <c r="AB220" s="156"/>
    </row>
    <row r="221" spans="1:28"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c r="AA221" s="156"/>
      <c r="AB221" s="156"/>
    </row>
    <row r="222" spans="1:28"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c r="AA222" s="156"/>
      <c r="AB222" s="156"/>
    </row>
    <row r="223" spans="1:28"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c r="AA223" s="156"/>
      <c r="AB223" s="156"/>
    </row>
    <row r="224" spans="1:28"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c r="AA224" s="156"/>
      <c r="AB224" s="156"/>
    </row>
    <row r="225" spans="1:28"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c r="AA225" s="156"/>
      <c r="AB225" s="156"/>
    </row>
    <row r="226" spans="1:28"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c r="AA226" s="156"/>
      <c r="AB226" s="156"/>
    </row>
    <row r="227" spans="1:28"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c r="AA227" s="156"/>
      <c r="AB227" s="156"/>
    </row>
    <row r="228" spans="1:28"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c r="AA228" s="156"/>
      <c r="AB228" s="156"/>
    </row>
    <row r="229" spans="1:28"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c r="AA229" s="156"/>
      <c r="AB229" s="156"/>
    </row>
    <row r="230" spans="1:28"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c r="AA230" s="156"/>
      <c r="AB230" s="156"/>
    </row>
    <row r="231" spans="1:28"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c r="AA231" s="156"/>
      <c r="AB231" s="156"/>
    </row>
    <row r="232" spans="1:28"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c r="AA232" s="156"/>
      <c r="AB232" s="156"/>
    </row>
    <row r="233" spans="1:28"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c r="AA233" s="156"/>
      <c r="AB233" s="156"/>
    </row>
    <row r="234" spans="1:28"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c r="AA234" s="156"/>
      <c r="AB234" s="156"/>
    </row>
    <row r="235" spans="1:28"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c r="AA235" s="156"/>
      <c r="AB235" s="156"/>
    </row>
    <row r="236" spans="1:28"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c r="AA236" s="156"/>
      <c r="AB236" s="156"/>
    </row>
    <row r="237" spans="1:28"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c r="AA237" s="156"/>
      <c r="AB237" s="156"/>
    </row>
    <row r="238" spans="1:28"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c r="AA238" s="156"/>
      <c r="AB238" s="156"/>
    </row>
    <row r="239" spans="1:28"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c r="AA239" s="156"/>
      <c r="AB239" s="156"/>
    </row>
    <row r="240" spans="1:28"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c r="AA240" s="156"/>
      <c r="AB240" s="156"/>
    </row>
    <row r="241" spans="1:28"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c r="AA241" s="156"/>
      <c r="AB241" s="156"/>
    </row>
    <row r="242" spans="1:28"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c r="AA242" s="156"/>
      <c r="AB242" s="156"/>
    </row>
    <row r="243" spans="1:28"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c r="AA243" s="156"/>
      <c r="AB243" s="156"/>
    </row>
    <row r="244" spans="1:28"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c r="AA244" s="156"/>
      <c r="AB244" s="156"/>
    </row>
    <row r="245" spans="1:28"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c r="AA245" s="156"/>
      <c r="AB245" s="156"/>
    </row>
    <row r="246" spans="1:28"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c r="AA246" s="156"/>
      <c r="AB246" s="156"/>
    </row>
    <row r="247" spans="1:28"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c r="AA247" s="156"/>
      <c r="AB247" s="156"/>
    </row>
    <row r="248" spans="1:28"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c r="AA248" s="156"/>
      <c r="AB248" s="156"/>
    </row>
    <row r="249" spans="1:28"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c r="AA249" s="156"/>
      <c r="AB249" s="156"/>
    </row>
    <row r="250" spans="1:28"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c r="AA250" s="156"/>
      <c r="AB250" s="156"/>
    </row>
    <row r="251" spans="1:28"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c r="AA251" s="156"/>
      <c r="AB251" s="156"/>
    </row>
    <row r="252" spans="1:28"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c r="AA252" s="156"/>
      <c r="AB252" s="156"/>
    </row>
    <row r="253" spans="1:28"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c r="AA253" s="156"/>
      <c r="AB253" s="156"/>
    </row>
    <row r="254" spans="1:28"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c r="AA254" s="156"/>
      <c r="AB254" s="156"/>
    </row>
    <row r="255" spans="1:28"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c r="AA255" s="156"/>
      <c r="AB255" s="156"/>
    </row>
    <row r="256" spans="1:28"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c r="AA256" s="156"/>
      <c r="AB256" s="156"/>
    </row>
    <row r="257" spans="1:28"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c r="AA257" s="156"/>
      <c r="AB257" s="156"/>
    </row>
    <row r="258" spans="1:28"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c r="AA258" s="156"/>
      <c r="AB258" s="156"/>
    </row>
    <row r="259" spans="1:28"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c r="AA259" s="156"/>
      <c r="AB259" s="156"/>
    </row>
    <row r="260" spans="1:28"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c r="AA260" s="156"/>
      <c r="AB260" s="156"/>
    </row>
    <row r="261" spans="1:28"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c r="AA261" s="156"/>
      <c r="AB261" s="156"/>
    </row>
    <row r="262" spans="1:28"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c r="AA262" s="156"/>
      <c r="AB262" s="156"/>
    </row>
    <row r="263" spans="1:28"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c r="AA263" s="156"/>
      <c r="AB263" s="156"/>
    </row>
    <row r="264" spans="1:28"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c r="AA264" s="156"/>
      <c r="AB264" s="156"/>
    </row>
    <row r="265" spans="1:28"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c r="AA265" s="156"/>
      <c r="AB265" s="156"/>
    </row>
    <row r="266" spans="1:28"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c r="AA266" s="156"/>
      <c r="AB266" s="156"/>
    </row>
    <row r="267" spans="1:28"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c r="AA267" s="156"/>
      <c r="AB267" s="156"/>
    </row>
    <row r="268" spans="1:28"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c r="AA268" s="156"/>
      <c r="AB268" s="156"/>
    </row>
    <row r="269" spans="1:28"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c r="AA269" s="156"/>
      <c r="AB269" s="156"/>
    </row>
    <row r="270" spans="1:28"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c r="AA270" s="156"/>
      <c r="AB270" s="156"/>
    </row>
    <row r="271" spans="1:28"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c r="AA271" s="156"/>
      <c r="AB271" s="156"/>
    </row>
    <row r="272" spans="1:28"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c r="AA272" s="156"/>
      <c r="AB272" s="156"/>
    </row>
    <row r="273" spans="1:28"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c r="AA273" s="156"/>
      <c r="AB273" s="156"/>
    </row>
    <row r="274" spans="1:28"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c r="AA274" s="156"/>
      <c r="AB274" s="156"/>
    </row>
    <row r="275" spans="1:28"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c r="AA275" s="156"/>
      <c r="AB275" s="156"/>
    </row>
    <row r="276" spans="1:28"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c r="AA276" s="156"/>
      <c r="AB276" s="156"/>
    </row>
    <row r="277" spans="1:28"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c r="AA277" s="156"/>
      <c r="AB277" s="156"/>
    </row>
    <row r="278" spans="1:28"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c r="AA278" s="156"/>
      <c r="AB278" s="156"/>
    </row>
    <row r="279" spans="1:28"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c r="AA279" s="156"/>
      <c r="AB279" s="156"/>
    </row>
    <row r="280" spans="1:28"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c r="AA280" s="156"/>
      <c r="AB280" s="156"/>
    </row>
    <row r="281" spans="1:28"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c r="AA281" s="156"/>
      <c r="AB281" s="156"/>
    </row>
    <row r="282" spans="1:28"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c r="AA282" s="156"/>
      <c r="AB282" s="156"/>
    </row>
    <row r="283" spans="1:28"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c r="AA283" s="156"/>
      <c r="AB283" s="156"/>
    </row>
    <row r="284" spans="1:28"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c r="AA284" s="156"/>
      <c r="AB284" s="156"/>
    </row>
    <row r="285" spans="1:28"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c r="AA285" s="156"/>
      <c r="AB285" s="156"/>
    </row>
    <row r="286" spans="1:28"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c r="AA286" s="156"/>
      <c r="AB286" s="156"/>
    </row>
    <row r="287" spans="1:28"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c r="AA287" s="156"/>
      <c r="AB287" s="156"/>
    </row>
    <row r="288" spans="1:28"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c r="AA288" s="156"/>
      <c r="AB288" s="156"/>
    </row>
    <row r="289" spans="1:28"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c r="AA289" s="156"/>
      <c r="AB289" s="156"/>
    </row>
    <row r="290" spans="1:28"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c r="AA290" s="156"/>
      <c r="AB290" s="156"/>
    </row>
    <row r="291" spans="1:28"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c r="AA291" s="156"/>
      <c r="AB291" s="156"/>
    </row>
    <row r="292" spans="1:28"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c r="AA292" s="156"/>
      <c r="AB292" s="156"/>
    </row>
    <row r="293" spans="1:28"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c r="AA293" s="156"/>
      <c r="AB293" s="156"/>
    </row>
    <row r="294" spans="1:28"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c r="AA294" s="156"/>
      <c r="AB294" s="156"/>
    </row>
    <row r="295" spans="1:28"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c r="AA295" s="156"/>
      <c r="AB295" s="156"/>
    </row>
    <row r="296" spans="1:28"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c r="AA296" s="156"/>
      <c r="AB296" s="156"/>
    </row>
    <row r="297" spans="1:28"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c r="AA297" s="156"/>
      <c r="AB297" s="156"/>
    </row>
    <row r="298" spans="1:28"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c r="AA298" s="156"/>
      <c r="AB298" s="156"/>
    </row>
    <row r="299" spans="1:28"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c r="AA299" s="156"/>
      <c r="AB299" s="156"/>
    </row>
    <row r="300" spans="1:28"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c r="AA300" s="156"/>
      <c r="AB300" s="156"/>
    </row>
    <row r="301" spans="1:28"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c r="AA301" s="156"/>
      <c r="AB301" s="156"/>
    </row>
    <row r="302" spans="1:28"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c r="AA302" s="156"/>
      <c r="AB302" s="156"/>
    </row>
    <row r="303" spans="1:28"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c r="AA303" s="156"/>
      <c r="AB303" s="156"/>
    </row>
    <row r="304" spans="1:28"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c r="AA304" s="156"/>
      <c r="AB304" s="156"/>
    </row>
    <row r="305" spans="1:28"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c r="AA305" s="156"/>
      <c r="AB305" s="156"/>
    </row>
    <row r="306" spans="1:28"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c r="AA306" s="156"/>
      <c r="AB306" s="156"/>
    </row>
    <row r="307" spans="1:28"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c r="AA307" s="156"/>
      <c r="AB307" s="156"/>
    </row>
    <row r="308" spans="1:28"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c r="AA308" s="156"/>
      <c r="AB308" s="156"/>
    </row>
    <row r="309" spans="1:28"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c r="AA309" s="156"/>
      <c r="AB309" s="156"/>
    </row>
    <row r="310" spans="1:28"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c r="AA310" s="156"/>
      <c r="AB310" s="156"/>
    </row>
    <row r="311" spans="1:28"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c r="AA311" s="156"/>
      <c r="AB311" s="156"/>
    </row>
    <row r="312" spans="1:28"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c r="AA312" s="156"/>
      <c r="AB312" s="156"/>
    </row>
    <row r="313" spans="1:28"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c r="AA313" s="156"/>
      <c r="AB313" s="156"/>
    </row>
    <row r="314" spans="1:28"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c r="AA314" s="156"/>
      <c r="AB314" s="156"/>
    </row>
    <row r="315" spans="1:28"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c r="AA315" s="156"/>
      <c r="AB315" s="156"/>
    </row>
    <row r="316" spans="1:28"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c r="AA316" s="156"/>
      <c r="AB316" s="156"/>
    </row>
    <row r="317" spans="1:28"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c r="AA317" s="156"/>
      <c r="AB317" s="156"/>
    </row>
    <row r="318" spans="1:28"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c r="AA318" s="156"/>
      <c r="AB318" s="156"/>
    </row>
    <row r="319" spans="1:28"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c r="AA319" s="156"/>
      <c r="AB319" s="156"/>
    </row>
    <row r="320" spans="1:28"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c r="AA320" s="156"/>
      <c r="AB320" s="156"/>
    </row>
    <row r="321" spans="1:28"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c r="AA321" s="156"/>
      <c r="AB321" s="156"/>
    </row>
    <row r="322" spans="1:28"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c r="AA322" s="156"/>
      <c r="AB322" s="156"/>
    </row>
    <row r="323" spans="1:28"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c r="AA323" s="156"/>
      <c r="AB323" s="156"/>
    </row>
    <row r="324" spans="1:28"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c r="AA324" s="156"/>
      <c r="AB324" s="156"/>
    </row>
    <row r="325" spans="1:28"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c r="AA325" s="156"/>
      <c r="AB325" s="156"/>
    </row>
    <row r="326" spans="1:28"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c r="AA326" s="156"/>
      <c r="AB326" s="156"/>
    </row>
    <row r="327" spans="1:28"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c r="AA327" s="156"/>
      <c r="AB327" s="156"/>
    </row>
    <row r="328" spans="1:28"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c r="AA328" s="156"/>
      <c r="AB328" s="156"/>
    </row>
    <row r="329" spans="1:28"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c r="AA329" s="156"/>
      <c r="AB329" s="156"/>
    </row>
    <row r="330" spans="1:28"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c r="AA330" s="156"/>
      <c r="AB330" s="156"/>
    </row>
    <row r="331" spans="1:28"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c r="AA331" s="156"/>
      <c r="AB331" s="156"/>
    </row>
    <row r="332" spans="1:28"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c r="AA332" s="156"/>
      <c r="AB332" s="156"/>
    </row>
    <row r="333" spans="1:28"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c r="AA333" s="156"/>
      <c r="AB333" s="156"/>
    </row>
    <row r="334" spans="1:28"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c r="AA334" s="156"/>
      <c r="AB334" s="156"/>
    </row>
    <row r="335" spans="1:28"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c r="AA335" s="156"/>
      <c r="AB335" s="156"/>
    </row>
    <row r="336" spans="1:28"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c r="AA336" s="156"/>
      <c r="AB336" s="156"/>
    </row>
    <row r="337" spans="1:28"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c r="AA337" s="156"/>
      <c r="AB337" s="156"/>
    </row>
    <row r="338" spans="1:28"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c r="V338" s="156"/>
      <c r="W338" s="156"/>
      <c r="X338" s="156"/>
      <c r="Y338" s="156"/>
      <c r="Z338" s="156"/>
      <c r="AA338" s="156"/>
      <c r="AB338" s="156"/>
    </row>
    <row r="339" spans="1:28"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c r="V339" s="156"/>
      <c r="W339" s="156"/>
      <c r="X339" s="156"/>
      <c r="Y339" s="156"/>
      <c r="Z339" s="156"/>
      <c r="AA339" s="156"/>
      <c r="AB339" s="156"/>
    </row>
    <row r="340" spans="1:28"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c r="V340" s="156"/>
      <c r="W340" s="156"/>
      <c r="X340" s="156"/>
      <c r="Y340" s="156"/>
      <c r="Z340" s="156"/>
      <c r="AA340" s="156"/>
      <c r="AB340" s="156"/>
    </row>
    <row r="341" spans="1:28"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c r="V341" s="156"/>
      <c r="W341" s="156"/>
      <c r="X341" s="156"/>
      <c r="Y341" s="156"/>
      <c r="Z341" s="156"/>
      <c r="AA341" s="156"/>
      <c r="AB341" s="156"/>
    </row>
    <row r="342" spans="1:28"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c r="V342" s="156"/>
      <c r="W342" s="156"/>
      <c r="X342" s="156"/>
      <c r="Y342" s="156"/>
      <c r="Z342" s="156"/>
      <c r="AA342" s="156"/>
      <c r="AB342" s="156"/>
    </row>
    <row r="343" spans="1:28"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c r="V343" s="156"/>
      <c r="W343" s="156"/>
      <c r="X343" s="156"/>
      <c r="Y343" s="156"/>
      <c r="Z343" s="156"/>
      <c r="AA343" s="156"/>
      <c r="AB343" s="15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zoomScale="80" zoomScaleNormal="60" zoomScaleSheetLayoutView="80" workbookViewId="0">
      <selection activeCell="A16" sqref="A16:T16"/>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9"/>
      <c r="T3" s="14" t="s">
        <v>8</v>
      </c>
    </row>
    <row r="4" spans="1:20" s="17" customFormat="1" ht="18.75" customHeight="1" x14ac:dyDescent="0.3">
      <c r="H4" s="139"/>
      <c r="T4" s="14" t="s">
        <v>65</v>
      </c>
    </row>
    <row r="5" spans="1:20" s="17" customFormat="1" ht="18.75" customHeight="1" x14ac:dyDescent="0.3">
      <c r="H5" s="139"/>
      <c r="T5" s="14"/>
    </row>
    <row r="6" spans="1:20" s="17" customFormat="1" x14ac:dyDescent="0.2">
      <c r="A6" s="408" t="str">
        <f>'1. паспорт местоположение'!A5:C5</f>
        <v>Год раскрытия информации: 2022 год</v>
      </c>
      <c r="B6" s="408"/>
      <c r="C6" s="408"/>
      <c r="D6" s="408"/>
      <c r="E6" s="408"/>
      <c r="F6" s="408"/>
      <c r="G6" s="408"/>
      <c r="H6" s="408"/>
      <c r="I6" s="408"/>
      <c r="J6" s="408"/>
      <c r="K6" s="408"/>
      <c r="L6" s="408"/>
      <c r="M6" s="408"/>
      <c r="N6" s="408"/>
      <c r="O6" s="408"/>
      <c r="P6" s="408"/>
      <c r="Q6" s="408"/>
      <c r="R6" s="408"/>
      <c r="S6" s="408"/>
      <c r="T6" s="408"/>
    </row>
    <row r="7" spans="1:20" s="17" customFormat="1" x14ac:dyDescent="0.2">
      <c r="A7" s="140"/>
      <c r="H7" s="139"/>
    </row>
    <row r="8" spans="1:20" s="17" customFormat="1" ht="18.75" x14ac:dyDescent="0.2">
      <c r="A8" s="417" t="s">
        <v>7</v>
      </c>
      <c r="B8" s="417"/>
      <c r="C8" s="417"/>
      <c r="D8" s="417"/>
      <c r="E8" s="417"/>
      <c r="F8" s="417"/>
      <c r="G8" s="417"/>
      <c r="H8" s="417"/>
      <c r="I8" s="417"/>
      <c r="J8" s="417"/>
      <c r="K8" s="417"/>
      <c r="L8" s="417"/>
      <c r="M8" s="417"/>
      <c r="N8" s="417"/>
      <c r="O8" s="417"/>
      <c r="P8" s="417"/>
      <c r="Q8" s="417"/>
      <c r="R8" s="417"/>
      <c r="S8" s="417"/>
      <c r="T8" s="417"/>
    </row>
    <row r="9" spans="1:20" s="17" customFormat="1" ht="18.75" x14ac:dyDescent="0.2">
      <c r="A9" s="417"/>
      <c r="B9" s="417"/>
      <c r="C9" s="417"/>
      <c r="D9" s="417"/>
      <c r="E9" s="417"/>
      <c r="F9" s="417"/>
      <c r="G9" s="417"/>
      <c r="H9" s="417"/>
      <c r="I9" s="417"/>
      <c r="J9" s="417"/>
      <c r="K9" s="417"/>
      <c r="L9" s="417"/>
      <c r="M9" s="417"/>
      <c r="N9" s="417"/>
      <c r="O9" s="417"/>
      <c r="P9" s="417"/>
      <c r="Q9" s="417"/>
      <c r="R9" s="417"/>
      <c r="S9" s="417"/>
      <c r="T9" s="417"/>
    </row>
    <row r="10" spans="1:20" s="17" customFormat="1" ht="18.75" customHeight="1" x14ac:dyDescent="0.2">
      <c r="A10" s="415" t="str">
        <f>'1. паспорт местоположение'!A9:C9</f>
        <v xml:space="preserve">Акционерное общество "Западная энергетическая компания" </v>
      </c>
      <c r="B10" s="415"/>
      <c r="C10" s="415"/>
      <c r="D10" s="415"/>
      <c r="E10" s="415"/>
      <c r="F10" s="415"/>
      <c r="G10" s="415"/>
      <c r="H10" s="415"/>
      <c r="I10" s="415"/>
      <c r="J10" s="415"/>
      <c r="K10" s="415"/>
      <c r="L10" s="415"/>
      <c r="M10" s="415"/>
      <c r="N10" s="415"/>
      <c r="O10" s="415"/>
      <c r="P10" s="415"/>
      <c r="Q10" s="415"/>
      <c r="R10" s="415"/>
      <c r="S10" s="415"/>
      <c r="T10" s="415"/>
    </row>
    <row r="11" spans="1:20" s="17" customFormat="1" ht="18.75" customHeight="1" x14ac:dyDescent="0.2">
      <c r="A11" s="421" t="s">
        <v>6</v>
      </c>
      <c r="B11" s="421"/>
      <c r="C11" s="421"/>
      <c r="D11" s="421"/>
      <c r="E11" s="421"/>
      <c r="F11" s="421"/>
      <c r="G11" s="421"/>
      <c r="H11" s="421"/>
      <c r="I11" s="421"/>
      <c r="J11" s="421"/>
      <c r="K11" s="421"/>
      <c r="L11" s="421"/>
      <c r="M11" s="421"/>
      <c r="N11" s="421"/>
      <c r="O11" s="421"/>
      <c r="P11" s="421"/>
      <c r="Q11" s="421"/>
      <c r="R11" s="421"/>
      <c r="S11" s="421"/>
      <c r="T11" s="421"/>
    </row>
    <row r="12" spans="1:20" s="17" customFormat="1" ht="18.75" x14ac:dyDescent="0.2">
      <c r="A12" s="417"/>
      <c r="B12" s="417"/>
      <c r="C12" s="417"/>
      <c r="D12" s="417"/>
      <c r="E12" s="417"/>
      <c r="F12" s="417"/>
      <c r="G12" s="417"/>
      <c r="H12" s="417"/>
      <c r="I12" s="417"/>
      <c r="J12" s="417"/>
      <c r="K12" s="417"/>
      <c r="L12" s="417"/>
      <c r="M12" s="417"/>
      <c r="N12" s="417"/>
      <c r="O12" s="417"/>
      <c r="P12" s="417"/>
      <c r="Q12" s="417"/>
      <c r="R12" s="417"/>
      <c r="S12" s="417"/>
      <c r="T12" s="417"/>
    </row>
    <row r="13" spans="1:20" s="17" customFormat="1" ht="18.75" customHeight="1" x14ac:dyDescent="0.2">
      <c r="A13" s="415" t="str">
        <f>'1. паспорт местоположение'!A12:C12</f>
        <v>J 19-02</v>
      </c>
      <c r="B13" s="415"/>
      <c r="C13" s="415"/>
      <c r="D13" s="415"/>
      <c r="E13" s="415"/>
      <c r="F13" s="415"/>
      <c r="G13" s="415"/>
      <c r="H13" s="415"/>
      <c r="I13" s="415"/>
      <c r="J13" s="415"/>
      <c r="K13" s="415"/>
      <c r="L13" s="415"/>
      <c r="M13" s="415"/>
      <c r="N13" s="415"/>
      <c r="O13" s="415"/>
      <c r="P13" s="415"/>
      <c r="Q13" s="415"/>
      <c r="R13" s="415"/>
      <c r="S13" s="415"/>
      <c r="T13" s="415"/>
    </row>
    <row r="14" spans="1:20" s="17" customFormat="1" ht="18.75" customHeight="1" x14ac:dyDescent="0.2">
      <c r="A14" s="421" t="s">
        <v>5</v>
      </c>
      <c r="B14" s="421"/>
      <c r="C14" s="421"/>
      <c r="D14" s="421"/>
      <c r="E14" s="421"/>
      <c r="F14" s="421"/>
      <c r="G14" s="421"/>
      <c r="H14" s="421"/>
      <c r="I14" s="421"/>
      <c r="J14" s="421"/>
      <c r="K14" s="421"/>
      <c r="L14" s="421"/>
      <c r="M14" s="421"/>
      <c r="N14" s="421"/>
      <c r="O14" s="421"/>
      <c r="P14" s="421"/>
      <c r="Q14" s="421"/>
      <c r="R14" s="421"/>
      <c r="S14" s="421"/>
      <c r="T14" s="421"/>
    </row>
    <row r="15" spans="1:20" s="141" customFormat="1" ht="15.75" customHeight="1" x14ac:dyDescent="0.2">
      <c r="A15" s="422"/>
      <c r="B15" s="422"/>
      <c r="C15" s="422"/>
      <c r="D15" s="422"/>
      <c r="E15" s="422"/>
      <c r="F15" s="422"/>
      <c r="G15" s="422"/>
      <c r="H15" s="422"/>
      <c r="I15" s="422"/>
      <c r="J15" s="422"/>
      <c r="K15" s="422"/>
      <c r="L15" s="422"/>
      <c r="M15" s="422"/>
      <c r="N15" s="422"/>
      <c r="O15" s="422"/>
      <c r="P15" s="422"/>
      <c r="Q15" s="422"/>
      <c r="R15" s="422"/>
      <c r="S15" s="422"/>
      <c r="T15" s="422"/>
    </row>
    <row r="16" spans="1:20" s="142" customFormat="1" x14ac:dyDescent="0.2">
      <c r="A16" s="415"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6" s="415"/>
      <c r="C16" s="415"/>
      <c r="D16" s="415"/>
      <c r="E16" s="415"/>
      <c r="F16" s="415"/>
      <c r="G16" s="415"/>
      <c r="H16" s="415"/>
      <c r="I16" s="415"/>
      <c r="J16" s="415"/>
      <c r="K16" s="415"/>
      <c r="L16" s="415"/>
      <c r="M16" s="415"/>
      <c r="N16" s="415"/>
      <c r="O16" s="415"/>
      <c r="P16" s="415"/>
      <c r="Q16" s="415"/>
      <c r="R16" s="415"/>
      <c r="S16" s="415"/>
      <c r="T16" s="415"/>
    </row>
    <row r="17" spans="1:20" s="142" customFormat="1" ht="15" customHeight="1" x14ac:dyDescent="0.2">
      <c r="A17" s="421" t="s">
        <v>4</v>
      </c>
      <c r="B17" s="421"/>
      <c r="C17" s="421"/>
      <c r="D17" s="421"/>
      <c r="E17" s="421"/>
      <c r="F17" s="421"/>
      <c r="G17" s="421"/>
      <c r="H17" s="421"/>
      <c r="I17" s="421"/>
      <c r="J17" s="421"/>
      <c r="K17" s="421"/>
      <c r="L17" s="421"/>
      <c r="M17" s="421"/>
      <c r="N17" s="421"/>
      <c r="O17" s="421"/>
      <c r="P17" s="421"/>
      <c r="Q17" s="421"/>
      <c r="R17" s="421"/>
      <c r="S17" s="421"/>
      <c r="T17" s="421"/>
    </row>
    <row r="18" spans="1:20" s="142" customFormat="1" ht="15" customHeight="1" x14ac:dyDescent="0.2">
      <c r="A18" s="423"/>
      <c r="B18" s="423"/>
      <c r="C18" s="423"/>
      <c r="D18" s="423"/>
      <c r="E18" s="423"/>
      <c r="F18" s="423"/>
      <c r="G18" s="423"/>
      <c r="H18" s="423"/>
      <c r="I18" s="423"/>
      <c r="J18" s="423"/>
      <c r="K18" s="423"/>
      <c r="L18" s="423"/>
      <c r="M18" s="423"/>
      <c r="N18" s="423"/>
      <c r="O18" s="423"/>
      <c r="P18" s="423"/>
      <c r="Q18" s="423"/>
      <c r="R18" s="423"/>
      <c r="S18" s="423"/>
      <c r="T18" s="423"/>
    </row>
    <row r="19" spans="1:20" s="142" customFormat="1" ht="15" customHeight="1" x14ac:dyDescent="0.2">
      <c r="A19" s="443" t="s">
        <v>386</v>
      </c>
      <c r="B19" s="443"/>
      <c r="C19" s="443"/>
      <c r="D19" s="443"/>
      <c r="E19" s="443"/>
      <c r="F19" s="443"/>
      <c r="G19" s="443"/>
      <c r="H19" s="443"/>
      <c r="I19" s="443"/>
      <c r="J19" s="443"/>
      <c r="K19" s="443"/>
      <c r="L19" s="443"/>
      <c r="M19" s="443"/>
      <c r="N19" s="443"/>
      <c r="O19" s="443"/>
      <c r="P19" s="443"/>
      <c r="Q19" s="443"/>
      <c r="R19" s="443"/>
      <c r="S19" s="443"/>
      <c r="T19" s="443"/>
    </row>
    <row r="20" spans="1:20" s="41" customFormat="1" ht="21" customHeight="1" x14ac:dyDescent="0.25">
      <c r="A20" s="444"/>
      <c r="B20" s="444"/>
      <c r="C20" s="444"/>
      <c r="D20" s="444"/>
      <c r="E20" s="444"/>
      <c r="F20" s="444"/>
      <c r="G20" s="444"/>
      <c r="H20" s="444"/>
      <c r="I20" s="444"/>
      <c r="J20" s="444"/>
      <c r="K20" s="444"/>
      <c r="L20" s="444"/>
      <c r="M20" s="444"/>
      <c r="N20" s="444"/>
      <c r="O20" s="444"/>
      <c r="P20" s="444"/>
      <c r="Q20" s="444"/>
      <c r="R20" s="444"/>
      <c r="S20" s="444"/>
      <c r="T20" s="444"/>
    </row>
    <row r="21" spans="1:20" ht="46.5" customHeight="1" x14ac:dyDescent="0.25">
      <c r="A21" s="437" t="s">
        <v>3</v>
      </c>
      <c r="B21" s="427" t="s">
        <v>200</v>
      </c>
      <c r="C21" s="428"/>
      <c r="D21" s="431" t="s">
        <v>116</v>
      </c>
      <c r="E21" s="427" t="s">
        <v>414</v>
      </c>
      <c r="F21" s="428"/>
      <c r="G21" s="427" t="s">
        <v>239</v>
      </c>
      <c r="H21" s="428"/>
      <c r="I21" s="427" t="s">
        <v>115</v>
      </c>
      <c r="J21" s="428"/>
      <c r="K21" s="431" t="s">
        <v>114</v>
      </c>
      <c r="L21" s="427" t="s">
        <v>113</v>
      </c>
      <c r="M21" s="428"/>
      <c r="N21" s="427" t="s">
        <v>445</v>
      </c>
      <c r="O21" s="428"/>
      <c r="P21" s="431" t="s">
        <v>112</v>
      </c>
      <c r="Q21" s="440" t="s">
        <v>111</v>
      </c>
      <c r="R21" s="441"/>
      <c r="S21" s="440" t="s">
        <v>110</v>
      </c>
      <c r="T21" s="442"/>
    </row>
    <row r="22" spans="1:20" ht="204.75" customHeight="1" x14ac:dyDescent="0.25">
      <c r="A22" s="438"/>
      <c r="B22" s="429"/>
      <c r="C22" s="430"/>
      <c r="D22" s="433"/>
      <c r="E22" s="429"/>
      <c r="F22" s="430"/>
      <c r="G22" s="429"/>
      <c r="H22" s="430"/>
      <c r="I22" s="429"/>
      <c r="J22" s="430"/>
      <c r="K22" s="432"/>
      <c r="L22" s="429"/>
      <c r="M22" s="430"/>
      <c r="N22" s="429"/>
      <c r="O22" s="430"/>
      <c r="P22" s="432"/>
      <c r="Q22" s="72" t="s">
        <v>109</v>
      </c>
      <c r="R22" s="72" t="s">
        <v>385</v>
      </c>
      <c r="S22" s="72" t="s">
        <v>108</v>
      </c>
      <c r="T22" s="72" t="s">
        <v>107</v>
      </c>
    </row>
    <row r="23" spans="1:20" ht="51.75" customHeight="1" x14ac:dyDescent="0.25">
      <c r="A23" s="439"/>
      <c r="B23" s="107" t="s">
        <v>105</v>
      </c>
      <c r="C23" s="107" t="s">
        <v>106</v>
      </c>
      <c r="D23" s="432"/>
      <c r="E23" s="107" t="s">
        <v>105</v>
      </c>
      <c r="F23" s="107" t="s">
        <v>106</v>
      </c>
      <c r="G23" s="107" t="s">
        <v>105</v>
      </c>
      <c r="H23" s="107" t="s">
        <v>106</v>
      </c>
      <c r="I23" s="107" t="s">
        <v>105</v>
      </c>
      <c r="J23" s="107" t="s">
        <v>106</v>
      </c>
      <c r="K23" s="107" t="s">
        <v>105</v>
      </c>
      <c r="L23" s="107" t="s">
        <v>105</v>
      </c>
      <c r="M23" s="107" t="s">
        <v>106</v>
      </c>
      <c r="N23" s="107" t="s">
        <v>105</v>
      </c>
      <c r="O23" s="107" t="s">
        <v>106</v>
      </c>
      <c r="P23" s="136"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41" customFormat="1" ht="47.25" x14ac:dyDescent="0.25">
      <c r="A25" s="116">
        <v>1</v>
      </c>
      <c r="B25" s="434" t="s">
        <v>297</v>
      </c>
      <c r="C25" s="434" t="s">
        <v>583</v>
      </c>
      <c r="D25" s="116" t="s">
        <v>438</v>
      </c>
      <c r="E25" s="116" t="s">
        <v>297</v>
      </c>
      <c r="F25" s="116" t="s">
        <v>559</v>
      </c>
      <c r="G25" s="116" t="s">
        <v>297</v>
      </c>
      <c r="H25" s="116" t="s">
        <v>560</v>
      </c>
      <c r="I25" s="116" t="s">
        <v>297</v>
      </c>
      <c r="J25" s="117" t="s">
        <v>588</v>
      </c>
      <c r="K25" s="116" t="s">
        <v>297</v>
      </c>
      <c r="L25" s="116" t="s">
        <v>297</v>
      </c>
      <c r="M25" s="116">
        <v>110</v>
      </c>
      <c r="N25" s="116" t="s">
        <v>297</v>
      </c>
      <c r="O25" s="116">
        <v>32</v>
      </c>
      <c r="P25" s="116" t="s">
        <v>297</v>
      </c>
      <c r="Q25" s="116" t="s">
        <v>297</v>
      </c>
      <c r="R25" s="116" t="s">
        <v>297</v>
      </c>
      <c r="S25" s="116" t="s">
        <v>297</v>
      </c>
      <c r="T25" s="116" t="s">
        <v>297</v>
      </c>
    </row>
    <row r="26" spans="1:20" s="41" customFormat="1" ht="63" x14ac:dyDescent="0.25">
      <c r="A26" s="116"/>
      <c r="B26" s="435"/>
      <c r="C26" s="435"/>
      <c r="D26" s="116" t="s">
        <v>384</v>
      </c>
      <c r="E26" s="116" t="s">
        <v>297</v>
      </c>
      <c r="F26" s="116" t="s">
        <v>554</v>
      </c>
      <c r="G26" s="116" t="s">
        <v>297</v>
      </c>
      <c r="H26" s="116" t="s">
        <v>561</v>
      </c>
      <c r="I26" s="116" t="s">
        <v>297</v>
      </c>
      <c r="J26" s="117" t="s">
        <v>588</v>
      </c>
      <c r="K26" s="116" t="s">
        <v>297</v>
      </c>
      <c r="L26" s="116" t="s">
        <v>297</v>
      </c>
      <c r="M26" s="116">
        <v>110</v>
      </c>
      <c r="N26" s="116" t="s">
        <v>297</v>
      </c>
      <c r="O26" s="116" t="s">
        <v>297</v>
      </c>
      <c r="P26" s="116" t="s">
        <v>297</v>
      </c>
      <c r="Q26" s="116" t="s">
        <v>297</v>
      </c>
      <c r="R26" s="116" t="s">
        <v>297</v>
      </c>
      <c r="S26" s="116" t="s">
        <v>297</v>
      </c>
      <c r="T26" s="116" t="s">
        <v>297</v>
      </c>
    </row>
    <row r="27" spans="1:20" s="41" customFormat="1" ht="31.5" x14ac:dyDescent="0.25">
      <c r="A27" s="116"/>
      <c r="B27" s="435"/>
      <c r="C27" s="435"/>
      <c r="D27" s="116" t="s">
        <v>555</v>
      </c>
      <c r="E27" s="116" t="s">
        <v>297</v>
      </c>
      <c r="F27" s="116" t="s">
        <v>556</v>
      </c>
      <c r="G27" s="116" t="s">
        <v>297</v>
      </c>
      <c r="H27" s="116" t="s">
        <v>562</v>
      </c>
      <c r="I27" s="116" t="s">
        <v>297</v>
      </c>
      <c r="J27" s="117" t="s">
        <v>588</v>
      </c>
      <c r="K27" s="116" t="s">
        <v>297</v>
      </c>
      <c r="L27" s="116" t="s">
        <v>297</v>
      </c>
      <c r="M27" s="116">
        <v>10</v>
      </c>
      <c r="N27" s="116" t="s">
        <v>297</v>
      </c>
      <c r="O27" s="116">
        <f>0.84*4</f>
        <v>3.36</v>
      </c>
      <c r="P27" s="116" t="s">
        <v>297</v>
      </c>
      <c r="Q27" s="116" t="s">
        <v>297</v>
      </c>
      <c r="R27" s="116" t="s">
        <v>297</v>
      </c>
      <c r="S27" s="116" t="s">
        <v>297</v>
      </c>
      <c r="T27" s="116" t="s">
        <v>297</v>
      </c>
    </row>
    <row r="28" spans="1:20" s="41" customFormat="1" ht="31.5" x14ac:dyDescent="0.25">
      <c r="A28" s="116"/>
      <c r="B28" s="435"/>
      <c r="C28" s="435"/>
      <c r="D28" s="116" t="s">
        <v>564</v>
      </c>
      <c r="E28" s="116" t="s">
        <v>297</v>
      </c>
      <c r="F28" s="116"/>
      <c r="G28" s="116"/>
      <c r="H28" s="116" t="s">
        <v>563</v>
      </c>
      <c r="I28" s="116"/>
      <c r="J28" s="117" t="s">
        <v>588</v>
      </c>
      <c r="K28" s="116"/>
      <c r="L28" s="116"/>
      <c r="M28" s="116">
        <v>10</v>
      </c>
      <c r="N28" s="116"/>
      <c r="O28" s="116">
        <v>0.2</v>
      </c>
      <c r="P28" s="116" t="s">
        <v>297</v>
      </c>
      <c r="Q28" s="116" t="s">
        <v>297</v>
      </c>
      <c r="R28" s="116" t="s">
        <v>297</v>
      </c>
      <c r="S28" s="116" t="s">
        <v>297</v>
      </c>
      <c r="T28" s="116" t="s">
        <v>297</v>
      </c>
    </row>
    <row r="29" spans="1:20" s="41" customFormat="1" ht="47.25" x14ac:dyDescent="0.25">
      <c r="A29" s="116">
        <v>2</v>
      </c>
      <c r="B29" s="436"/>
      <c r="C29" s="436"/>
      <c r="D29" s="116" t="s">
        <v>584</v>
      </c>
      <c r="E29" s="116" t="s">
        <v>297</v>
      </c>
      <c r="F29" s="116" t="s">
        <v>585</v>
      </c>
      <c r="G29" s="116" t="s">
        <v>297</v>
      </c>
      <c r="H29" s="116" t="s">
        <v>587</v>
      </c>
      <c r="I29" s="116" t="s">
        <v>297</v>
      </c>
      <c r="J29" s="117" t="s">
        <v>588</v>
      </c>
      <c r="K29" s="116" t="s">
        <v>297</v>
      </c>
      <c r="L29" s="116" t="s">
        <v>297</v>
      </c>
      <c r="M29" s="116">
        <v>10</v>
      </c>
      <c r="N29" s="116" t="s">
        <v>297</v>
      </c>
      <c r="O29" s="116" t="s">
        <v>297</v>
      </c>
      <c r="P29" s="116" t="s">
        <v>297</v>
      </c>
      <c r="Q29" s="116" t="s">
        <v>297</v>
      </c>
      <c r="R29" s="116" t="s">
        <v>297</v>
      </c>
      <c r="S29" s="116" t="s">
        <v>297</v>
      </c>
      <c r="T29" s="116" t="s">
        <v>297</v>
      </c>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426" t="s">
        <v>420</v>
      </c>
      <c r="C32" s="426"/>
      <c r="D32" s="426"/>
      <c r="E32" s="426"/>
      <c r="F32" s="426"/>
      <c r="G32" s="426"/>
      <c r="H32" s="426"/>
      <c r="I32" s="426"/>
      <c r="J32" s="426"/>
      <c r="K32" s="426"/>
      <c r="L32" s="426"/>
      <c r="M32" s="426"/>
      <c r="N32" s="426"/>
      <c r="O32" s="426"/>
      <c r="P32" s="426"/>
      <c r="Q32" s="426"/>
      <c r="R32" s="426"/>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384</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9">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 ref="B25:B29"/>
    <mergeCell ref="C25:C29"/>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zoomScale="80" zoomScaleSheetLayoutView="80" workbookViewId="0">
      <selection activeCell="E15" sqref="E15:Y15"/>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9"/>
      <c r="R2" s="139"/>
      <c r="AA2" s="14" t="s">
        <v>8</v>
      </c>
    </row>
    <row r="3" spans="1:27" s="17" customFormat="1" ht="18.75" customHeight="1" x14ac:dyDescent="0.3">
      <c r="Q3" s="139"/>
      <c r="R3" s="139"/>
      <c r="AA3" s="14" t="s">
        <v>65</v>
      </c>
    </row>
    <row r="4" spans="1:27" s="17" customFormat="1" x14ac:dyDescent="0.2">
      <c r="E4" s="140"/>
      <c r="Q4" s="139"/>
      <c r="R4" s="139"/>
    </row>
    <row r="5" spans="1:27" s="17" customFormat="1"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7" s="17" customFormat="1" x14ac:dyDescent="0.2">
      <c r="A6" s="135"/>
      <c r="B6" s="135"/>
      <c r="C6" s="135"/>
      <c r="D6" s="135"/>
      <c r="E6" s="135"/>
      <c r="F6" s="135"/>
      <c r="G6" s="135"/>
      <c r="H6" s="135"/>
      <c r="I6" s="135"/>
      <c r="J6" s="135"/>
      <c r="K6" s="135"/>
      <c r="L6" s="135"/>
      <c r="M6" s="135"/>
      <c r="N6" s="135"/>
      <c r="O6" s="135"/>
      <c r="P6" s="135"/>
      <c r="Q6" s="135"/>
      <c r="R6" s="135"/>
      <c r="S6" s="135"/>
      <c r="T6" s="135"/>
    </row>
    <row r="7" spans="1:27" s="17" customFormat="1" ht="18.75" x14ac:dyDescent="0.2">
      <c r="E7" s="417" t="s">
        <v>7</v>
      </c>
      <c r="F7" s="417"/>
      <c r="G7" s="417"/>
      <c r="H7" s="417"/>
      <c r="I7" s="417"/>
      <c r="J7" s="417"/>
      <c r="K7" s="417"/>
      <c r="L7" s="417"/>
      <c r="M7" s="417"/>
      <c r="N7" s="417"/>
      <c r="O7" s="417"/>
      <c r="P7" s="417"/>
      <c r="Q7" s="417"/>
      <c r="R7" s="417"/>
      <c r="S7" s="417"/>
      <c r="T7" s="417"/>
      <c r="U7" s="417"/>
      <c r="V7" s="417"/>
      <c r="W7" s="417"/>
      <c r="X7" s="417"/>
      <c r="Y7" s="417"/>
    </row>
    <row r="8" spans="1:27" s="17" customFormat="1" ht="18.75" x14ac:dyDescent="0.2">
      <c r="E8" s="158"/>
      <c r="F8" s="158"/>
      <c r="G8" s="158"/>
      <c r="H8" s="158"/>
      <c r="I8" s="158"/>
      <c r="J8" s="158"/>
      <c r="K8" s="158"/>
      <c r="L8" s="158"/>
      <c r="M8" s="158"/>
      <c r="N8" s="158"/>
      <c r="O8" s="158"/>
      <c r="P8" s="158"/>
      <c r="Q8" s="158"/>
      <c r="R8" s="158"/>
      <c r="S8" s="143"/>
      <c r="T8" s="143"/>
      <c r="U8" s="143"/>
      <c r="V8" s="143"/>
      <c r="W8" s="143"/>
    </row>
    <row r="9" spans="1:27" s="17" customFormat="1" ht="18.75" customHeight="1" x14ac:dyDescent="0.2">
      <c r="E9" s="415" t="str">
        <f>'1. паспорт местоположение'!A9</f>
        <v xml:space="preserve">Акционерное общество "Западная энергетическая компания" </v>
      </c>
      <c r="F9" s="415"/>
      <c r="G9" s="415"/>
      <c r="H9" s="415"/>
      <c r="I9" s="415"/>
      <c r="J9" s="415"/>
      <c r="K9" s="415"/>
      <c r="L9" s="415"/>
      <c r="M9" s="415"/>
      <c r="N9" s="415"/>
      <c r="O9" s="415"/>
      <c r="P9" s="415"/>
      <c r="Q9" s="415"/>
      <c r="R9" s="415"/>
      <c r="S9" s="415"/>
      <c r="T9" s="415"/>
      <c r="U9" s="415"/>
      <c r="V9" s="415"/>
      <c r="W9" s="415"/>
      <c r="X9" s="415"/>
      <c r="Y9" s="415"/>
    </row>
    <row r="10" spans="1:27" s="17" customFormat="1" ht="18.75" customHeight="1" x14ac:dyDescent="0.2">
      <c r="E10" s="421" t="s">
        <v>6</v>
      </c>
      <c r="F10" s="421"/>
      <c r="G10" s="421"/>
      <c r="H10" s="421"/>
      <c r="I10" s="421"/>
      <c r="J10" s="421"/>
      <c r="K10" s="421"/>
      <c r="L10" s="421"/>
      <c r="M10" s="421"/>
      <c r="N10" s="421"/>
      <c r="O10" s="421"/>
      <c r="P10" s="421"/>
      <c r="Q10" s="421"/>
      <c r="R10" s="421"/>
      <c r="S10" s="421"/>
      <c r="T10" s="421"/>
      <c r="U10" s="421"/>
      <c r="V10" s="421"/>
      <c r="W10" s="421"/>
      <c r="X10" s="421"/>
      <c r="Y10" s="421"/>
    </row>
    <row r="11" spans="1:27" s="17" customFormat="1" ht="18.75" x14ac:dyDescent="0.2">
      <c r="E11" s="158"/>
      <c r="F11" s="158"/>
      <c r="G11" s="158"/>
      <c r="H11" s="158"/>
      <c r="I11" s="158"/>
      <c r="J11" s="158"/>
      <c r="K11" s="158"/>
      <c r="L11" s="158"/>
      <c r="M11" s="158"/>
      <c r="N11" s="158"/>
      <c r="O11" s="158"/>
      <c r="P11" s="158"/>
      <c r="Q11" s="158"/>
      <c r="R11" s="158"/>
      <c r="S11" s="143"/>
      <c r="T11" s="143"/>
      <c r="U11" s="143"/>
      <c r="V11" s="143"/>
      <c r="W11" s="143"/>
    </row>
    <row r="12" spans="1:27" s="17" customFormat="1" ht="18.75" customHeight="1" x14ac:dyDescent="0.2">
      <c r="E12" s="415" t="str">
        <f>'1. паспорт местоположение'!A12</f>
        <v>J 19-02</v>
      </c>
      <c r="F12" s="415"/>
      <c r="G12" s="415"/>
      <c r="H12" s="415"/>
      <c r="I12" s="415"/>
      <c r="J12" s="415"/>
      <c r="K12" s="415"/>
      <c r="L12" s="415"/>
      <c r="M12" s="415"/>
      <c r="N12" s="415"/>
      <c r="O12" s="415"/>
      <c r="P12" s="415"/>
      <c r="Q12" s="415"/>
      <c r="R12" s="415"/>
      <c r="S12" s="415"/>
      <c r="T12" s="415"/>
      <c r="U12" s="415"/>
      <c r="V12" s="415"/>
      <c r="W12" s="415"/>
      <c r="X12" s="415"/>
      <c r="Y12" s="415"/>
    </row>
    <row r="13" spans="1:27" s="17" customFormat="1" ht="18.75" customHeight="1" x14ac:dyDescent="0.2">
      <c r="E13" s="421" t="s">
        <v>5</v>
      </c>
      <c r="F13" s="421"/>
      <c r="G13" s="421"/>
      <c r="H13" s="421"/>
      <c r="I13" s="421"/>
      <c r="J13" s="421"/>
      <c r="K13" s="421"/>
      <c r="L13" s="421"/>
      <c r="M13" s="421"/>
      <c r="N13" s="421"/>
      <c r="O13" s="421"/>
      <c r="P13" s="421"/>
      <c r="Q13" s="421"/>
      <c r="R13" s="421"/>
      <c r="S13" s="421"/>
      <c r="T13" s="421"/>
      <c r="U13" s="421"/>
      <c r="V13" s="421"/>
      <c r="W13" s="421"/>
      <c r="X13" s="421"/>
      <c r="Y13" s="421"/>
    </row>
    <row r="14" spans="1:27" s="141" customFormat="1" ht="15.75" customHeight="1" x14ac:dyDescent="0.2">
      <c r="E14" s="144"/>
      <c r="F14" s="144"/>
      <c r="G14" s="144"/>
      <c r="H14" s="144"/>
      <c r="I14" s="144"/>
      <c r="J14" s="144"/>
      <c r="K14" s="144"/>
      <c r="L14" s="144"/>
      <c r="M14" s="144"/>
      <c r="N14" s="144"/>
      <c r="O14" s="144"/>
      <c r="P14" s="144"/>
      <c r="Q14" s="144"/>
      <c r="R14" s="144"/>
      <c r="S14" s="144"/>
      <c r="T14" s="144"/>
      <c r="U14" s="144"/>
      <c r="V14" s="144"/>
      <c r="W14" s="144"/>
    </row>
    <row r="15" spans="1:27" s="142" customFormat="1" x14ac:dyDescent="0.2">
      <c r="E15" s="415" t="str">
        <f>'1. паспорт местоположение'!A15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F15" s="415"/>
      <c r="G15" s="415"/>
      <c r="H15" s="415"/>
      <c r="I15" s="415"/>
      <c r="J15" s="415"/>
      <c r="K15" s="415"/>
      <c r="L15" s="415"/>
      <c r="M15" s="415"/>
      <c r="N15" s="415"/>
      <c r="O15" s="415"/>
      <c r="P15" s="415"/>
      <c r="Q15" s="415"/>
      <c r="R15" s="415"/>
      <c r="S15" s="415"/>
      <c r="T15" s="415"/>
      <c r="U15" s="415"/>
      <c r="V15" s="415"/>
      <c r="W15" s="415"/>
      <c r="X15" s="415"/>
      <c r="Y15" s="415"/>
    </row>
    <row r="16" spans="1:27" s="142" customFormat="1" ht="15" customHeight="1" x14ac:dyDescent="0.2">
      <c r="E16" s="421" t="s">
        <v>4</v>
      </c>
      <c r="F16" s="421"/>
      <c r="G16" s="421"/>
      <c r="H16" s="421"/>
      <c r="I16" s="421"/>
      <c r="J16" s="421"/>
      <c r="K16" s="421"/>
      <c r="L16" s="421"/>
      <c r="M16" s="421"/>
      <c r="N16" s="421"/>
      <c r="O16" s="421"/>
      <c r="P16" s="421"/>
      <c r="Q16" s="421"/>
      <c r="R16" s="421"/>
      <c r="S16" s="421"/>
      <c r="T16" s="421"/>
      <c r="U16" s="421"/>
      <c r="V16" s="421"/>
      <c r="W16" s="421"/>
      <c r="X16" s="421"/>
      <c r="Y16" s="421"/>
    </row>
    <row r="17" spans="1:27" s="142" customFormat="1" ht="15" customHeight="1" x14ac:dyDescent="0.2">
      <c r="E17" s="147"/>
      <c r="F17" s="147"/>
      <c r="G17" s="147"/>
      <c r="H17" s="147"/>
      <c r="I17" s="147"/>
      <c r="J17" s="147"/>
      <c r="K17" s="147"/>
      <c r="L17" s="147"/>
      <c r="M17" s="147"/>
      <c r="N17" s="147"/>
      <c r="O17" s="147"/>
      <c r="P17" s="147"/>
      <c r="Q17" s="147"/>
      <c r="R17" s="147"/>
      <c r="S17" s="147"/>
      <c r="T17" s="147"/>
      <c r="U17" s="147"/>
      <c r="V17" s="147"/>
      <c r="W17" s="147"/>
    </row>
    <row r="18" spans="1:27" s="142" customFormat="1" ht="15" customHeight="1" x14ac:dyDescent="0.2">
      <c r="E18" s="443"/>
      <c r="F18" s="443"/>
      <c r="G18" s="443"/>
      <c r="H18" s="443"/>
      <c r="I18" s="443"/>
      <c r="J18" s="443"/>
      <c r="K18" s="443"/>
      <c r="L18" s="443"/>
      <c r="M18" s="443"/>
      <c r="N18" s="443"/>
      <c r="O18" s="443"/>
      <c r="P18" s="443"/>
      <c r="Q18" s="443"/>
      <c r="R18" s="443"/>
      <c r="S18" s="443"/>
      <c r="T18" s="443"/>
      <c r="U18" s="443"/>
      <c r="V18" s="443"/>
      <c r="W18" s="443"/>
      <c r="X18" s="443"/>
      <c r="Y18" s="443"/>
    </row>
    <row r="19" spans="1:27" ht="25.5" customHeight="1" x14ac:dyDescent="0.25">
      <c r="A19" s="443" t="s">
        <v>388</v>
      </c>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443"/>
    </row>
    <row r="20" spans="1:27" s="41" customFormat="1" ht="21" customHeight="1" x14ac:dyDescent="0.25"/>
    <row r="21" spans="1:27" ht="15.75" customHeight="1" x14ac:dyDescent="0.25">
      <c r="A21" s="445" t="s">
        <v>3</v>
      </c>
      <c r="B21" s="448" t="s">
        <v>395</v>
      </c>
      <c r="C21" s="449"/>
      <c r="D21" s="448" t="s">
        <v>397</v>
      </c>
      <c r="E21" s="449"/>
      <c r="F21" s="440" t="s">
        <v>88</v>
      </c>
      <c r="G21" s="442"/>
      <c r="H21" s="442"/>
      <c r="I21" s="441"/>
      <c r="J21" s="445" t="s">
        <v>398</v>
      </c>
      <c r="K21" s="448" t="s">
        <v>399</v>
      </c>
      <c r="L21" s="449"/>
      <c r="M21" s="448" t="s">
        <v>400</v>
      </c>
      <c r="N21" s="449"/>
      <c r="O21" s="448" t="s">
        <v>387</v>
      </c>
      <c r="P21" s="449"/>
      <c r="Q21" s="448" t="s">
        <v>121</v>
      </c>
      <c r="R21" s="449"/>
      <c r="S21" s="445" t="s">
        <v>120</v>
      </c>
      <c r="T21" s="445" t="s">
        <v>401</v>
      </c>
      <c r="U21" s="445" t="s">
        <v>396</v>
      </c>
      <c r="V21" s="448" t="s">
        <v>119</v>
      </c>
      <c r="W21" s="449"/>
      <c r="X21" s="440" t="s">
        <v>111</v>
      </c>
      <c r="Y21" s="442"/>
      <c r="Z21" s="440" t="s">
        <v>110</v>
      </c>
      <c r="AA21" s="442"/>
    </row>
    <row r="22" spans="1:27" ht="216" customHeight="1" x14ac:dyDescent="0.25">
      <c r="A22" s="446"/>
      <c r="B22" s="450"/>
      <c r="C22" s="451"/>
      <c r="D22" s="450"/>
      <c r="E22" s="451"/>
      <c r="F22" s="440" t="s">
        <v>118</v>
      </c>
      <c r="G22" s="441"/>
      <c r="H22" s="440" t="s">
        <v>117</v>
      </c>
      <c r="I22" s="441"/>
      <c r="J22" s="447"/>
      <c r="K22" s="450"/>
      <c r="L22" s="451"/>
      <c r="M22" s="450"/>
      <c r="N22" s="451"/>
      <c r="O22" s="450"/>
      <c r="P22" s="451"/>
      <c r="Q22" s="450"/>
      <c r="R22" s="451"/>
      <c r="S22" s="447"/>
      <c r="T22" s="447"/>
      <c r="U22" s="447"/>
      <c r="V22" s="450"/>
      <c r="W22" s="451"/>
      <c r="X22" s="72" t="s">
        <v>109</v>
      </c>
      <c r="Y22" s="72" t="s">
        <v>385</v>
      </c>
      <c r="Z22" s="72" t="s">
        <v>108</v>
      </c>
      <c r="AA22" s="72" t="s">
        <v>107</v>
      </c>
    </row>
    <row r="23" spans="1:27" ht="60" customHeight="1" x14ac:dyDescent="0.25">
      <c r="A23" s="447"/>
      <c r="B23" s="137" t="s">
        <v>105</v>
      </c>
      <c r="C23" s="137" t="s">
        <v>106</v>
      </c>
      <c r="D23" s="137" t="s">
        <v>105</v>
      </c>
      <c r="E23" s="137" t="s">
        <v>106</v>
      </c>
      <c r="F23" s="137" t="s">
        <v>105</v>
      </c>
      <c r="G23" s="137" t="s">
        <v>106</v>
      </c>
      <c r="H23" s="137" t="s">
        <v>105</v>
      </c>
      <c r="I23" s="137" t="s">
        <v>106</v>
      </c>
      <c r="J23" s="137" t="s">
        <v>105</v>
      </c>
      <c r="K23" s="137" t="s">
        <v>105</v>
      </c>
      <c r="L23" s="137" t="s">
        <v>106</v>
      </c>
      <c r="M23" s="137" t="s">
        <v>105</v>
      </c>
      <c r="N23" s="137" t="s">
        <v>106</v>
      </c>
      <c r="O23" s="137" t="s">
        <v>105</v>
      </c>
      <c r="P23" s="137" t="s">
        <v>106</v>
      </c>
      <c r="Q23" s="137" t="s">
        <v>105</v>
      </c>
      <c r="R23" s="137" t="s">
        <v>106</v>
      </c>
      <c r="S23" s="137" t="s">
        <v>105</v>
      </c>
      <c r="T23" s="137" t="s">
        <v>105</v>
      </c>
      <c r="U23" s="137" t="s">
        <v>105</v>
      </c>
      <c r="V23" s="137" t="s">
        <v>105</v>
      </c>
      <c r="W23" s="137" t="s">
        <v>106</v>
      </c>
      <c r="X23" s="137" t="s">
        <v>105</v>
      </c>
      <c r="Y23" s="137"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6"/>
      <c r="B25" s="119"/>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c r="AA25" s="116"/>
    </row>
    <row r="26" spans="1:27" s="41" customFormat="1" x14ac:dyDescent="0.25">
      <c r="A26" s="116"/>
      <c r="B26" s="116"/>
      <c r="C26" s="116"/>
      <c r="D26" s="116"/>
      <c r="E26" s="116"/>
      <c r="F26" s="116"/>
      <c r="G26" s="116"/>
      <c r="H26" s="116"/>
      <c r="I26" s="116"/>
      <c r="J26" s="117"/>
      <c r="K26" s="117"/>
      <c r="L26" s="117"/>
      <c r="M26" s="116"/>
      <c r="N26" s="118"/>
      <c r="O26" s="118"/>
      <c r="P26" s="118"/>
      <c r="Q26" s="118"/>
      <c r="R26" s="118"/>
      <c r="S26" s="117"/>
      <c r="T26" s="117"/>
      <c r="U26" s="117"/>
      <c r="V26" s="116"/>
      <c r="W26" s="116"/>
      <c r="X26" s="116"/>
      <c r="Y26" s="116"/>
      <c r="Z26" s="116"/>
      <c r="AA26" s="116"/>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SheetLayoutView="100" workbookViewId="0">
      <selection activeCell="C30" sqref="C30"/>
    </sheetView>
  </sheetViews>
  <sheetFormatPr defaultColWidth="9.140625" defaultRowHeight="15" x14ac:dyDescent="0.25"/>
  <cols>
    <col min="1" max="1" width="6.140625" style="157" customWidth="1"/>
    <col min="2" max="2" width="53.5703125" style="157" customWidth="1"/>
    <col min="3" max="3" width="98.28515625" style="157" customWidth="1"/>
    <col min="4" max="4" width="14.42578125" style="157" customWidth="1"/>
    <col min="5" max="5" width="36.5703125" style="157" customWidth="1"/>
    <col min="6" max="6" width="20" style="157" customWidth="1"/>
    <col min="7" max="7" width="25.5703125" style="157" customWidth="1"/>
    <col min="8" max="8" width="16.42578125" style="157" customWidth="1"/>
    <col min="9" max="16384" width="9.140625" style="157"/>
  </cols>
  <sheetData>
    <row r="1" spans="1:29" s="17" customFormat="1" ht="18.75" customHeight="1" x14ac:dyDescent="0.2">
      <c r="C1" s="29" t="s">
        <v>66</v>
      </c>
      <c r="E1" s="139"/>
      <c r="F1" s="139"/>
    </row>
    <row r="2" spans="1:29" s="17" customFormat="1" ht="18.75" customHeight="1" x14ac:dyDescent="0.3">
      <c r="C2" s="14" t="s">
        <v>8</v>
      </c>
      <c r="E2" s="139"/>
      <c r="F2" s="139"/>
    </row>
    <row r="3" spans="1:29" s="17" customFormat="1" ht="18.75" x14ac:dyDescent="0.3">
      <c r="A3" s="140"/>
      <c r="C3" s="14" t="s">
        <v>65</v>
      </c>
      <c r="E3" s="139"/>
      <c r="F3" s="139"/>
    </row>
    <row r="4" spans="1:29" s="17" customFormat="1" ht="18.75" x14ac:dyDescent="0.3">
      <c r="A4" s="140"/>
      <c r="C4" s="14"/>
      <c r="E4" s="139"/>
      <c r="F4" s="139"/>
    </row>
    <row r="5" spans="1:29" s="17" customFormat="1" ht="15.75" x14ac:dyDescent="0.2">
      <c r="A5" s="408" t="str">
        <f>'1. паспорт местоположение'!A5:C5</f>
        <v>Год раскрытия информации: 2022 год</v>
      </c>
      <c r="B5" s="408"/>
      <c r="C5" s="408"/>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7" customFormat="1" ht="18.75" x14ac:dyDescent="0.3">
      <c r="A6" s="140"/>
      <c r="E6" s="139"/>
      <c r="F6" s="139"/>
      <c r="G6" s="14"/>
    </row>
    <row r="7" spans="1:29" s="17" customFormat="1" ht="18.75" x14ac:dyDescent="0.2">
      <c r="A7" s="417" t="s">
        <v>7</v>
      </c>
      <c r="B7" s="417"/>
      <c r="C7" s="417"/>
      <c r="D7" s="143"/>
      <c r="E7" s="143"/>
      <c r="F7" s="143"/>
      <c r="G7" s="143"/>
      <c r="H7" s="143"/>
      <c r="I7" s="143"/>
      <c r="J7" s="143"/>
      <c r="K7" s="143"/>
      <c r="L7" s="143"/>
      <c r="M7" s="143"/>
      <c r="N7" s="143"/>
      <c r="O7" s="143"/>
      <c r="P7" s="143"/>
      <c r="Q7" s="143"/>
      <c r="R7" s="143"/>
      <c r="S7" s="143"/>
      <c r="T7" s="143"/>
      <c r="U7" s="143"/>
    </row>
    <row r="8" spans="1:29" s="17" customFormat="1" ht="18.75" x14ac:dyDescent="0.2">
      <c r="A8" s="417"/>
      <c r="B8" s="417"/>
      <c r="C8" s="417"/>
      <c r="D8" s="158"/>
      <c r="E8" s="158"/>
      <c r="F8" s="158"/>
      <c r="G8" s="158"/>
      <c r="H8" s="143"/>
      <c r="I8" s="143"/>
      <c r="J8" s="143"/>
      <c r="K8" s="143"/>
      <c r="L8" s="143"/>
      <c r="M8" s="143"/>
      <c r="N8" s="143"/>
      <c r="O8" s="143"/>
      <c r="P8" s="143"/>
      <c r="Q8" s="143"/>
      <c r="R8" s="143"/>
      <c r="S8" s="143"/>
      <c r="T8" s="143"/>
      <c r="U8" s="143"/>
    </row>
    <row r="9" spans="1:29" s="17" customFormat="1" ht="18.75" x14ac:dyDescent="0.2">
      <c r="A9" s="415" t="str">
        <f>'1. паспорт местоположение'!A9:C9</f>
        <v xml:space="preserve">Акционерное общество "Западная энергетическая компания" </v>
      </c>
      <c r="B9" s="415"/>
      <c r="C9" s="415"/>
      <c r="D9" s="145"/>
      <c r="E9" s="145"/>
      <c r="F9" s="145"/>
      <c r="G9" s="145"/>
      <c r="H9" s="143"/>
      <c r="I9" s="143"/>
      <c r="J9" s="143"/>
      <c r="K9" s="143"/>
      <c r="L9" s="143"/>
      <c r="M9" s="143"/>
      <c r="N9" s="143"/>
      <c r="O9" s="143"/>
      <c r="P9" s="143"/>
      <c r="Q9" s="143"/>
      <c r="R9" s="143"/>
      <c r="S9" s="143"/>
      <c r="T9" s="143"/>
      <c r="U9" s="143"/>
    </row>
    <row r="10" spans="1:29" s="17" customFormat="1" ht="18.75" x14ac:dyDescent="0.2">
      <c r="A10" s="421" t="s">
        <v>6</v>
      </c>
      <c r="B10" s="421"/>
      <c r="C10" s="421"/>
      <c r="D10" s="146"/>
      <c r="E10" s="146"/>
      <c r="F10" s="146"/>
      <c r="G10" s="146"/>
      <c r="H10" s="143"/>
      <c r="I10" s="143"/>
      <c r="J10" s="143"/>
      <c r="K10" s="143"/>
      <c r="L10" s="143"/>
      <c r="M10" s="143"/>
      <c r="N10" s="143"/>
      <c r="O10" s="143"/>
      <c r="P10" s="143"/>
      <c r="Q10" s="143"/>
      <c r="R10" s="143"/>
      <c r="S10" s="143"/>
      <c r="T10" s="143"/>
      <c r="U10" s="143"/>
    </row>
    <row r="11" spans="1:29" s="17" customFormat="1" ht="18.75" x14ac:dyDescent="0.2">
      <c r="A11" s="417"/>
      <c r="B11" s="417"/>
      <c r="C11" s="417"/>
      <c r="D11" s="158"/>
      <c r="E11" s="158"/>
      <c r="F11" s="158"/>
      <c r="G11" s="158"/>
      <c r="H11" s="143"/>
      <c r="I11" s="143"/>
      <c r="J11" s="143"/>
      <c r="K11" s="143"/>
      <c r="L11" s="143"/>
      <c r="M11" s="143"/>
      <c r="N11" s="143"/>
      <c r="O11" s="143"/>
      <c r="P11" s="143"/>
      <c r="Q11" s="143"/>
      <c r="R11" s="143"/>
      <c r="S11" s="143"/>
      <c r="T11" s="143"/>
      <c r="U11" s="143"/>
    </row>
    <row r="12" spans="1:29" s="17" customFormat="1" ht="18.75" x14ac:dyDescent="0.2">
      <c r="A12" s="415" t="str">
        <f>'1. паспорт местоположение'!A12:C12</f>
        <v>J 19-02</v>
      </c>
      <c r="B12" s="415"/>
      <c r="C12" s="415"/>
      <c r="D12" s="145"/>
      <c r="E12" s="145"/>
      <c r="F12" s="145"/>
      <c r="G12" s="145"/>
      <c r="H12" s="143"/>
      <c r="I12" s="143"/>
      <c r="J12" s="143"/>
      <c r="K12" s="143"/>
      <c r="L12" s="143"/>
      <c r="M12" s="143"/>
      <c r="N12" s="143"/>
      <c r="O12" s="143"/>
      <c r="P12" s="143"/>
      <c r="Q12" s="143"/>
      <c r="R12" s="143"/>
      <c r="S12" s="143"/>
      <c r="T12" s="143"/>
      <c r="U12" s="143"/>
    </row>
    <row r="13" spans="1:29" s="17" customFormat="1" ht="18.75" x14ac:dyDescent="0.2">
      <c r="A13" s="421" t="s">
        <v>5</v>
      </c>
      <c r="B13" s="421"/>
      <c r="C13" s="421"/>
      <c r="D13" s="146"/>
      <c r="E13" s="146"/>
      <c r="F13" s="146"/>
      <c r="G13" s="146"/>
      <c r="H13" s="143"/>
      <c r="I13" s="143"/>
      <c r="J13" s="143"/>
      <c r="K13" s="143"/>
      <c r="L13" s="143"/>
      <c r="M13" s="143"/>
      <c r="N13" s="143"/>
      <c r="O13" s="143"/>
      <c r="P13" s="143"/>
      <c r="Q13" s="143"/>
      <c r="R13" s="143"/>
      <c r="S13" s="143"/>
      <c r="T13" s="143"/>
      <c r="U13" s="143"/>
    </row>
    <row r="14" spans="1:29" s="141" customFormat="1" ht="15.75" customHeight="1" x14ac:dyDescent="0.2">
      <c r="A14" s="422"/>
      <c r="B14" s="422"/>
      <c r="C14" s="422"/>
      <c r="D14" s="144"/>
      <c r="E14" s="144"/>
      <c r="F14" s="144"/>
      <c r="G14" s="144"/>
      <c r="H14" s="144"/>
      <c r="I14" s="144"/>
      <c r="J14" s="144"/>
      <c r="K14" s="144"/>
      <c r="L14" s="144"/>
      <c r="M14" s="144"/>
      <c r="N14" s="144"/>
      <c r="O14" s="144"/>
      <c r="P14" s="144"/>
      <c r="Q14" s="144"/>
      <c r="R14" s="144"/>
      <c r="S14" s="144"/>
      <c r="T14" s="144"/>
      <c r="U14" s="144"/>
    </row>
    <row r="15" spans="1:29" s="142" customFormat="1" ht="45.75" customHeight="1" x14ac:dyDescent="0.2">
      <c r="A15" s="452"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52"/>
      <c r="C15" s="452"/>
      <c r="D15" s="145"/>
      <c r="E15" s="145"/>
      <c r="F15" s="145"/>
      <c r="G15" s="145"/>
      <c r="H15" s="145"/>
      <c r="I15" s="145"/>
      <c r="J15" s="145"/>
      <c r="K15" s="145"/>
      <c r="L15" s="145"/>
      <c r="M15" s="145"/>
      <c r="N15" s="145"/>
      <c r="O15" s="145"/>
      <c r="P15" s="145"/>
      <c r="Q15" s="145"/>
      <c r="R15" s="145"/>
      <c r="S15" s="145"/>
      <c r="T15" s="145"/>
      <c r="U15" s="145"/>
    </row>
    <row r="16" spans="1:29" s="142" customFormat="1" ht="15" customHeight="1" x14ac:dyDescent="0.2">
      <c r="A16" s="421" t="s">
        <v>4</v>
      </c>
      <c r="B16" s="421"/>
      <c r="C16" s="421"/>
      <c r="D16" s="146"/>
      <c r="E16" s="146"/>
      <c r="F16" s="146"/>
      <c r="G16" s="146"/>
      <c r="H16" s="146"/>
      <c r="I16" s="146"/>
      <c r="J16" s="146"/>
      <c r="K16" s="146"/>
      <c r="L16" s="146"/>
      <c r="M16" s="146"/>
      <c r="N16" s="146"/>
      <c r="O16" s="146"/>
      <c r="P16" s="146"/>
      <c r="Q16" s="146"/>
      <c r="R16" s="146"/>
      <c r="S16" s="146"/>
      <c r="T16" s="146"/>
      <c r="U16" s="146"/>
    </row>
    <row r="17" spans="1:21" s="142" customFormat="1" ht="15" customHeight="1" x14ac:dyDescent="0.2">
      <c r="A17" s="423"/>
      <c r="B17" s="423"/>
      <c r="C17" s="423"/>
      <c r="D17" s="147"/>
      <c r="E17" s="147"/>
      <c r="F17" s="147"/>
      <c r="G17" s="147"/>
      <c r="H17" s="147"/>
      <c r="I17" s="147"/>
      <c r="J17" s="147"/>
      <c r="K17" s="147"/>
      <c r="L17" s="147"/>
      <c r="M17" s="147"/>
      <c r="N17" s="147"/>
      <c r="O17" s="147"/>
      <c r="P17" s="147"/>
      <c r="Q17" s="147"/>
      <c r="R17" s="147"/>
    </row>
    <row r="18" spans="1:21" s="142" customFormat="1" ht="27.75" customHeight="1" x14ac:dyDescent="0.2">
      <c r="A18" s="424" t="s">
        <v>380</v>
      </c>
      <c r="B18" s="424"/>
      <c r="C18" s="424"/>
      <c r="D18" s="148"/>
      <c r="E18" s="148"/>
      <c r="F18" s="148"/>
      <c r="G18" s="148"/>
      <c r="H18" s="148"/>
      <c r="I18" s="148"/>
      <c r="J18" s="148"/>
      <c r="K18" s="148"/>
      <c r="L18" s="148"/>
      <c r="M18" s="148"/>
      <c r="N18" s="148"/>
      <c r="O18" s="148"/>
      <c r="P18" s="148"/>
      <c r="Q18" s="148"/>
      <c r="R18" s="148"/>
      <c r="S18" s="148"/>
      <c r="T18" s="148"/>
      <c r="U18" s="148"/>
    </row>
    <row r="19" spans="1:21" s="142" customFormat="1" ht="15" customHeight="1" x14ac:dyDescent="0.2">
      <c r="A19" s="146"/>
      <c r="B19" s="146"/>
      <c r="C19" s="146"/>
      <c r="D19" s="146"/>
      <c r="E19" s="146"/>
      <c r="F19" s="146"/>
      <c r="G19" s="146"/>
      <c r="H19" s="147"/>
      <c r="I19" s="147"/>
      <c r="J19" s="147"/>
      <c r="K19" s="147"/>
      <c r="L19" s="147"/>
      <c r="M19" s="147"/>
      <c r="N19" s="147"/>
      <c r="O19" s="147"/>
      <c r="P19" s="147"/>
      <c r="Q19" s="147"/>
      <c r="R19" s="147"/>
    </row>
    <row r="20" spans="1:21" s="142" customFormat="1" ht="39.75" customHeight="1" x14ac:dyDescent="0.2">
      <c r="A20" s="159" t="s">
        <v>3</v>
      </c>
      <c r="B20" s="154" t="s">
        <v>64</v>
      </c>
      <c r="C20" s="155" t="s">
        <v>63</v>
      </c>
      <c r="D20" s="160"/>
      <c r="E20" s="160"/>
      <c r="F20" s="160"/>
      <c r="G20" s="160"/>
      <c r="H20" s="151"/>
      <c r="I20" s="151"/>
      <c r="J20" s="151"/>
      <c r="K20" s="151"/>
      <c r="L20" s="151"/>
      <c r="M20" s="151"/>
      <c r="N20" s="151"/>
      <c r="O20" s="151"/>
      <c r="P20" s="151"/>
      <c r="Q20" s="151"/>
      <c r="R20" s="151"/>
      <c r="S20" s="152"/>
      <c r="T20" s="152"/>
      <c r="U20" s="152"/>
    </row>
    <row r="21" spans="1:21" s="142" customFormat="1" ht="16.5" customHeight="1" x14ac:dyDescent="0.2">
      <c r="A21" s="155">
        <v>1</v>
      </c>
      <c r="B21" s="154">
        <v>2</v>
      </c>
      <c r="C21" s="155">
        <v>3</v>
      </c>
      <c r="D21" s="160"/>
      <c r="E21" s="160"/>
      <c r="F21" s="160"/>
      <c r="G21" s="160"/>
      <c r="H21" s="151"/>
      <c r="I21" s="151"/>
      <c r="J21" s="151"/>
      <c r="K21" s="151"/>
      <c r="L21" s="151"/>
      <c r="M21" s="151"/>
      <c r="N21" s="151"/>
      <c r="O21" s="151"/>
      <c r="P21" s="151"/>
      <c r="Q21" s="151"/>
      <c r="R21" s="151"/>
      <c r="S21" s="152"/>
      <c r="T21" s="152"/>
      <c r="U21" s="152"/>
    </row>
    <row r="22" spans="1:21" s="142" customFormat="1" ht="41.25" customHeight="1" x14ac:dyDescent="0.2">
      <c r="A22" s="161" t="s">
        <v>62</v>
      </c>
      <c r="B22" s="24" t="s">
        <v>393</v>
      </c>
      <c r="C22" s="234" t="s">
        <v>553</v>
      </c>
      <c r="D22" s="160"/>
      <c r="E22" s="160"/>
      <c r="F22" s="151"/>
      <c r="G22" s="151"/>
      <c r="H22" s="151"/>
      <c r="I22" s="151"/>
      <c r="J22" s="151"/>
      <c r="K22" s="151"/>
      <c r="L22" s="151"/>
      <c r="M22" s="151"/>
      <c r="N22" s="151"/>
      <c r="O22" s="151"/>
      <c r="P22" s="151"/>
      <c r="Q22" s="152"/>
      <c r="R22" s="152"/>
      <c r="S22" s="152"/>
      <c r="T22" s="152"/>
      <c r="U22" s="152"/>
    </row>
    <row r="23" spans="1:21" ht="63" customHeight="1" x14ac:dyDescent="0.25">
      <c r="A23" s="161" t="s">
        <v>61</v>
      </c>
      <c r="B23" s="162" t="s">
        <v>58</v>
      </c>
      <c r="C23" s="163" t="s">
        <v>589</v>
      </c>
      <c r="D23" s="156"/>
      <c r="E23" s="156"/>
      <c r="F23" s="156"/>
      <c r="G23" s="156"/>
      <c r="H23" s="156"/>
      <c r="I23" s="156"/>
      <c r="J23" s="156"/>
      <c r="K23" s="156"/>
      <c r="L23" s="156"/>
      <c r="M23" s="156"/>
      <c r="N23" s="156"/>
      <c r="O23" s="156"/>
      <c r="P23" s="156"/>
      <c r="Q23" s="156"/>
      <c r="R23" s="156"/>
      <c r="S23" s="156"/>
      <c r="T23" s="156"/>
      <c r="U23" s="156"/>
    </row>
    <row r="24" spans="1:21" ht="63" customHeight="1" x14ac:dyDescent="0.25">
      <c r="A24" s="161" t="s">
        <v>60</v>
      </c>
      <c r="B24" s="162" t="s">
        <v>412</v>
      </c>
      <c r="C24" s="33" t="s">
        <v>596</v>
      </c>
      <c r="D24" s="156"/>
      <c r="E24" s="156"/>
      <c r="F24" s="156"/>
      <c r="G24" s="156"/>
      <c r="H24" s="156"/>
      <c r="I24" s="156"/>
      <c r="J24" s="156"/>
      <c r="K24" s="156"/>
      <c r="L24" s="156"/>
      <c r="M24" s="156"/>
      <c r="N24" s="156"/>
      <c r="O24" s="156"/>
      <c r="P24" s="156"/>
      <c r="Q24" s="156"/>
      <c r="R24" s="156"/>
      <c r="S24" s="156"/>
      <c r="T24" s="156"/>
      <c r="U24" s="156"/>
    </row>
    <row r="25" spans="1:21" ht="63" customHeight="1" x14ac:dyDescent="0.25">
      <c r="A25" s="161" t="s">
        <v>59</v>
      </c>
      <c r="B25" s="162" t="s">
        <v>413</v>
      </c>
      <c r="C25" s="163" t="s">
        <v>558</v>
      </c>
      <c r="D25" s="156"/>
      <c r="E25" s="156"/>
      <c r="F25" s="156"/>
      <c r="G25" s="156"/>
      <c r="H25" s="156"/>
      <c r="I25" s="156"/>
      <c r="J25" s="156"/>
      <c r="K25" s="156"/>
      <c r="L25" s="156"/>
      <c r="M25" s="156"/>
      <c r="N25" s="156"/>
      <c r="O25" s="156"/>
      <c r="P25" s="156"/>
      <c r="Q25" s="156"/>
      <c r="R25" s="156"/>
      <c r="S25" s="156"/>
      <c r="T25" s="156"/>
      <c r="U25" s="156"/>
    </row>
    <row r="26" spans="1:21" ht="42.75" customHeight="1" x14ac:dyDescent="0.25">
      <c r="A26" s="161" t="s">
        <v>57</v>
      </c>
      <c r="B26" s="162" t="s">
        <v>208</v>
      </c>
      <c r="C26" s="159" t="s">
        <v>437</v>
      </c>
      <c r="D26" s="156"/>
      <c r="E26" s="156"/>
      <c r="F26" s="156"/>
      <c r="G26" s="156"/>
      <c r="H26" s="156"/>
      <c r="I26" s="156"/>
      <c r="J26" s="156"/>
      <c r="K26" s="156"/>
      <c r="L26" s="156"/>
      <c r="M26" s="156"/>
      <c r="N26" s="156"/>
      <c r="O26" s="156"/>
      <c r="P26" s="156"/>
      <c r="Q26" s="156"/>
      <c r="R26" s="156"/>
      <c r="S26" s="156"/>
      <c r="T26" s="156"/>
      <c r="U26" s="156"/>
    </row>
    <row r="27" spans="1:21" ht="47.25" x14ac:dyDescent="0.25">
      <c r="A27" s="161" t="s">
        <v>56</v>
      </c>
      <c r="B27" s="162" t="s">
        <v>394</v>
      </c>
      <c r="C27" s="159" t="s">
        <v>656</v>
      </c>
      <c r="D27" s="156"/>
      <c r="E27" s="156"/>
      <c r="F27" s="156"/>
      <c r="G27" s="156"/>
      <c r="H27" s="156"/>
      <c r="I27" s="156"/>
      <c r="J27" s="156"/>
      <c r="K27" s="156"/>
      <c r="L27" s="156"/>
      <c r="M27" s="156"/>
      <c r="N27" s="156"/>
      <c r="O27" s="156"/>
      <c r="P27" s="156"/>
      <c r="Q27" s="156"/>
      <c r="R27" s="156"/>
      <c r="S27" s="156"/>
      <c r="T27" s="156"/>
      <c r="U27" s="156"/>
    </row>
    <row r="28" spans="1:21" ht="42.75" customHeight="1" x14ac:dyDescent="0.25">
      <c r="A28" s="161" t="s">
        <v>54</v>
      </c>
      <c r="B28" s="162" t="s">
        <v>55</v>
      </c>
      <c r="C28" s="163">
        <v>2021</v>
      </c>
      <c r="D28" s="156"/>
      <c r="E28" s="156"/>
      <c r="F28" s="156"/>
      <c r="G28" s="156"/>
      <c r="H28" s="156"/>
      <c r="I28" s="156"/>
      <c r="J28" s="156"/>
      <c r="K28" s="156"/>
      <c r="L28" s="156"/>
      <c r="M28" s="156"/>
      <c r="N28" s="156"/>
      <c r="O28" s="156"/>
      <c r="P28" s="156"/>
      <c r="Q28" s="156"/>
      <c r="R28" s="156"/>
      <c r="S28" s="156"/>
      <c r="T28" s="156"/>
      <c r="U28" s="156"/>
    </row>
    <row r="29" spans="1:21" ht="42.75" customHeight="1" x14ac:dyDescent="0.25">
      <c r="A29" s="161" t="s">
        <v>52</v>
      </c>
      <c r="B29" s="159" t="s">
        <v>53</v>
      </c>
      <c r="C29" s="163">
        <v>2024</v>
      </c>
      <c r="D29" s="156"/>
      <c r="E29" s="156"/>
      <c r="F29" s="156"/>
      <c r="G29" s="156"/>
      <c r="H29" s="156"/>
      <c r="I29" s="156"/>
      <c r="J29" s="156"/>
      <c r="K29" s="156"/>
      <c r="L29" s="156"/>
      <c r="M29" s="156"/>
      <c r="N29" s="156"/>
      <c r="O29" s="156"/>
      <c r="P29" s="156"/>
      <c r="Q29" s="156"/>
      <c r="R29" s="156"/>
      <c r="S29" s="156"/>
      <c r="T29" s="156"/>
      <c r="U29" s="156"/>
    </row>
    <row r="30" spans="1:21" ht="42.75" customHeight="1" x14ac:dyDescent="0.25">
      <c r="A30" s="161" t="s">
        <v>70</v>
      </c>
      <c r="B30" s="159" t="s">
        <v>51</v>
      </c>
      <c r="C30" s="159" t="s">
        <v>590</v>
      </c>
      <c r="D30" s="156"/>
      <c r="E30" s="156"/>
      <c r="F30" s="156"/>
      <c r="G30" s="156"/>
      <c r="H30" s="156"/>
      <c r="I30" s="156"/>
      <c r="J30" s="156"/>
      <c r="K30" s="156"/>
      <c r="L30" s="156"/>
      <c r="M30" s="156"/>
      <c r="N30" s="156"/>
      <c r="O30" s="156"/>
      <c r="P30" s="156"/>
      <c r="Q30" s="156"/>
      <c r="R30" s="156"/>
      <c r="S30" s="156"/>
      <c r="T30" s="156"/>
      <c r="U30" s="156"/>
    </row>
    <row r="31" spans="1:21" x14ac:dyDescent="0.25">
      <c r="A31" s="156"/>
      <c r="B31" s="156"/>
      <c r="C31" s="156"/>
      <c r="D31" s="156"/>
      <c r="E31" s="156"/>
      <c r="F31" s="156"/>
      <c r="G31" s="156"/>
      <c r="H31" s="156"/>
      <c r="I31" s="156"/>
      <c r="J31" s="156"/>
      <c r="K31" s="156"/>
      <c r="L31" s="156"/>
      <c r="M31" s="156"/>
      <c r="N31" s="156"/>
      <c r="O31" s="156"/>
      <c r="P31" s="156"/>
      <c r="Q31" s="156"/>
      <c r="R31" s="156"/>
      <c r="S31" s="156"/>
      <c r="T31" s="156"/>
      <c r="U31" s="156"/>
    </row>
    <row r="32" spans="1:21" x14ac:dyDescent="0.25">
      <c r="A32" s="156"/>
      <c r="B32" s="156"/>
      <c r="C32" s="156"/>
      <c r="D32" s="156"/>
      <c r="E32" s="156"/>
      <c r="F32" s="156"/>
      <c r="G32" s="156"/>
      <c r="H32" s="156"/>
      <c r="I32" s="156"/>
      <c r="J32" s="156"/>
      <c r="K32" s="156"/>
      <c r="L32" s="156"/>
      <c r="M32" s="156"/>
      <c r="N32" s="156"/>
      <c r="O32" s="156"/>
      <c r="P32" s="156"/>
      <c r="Q32" s="156"/>
      <c r="R32" s="156"/>
      <c r="S32" s="156"/>
      <c r="T32" s="156"/>
      <c r="U32" s="156"/>
    </row>
    <row r="33" spans="1:21" x14ac:dyDescent="0.25">
      <c r="A33" s="156"/>
      <c r="B33" s="156"/>
      <c r="C33" s="156"/>
      <c r="D33" s="156"/>
      <c r="E33" s="156"/>
      <c r="F33" s="156"/>
      <c r="G33" s="156"/>
      <c r="H33" s="156"/>
      <c r="I33" s="156"/>
      <c r="J33" s="156"/>
      <c r="K33" s="156"/>
      <c r="L33" s="156"/>
      <c r="M33" s="156"/>
      <c r="N33" s="156"/>
      <c r="O33" s="156"/>
      <c r="P33" s="156"/>
      <c r="Q33" s="156"/>
      <c r="R33" s="156"/>
      <c r="S33" s="156"/>
      <c r="T33" s="156"/>
      <c r="U33" s="156"/>
    </row>
    <row r="34" spans="1:21" x14ac:dyDescent="0.25">
      <c r="A34" s="156"/>
      <c r="B34" s="156"/>
      <c r="C34" s="156"/>
      <c r="D34" s="156"/>
      <c r="E34" s="156"/>
      <c r="F34" s="156"/>
      <c r="G34" s="156"/>
      <c r="H34" s="156"/>
      <c r="I34" s="156"/>
      <c r="J34" s="156"/>
      <c r="K34" s="156"/>
      <c r="L34" s="156"/>
      <c r="M34" s="156"/>
      <c r="N34" s="156"/>
      <c r="O34" s="156"/>
      <c r="P34" s="156"/>
      <c r="Q34" s="156"/>
      <c r="R34" s="156"/>
      <c r="S34" s="156"/>
      <c r="T34" s="156"/>
      <c r="U34" s="156"/>
    </row>
    <row r="35" spans="1:21" x14ac:dyDescent="0.25">
      <c r="A35" s="156"/>
      <c r="B35" s="156"/>
      <c r="C35" s="156"/>
      <c r="D35" s="156"/>
      <c r="E35" s="156"/>
      <c r="F35" s="156"/>
      <c r="G35" s="156"/>
      <c r="H35" s="156"/>
      <c r="I35" s="156"/>
      <c r="J35" s="156"/>
      <c r="K35" s="156"/>
      <c r="L35" s="156"/>
      <c r="M35" s="156"/>
      <c r="N35" s="156"/>
      <c r="O35" s="156"/>
      <c r="P35" s="156"/>
      <c r="Q35" s="156"/>
      <c r="R35" s="156"/>
      <c r="S35" s="156"/>
      <c r="T35" s="156"/>
      <c r="U35" s="156"/>
    </row>
    <row r="36" spans="1:21" x14ac:dyDescent="0.25">
      <c r="A36" s="156"/>
      <c r="B36" s="156"/>
      <c r="C36" s="156"/>
      <c r="D36" s="156"/>
      <c r="E36" s="156"/>
      <c r="F36" s="156"/>
      <c r="G36" s="156"/>
      <c r="H36" s="156"/>
      <c r="I36" s="156"/>
      <c r="J36" s="156"/>
      <c r="K36" s="156"/>
      <c r="L36" s="156"/>
      <c r="M36" s="156"/>
      <c r="N36" s="156"/>
      <c r="O36" s="156"/>
      <c r="P36" s="156"/>
      <c r="Q36" s="156"/>
      <c r="R36" s="156"/>
      <c r="S36" s="156"/>
      <c r="T36" s="156"/>
      <c r="U36" s="156"/>
    </row>
    <row r="37" spans="1:21" x14ac:dyDescent="0.25">
      <c r="A37" s="156"/>
      <c r="B37" s="156"/>
      <c r="C37" s="156"/>
      <c r="D37" s="156"/>
      <c r="E37" s="156"/>
      <c r="F37" s="156"/>
      <c r="G37" s="156"/>
      <c r="H37" s="156"/>
      <c r="I37" s="156"/>
      <c r="J37" s="156"/>
      <c r="K37" s="156"/>
      <c r="L37" s="156"/>
      <c r="M37" s="156"/>
      <c r="N37" s="156"/>
      <c r="O37" s="156"/>
      <c r="P37" s="156"/>
      <c r="Q37" s="156"/>
      <c r="R37" s="156"/>
      <c r="S37" s="156"/>
      <c r="T37" s="156"/>
      <c r="U37" s="156"/>
    </row>
    <row r="38" spans="1:21" x14ac:dyDescent="0.25">
      <c r="A38" s="156"/>
      <c r="B38" s="156"/>
      <c r="C38" s="156"/>
      <c r="D38" s="156"/>
      <c r="E38" s="156"/>
      <c r="F38" s="156"/>
      <c r="G38" s="156"/>
      <c r="H38" s="156"/>
      <c r="I38" s="156"/>
      <c r="J38" s="156"/>
      <c r="K38" s="156"/>
      <c r="L38" s="156"/>
      <c r="M38" s="156"/>
      <c r="N38" s="156"/>
      <c r="O38" s="156"/>
      <c r="P38" s="156"/>
      <c r="Q38" s="156"/>
      <c r="R38" s="156"/>
      <c r="S38" s="156"/>
      <c r="T38" s="156"/>
      <c r="U38" s="156"/>
    </row>
    <row r="39" spans="1:21" x14ac:dyDescent="0.25">
      <c r="A39" s="156"/>
      <c r="B39" s="156"/>
      <c r="C39" s="156"/>
      <c r="D39" s="156"/>
      <c r="E39" s="156"/>
      <c r="F39" s="156"/>
      <c r="G39" s="156"/>
      <c r="H39" s="156"/>
      <c r="I39" s="156"/>
      <c r="J39" s="156"/>
      <c r="K39" s="156"/>
      <c r="L39" s="156"/>
      <c r="M39" s="156"/>
      <c r="N39" s="156"/>
      <c r="O39" s="156"/>
      <c r="P39" s="156"/>
      <c r="Q39" s="156"/>
      <c r="R39" s="156"/>
      <c r="S39" s="156"/>
      <c r="T39" s="156"/>
      <c r="U39" s="156"/>
    </row>
    <row r="40" spans="1:21" x14ac:dyDescent="0.25">
      <c r="A40" s="156"/>
      <c r="B40" s="156"/>
      <c r="C40" s="156"/>
      <c r="D40" s="156"/>
      <c r="E40" s="156"/>
      <c r="F40" s="156"/>
      <c r="G40" s="156"/>
      <c r="H40" s="156"/>
      <c r="I40" s="156"/>
      <c r="J40" s="156"/>
      <c r="K40" s="156"/>
      <c r="L40" s="156"/>
      <c r="M40" s="156"/>
      <c r="N40" s="156"/>
      <c r="O40" s="156"/>
      <c r="P40" s="156"/>
      <c r="Q40" s="156"/>
      <c r="R40" s="156"/>
      <c r="S40" s="156"/>
      <c r="T40" s="156"/>
      <c r="U40" s="156"/>
    </row>
    <row r="41" spans="1:21" x14ac:dyDescent="0.25">
      <c r="A41" s="156"/>
      <c r="B41" s="156"/>
      <c r="C41" s="156"/>
      <c r="D41" s="156"/>
      <c r="E41" s="156"/>
      <c r="F41" s="156"/>
      <c r="G41" s="156"/>
      <c r="H41" s="156"/>
      <c r="I41" s="156"/>
      <c r="J41" s="156"/>
      <c r="K41" s="156"/>
      <c r="L41" s="156"/>
      <c r="M41" s="156"/>
      <c r="N41" s="156"/>
      <c r="O41" s="156"/>
      <c r="P41" s="156"/>
      <c r="Q41" s="156"/>
      <c r="R41" s="156"/>
      <c r="S41" s="156"/>
      <c r="T41" s="156"/>
      <c r="U41" s="156"/>
    </row>
    <row r="42" spans="1:21" x14ac:dyDescent="0.25">
      <c r="A42" s="156"/>
      <c r="B42" s="156"/>
      <c r="C42" s="156"/>
      <c r="D42" s="156"/>
      <c r="E42" s="156"/>
      <c r="F42" s="156"/>
      <c r="G42" s="156"/>
      <c r="H42" s="156"/>
      <c r="I42" s="156"/>
      <c r="J42" s="156"/>
      <c r="K42" s="156"/>
      <c r="L42" s="156"/>
      <c r="M42" s="156"/>
      <c r="N42" s="156"/>
      <c r="O42" s="156"/>
      <c r="P42" s="156"/>
      <c r="Q42" s="156"/>
      <c r="R42" s="156"/>
      <c r="S42" s="156"/>
      <c r="T42" s="156"/>
      <c r="U42" s="156"/>
    </row>
    <row r="43" spans="1:21" x14ac:dyDescent="0.25">
      <c r="A43" s="156"/>
      <c r="B43" s="156"/>
      <c r="C43" s="156"/>
      <c r="D43" s="156"/>
      <c r="E43" s="156"/>
      <c r="F43" s="156"/>
      <c r="G43" s="156"/>
      <c r="H43" s="156"/>
      <c r="I43" s="156"/>
      <c r="J43" s="156"/>
      <c r="K43" s="156"/>
      <c r="L43" s="156"/>
      <c r="M43" s="156"/>
      <c r="N43" s="156"/>
      <c r="O43" s="156"/>
      <c r="P43" s="156"/>
      <c r="Q43" s="156"/>
      <c r="R43" s="156"/>
      <c r="S43" s="156"/>
      <c r="T43" s="156"/>
      <c r="U43" s="156"/>
    </row>
    <row r="44" spans="1:21" x14ac:dyDescent="0.25">
      <c r="A44" s="156"/>
      <c r="B44" s="156"/>
      <c r="C44" s="156"/>
      <c r="D44" s="156"/>
      <c r="E44" s="156"/>
      <c r="F44" s="156"/>
      <c r="G44" s="156"/>
      <c r="H44" s="156"/>
      <c r="I44" s="156"/>
      <c r="J44" s="156"/>
      <c r="K44" s="156"/>
      <c r="L44" s="156"/>
      <c r="M44" s="156"/>
      <c r="N44" s="156"/>
      <c r="O44" s="156"/>
      <c r="P44" s="156"/>
      <c r="Q44" s="156"/>
      <c r="R44" s="156"/>
      <c r="S44" s="156"/>
      <c r="T44" s="156"/>
      <c r="U44" s="156"/>
    </row>
    <row r="45" spans="1:21" x14ac:dyDescent="0.25">
      <c r="A45" s="156"/>
      <c r="B45" s="156"/>
      <c r="C45" s="156"/>
      <c r="D45" s="156"/>
      <c r="E45" s="156"/>
      <c r="F45" s="156"/>
      <c r="G45" s="156"/>
      <c r="H45" s="156"/>
      <c r="I45" s="156"/>
      <c r="J45" s="156"/>
      <c r="K45" s="156"/>
      <c r="L45" s="156"/>
      <c r="M45" s="156"/>
      <c r="N45" s="156"/>
      <c r="O45" s="156"/>
      <c r="P45" s="156"/>
      <c r="Q45" s="156"/>
      <c r="R45" s="156"/>
      <c r="S45" s="156"/>
      <c r="T45" s="156"/>
      <c r="U45" s="156"/>
    </row>
    <row r="46" spans="1:21" x14ac:dyDescent="0.25">
      <c r="A46" s="156"/>
      <c r="B46" s="156"/>
      <c r="C46" s="156"/>
      <c r="D46" s="156"/>
      <c r="E46" s="156"/>
      <c r="F46" s="156"/>
      <c r="G46" s="156"/>
      <c r="H46" s="156"/>
      <c r="I46" s="156"/>
      <c r="J46" s="156"/>
      <c r="K46" s="156"/>
      <c r="L46" s="156"/>
      <c r="M46" s="156"/>
      <c r="N46" s="156"/>
      <c r="O46" s="156"/>
      <c r="P46" s="156"/>
      <c r="Q46" s="156"/>
      <c r="R46" s="156"/>
      <c r="S46" s="156"/>
      <c r="T46" s="156"/>
      <c r="U46" s="156"/>
    </row>
    <row r="47" spans="1:21" x14ac:dyDescent="0.25">
      <c r="A47" s="156"/>
      <c r="B47" s="156"/>
      <c r="C47" s="156"/>
      <c r="D47" s="156"/>
      <c r="E47" s="156"/>
      <c r="F47" s="156"/>
      <c r="G47" s="156"/>
      <c r="H47" s="156"/>
      <c r="I47" s="156"/>
      <c r="J47" s="156"/>
      <c r="K47" s="156"/>
      <c r="L47" s="156"/>
      <c r="M47" s="156"/>
      <c r="N47" s="156"/>
      <c r="O47" s="156"/>
      <c r="P47" s="156"/>
      <c r="Q47" s="156"/>
      <c r="R47" s="156"/>
      <c r="S47" s="156"/>
      <c r="T47" s="156"/>
      <c r="U47" s="156"/>
    </row>
    <row r="48" spans="1:21" x14ac:dyDescent="0.25">
      <c r="A48" s="156"/>
      <c r="B48" s="156"/>
      <c r="C48" s="156"/>
      <c r="D48" s="156"/>
      <c r="E48" s="156"/>
      <c r="F48" s="156"/>
      <c r="G48" s="156"/>
      <c r="H48" s="156"/>
      <c r="I48" s="156"/>
      <c r="J48" s="156"/>
      <c r="K48" s="156"/>
      <c r="L48" s="156"/>
      <c r="M48" s="156"/>
      <c r="N48" s="156"/>
      <c r="O48" s="156"/>
      <c r="P48" s="156"/>
      <c r="Q48" s="156"/>
      <c r="R48" s="156"/>
      <c r="S48" s="156"/>
      <c r="T48" s="156"/>
      <c r="U48" s="156"/>
    </row>
    <row r="49" spans="1:21" x14ac:dyDescent="0.25">
      <c r="A49" s="156"/>
      <c r="B49" s="156"/>
      <c r="C49" s="156"/>
      <c r="D49" s="156"/>
      <c r="E49" s="156"/>
      <c r="F49" s="156"/>
      <c r="G49" s="156"/>
      <c r="H49" s="156"/>
      <c r="I49" s="156"/>
      <c r="J49" s="156"/>
      <c r="K49" s="156"/>
      <c r="L49" s="156"/>
      <c r="M49" s="156"/>
      <c r="N49" s="156"/>
      <c r="O49" s="156"/>
      <c r="P49" s="156"/>
      <c r="Q49" s="156"/>
      <c r="R49" s="156"/>
      <c r="S49" s="156"/>
      <c r="T49" s="156"/>
      <c r="U49" s="156"/>
    </row>
    <row r="50" spans="1:21" x14ac:dyDescent="0.25">
      <c r="A50" s="156"/>
      <c r="B50" s="156"/>
      <c r="C50" s="156"/>
      <c r="D50" s="156"/>
      <c r="E50" s="156"/>
      <c r="F50" s="156"/>
      <c r="G50" s="156"/>
      <c r="H50" s="156"/>
      <c r="I50" s="156"/>
      <c r="J50" s="156"/>
      <c r="K50" s="156"/>
      <c r="L50" s="156"/>
      <c r="M50" s="156"/>
      <c r="N50" s="156"/>
      <c r="O50" s="156"/>
      <c r="P50" s="156"/>
      <c r="Q50" s="156"/>
      <c r="R50" s="156"/>
      <c r="S50" s="156"/>
      <c r="T50" s="156"/>
      <c r="U50" s="156"/>
    </row>
    <row r="51" spans="1:21" x14ac:dyDescent="0.25">
      <c r="A51" s="156"/>
      <c r="B51" s="156"/>
      <c r="C51" s="156"/>
      <c r="D51" s="156"/>
      <c r="E51" s="156"/>
      <c r="F51" s="156"/>
      <c r="G51" s="156"/>
      <c r="H51" s="156"/>
      <c r="I51" s="156"/>
      <c r="J51" s="156"/>
      <c r="K51" s="156"/>
      <c r="L51" s="156"/>
      <c r="M51" s="156"/>
      <c r="N51" s="156"/>
      <c r="O51" s="156"/>
      <c r="P51" s="156"/>
      <c r="Q51" s="156"/>
      <c r="R51" s="156"/>
      <c r="S51" s="156"/>
      <c r="T51" s="156"/>
      <c r="U51" s="156"/>
    </row>
    <row r="52" spans="1:21" x14ac:dyDescent="0.25">
      <c r="A52" s="156"/>
      <c r="B52" s="156"/>
      <c r="C52" s="156"/>
      <c r="D52" s="156"/>
      <c r="E52" s="156"/>
      <c r="F52" s="156"/>
      <c r="G52" s="156"/>
      <c r="H52" s="156"/>
      <c r="I52" s="156"/>
      <c r="J52" s="156"/>
      <c r="K52" s="156"/>
      <c r="L52" s="156"/>
      <c r="M52" s="156"/>
      <c r="N52" s="156"/>
      <c r="O52" s="156"/>
      <c r="P52" s="156"/>
      <c r="Q52" s="156"/>
      <c r="R52" s="156"/>
      <c r="S52" s="156"/>
      <c r="T52" s="156"/>
      <c r="U52" s="156"/>
    </row>
    <row r="53" spans="1:21" x14ac:dyDescent="0.25">
      <c r="A53" s="156"/>
      <c r="B53" s="156"/>
      <c r="C53" s="156"/>
      <c r="D53" s="156"/>
      <c r="E53" s="156"/>
      <c r="F53" s="156"/>
      <c r="G53" s="156"/>
      <c r="H53" s="156"/>
      <c r="I53" s="156"/>
      <c r="J53" s="156"/>
      <c r="K53" s="156"/>
      <c r="L53" s="156"/>
      <c r="M53" s="156"/>
      <c r="N53" s="156"/>
      <c r="O53" s="156"/>
      <c r="P53" s="156"/>
      <c r="Q53" s="156"/>
      <c r="R53" s="156"/>
      <c r="S53" s="156"/>
      <c r="T53" s="156"/>
      <c r="U53" s="156"/>
    </row>
    <row r="54" spans="1:21" x14ac:dyDescent="0.25">
      <c r="A54" s="156"/>
      <c r="B54" s="156"/>
      <c r="C54" s="156"/>
      <c r="D54" s="156"/>
      <c r="E54" s="156"/>
      <c r="F54" s="156"/>
      <c r="G54" s="156"/>
      <c r="H54" s="156"/>
      <c r="I54" s="156"/>
      <c r="J54" s="156"/>
      <c r="K54" s="156"/>
      <c r="L54" s="156"/>
      <c r="M54" s="156"/>
      <c r="N54" s="156"/>
      <c r="O54" s="156"/>
      <c r="P54" s="156"/>
      <c r="Q54" s="156"/>
      <c r="R54" s="156"/>
      <c r="S54" s="156"/>
      <c r="T54" s="156"/>
      <c r="U54" s="156"/>
    </row>
    <row r="55" spans="1:21" x14ac:dyDescent="0.25">
      <c r="A55" s="156"/>
      <c r="B55" s="156"/>
      <c r="C55" s="156"/>
      <c r="D55" s="156"/>
      <c r="E55" s="156"/>
      <c r="F55" s="156"/>
      <c r="G55" s="156"/>
      <c r="H55" s="156"/>
      <c r="I55" s="156"/>
      <c r="J55" s="156"/>
      <c r="K55" s="156"/>
      <c r="L55" s="156"/>
      <c r="M55" s="156"/>
      <c r="N55" s="156"/>
      <c r="O55" s="156"/>
      <c r="P55" s="156"/>
      <c r="Q55" s="156"/>
      <c r="R55" s="156"/>
      <c r="S55" s="156"/>
      <c r="T55" s="156"/>
      <c r="U55" s="156"/>
    </row>
    <row r="56" spans="1:21" x14ac:dyDescent="0.25">
      <c r="A56" s="156"/>
      <c r="B56" s="156"/>
      <c r="C56" s="156"/>
      <c r="D56" s="156"/>
      <c r="E56" s="156"/>
      <c r="F56" s="156"/>
      <c r="G56" s="156"/>
      <c r="H56" s="156"/>
      <c r="I56" s="156"/>
      <c r="J56" s="156"/>
      <c r="K56" s="156"/>
      <c r="L56" s="156"/>
      <c r="M56" s="156"/>
      <c r="N56" s="156"/>
      <c r="O56" s="156"/>
      <c r="P56" s="156"/>
      <c r="Q56" s="156"/>
      <c r="R56" s="156"/>
      <c r="S56" s="156"/>
      <c r="T56" s="156"/>
      <c r="U56" s="156"/>
    </row>
    <row r="57" spans="1:21" x14ac:dyDescent="0.25">
      <c r="A57" s="156"/>
      <c r="B57" s="156"/>
      <c r="C57" s="156"/>
      <c r="D57" s="156"/>
      <c r="E57" s="156"/>
      <c r="F57" s="156"/>
      <c r="G57" s="156"/>
      <c r="H57" s="156"/>
      <c r="I57" s="156"/>
      <c r="J57" s="156"/>
      <c r="K57" s="156"/>
      <c r="L57" s="156"/>
      <c r="M57" s="156"/>
      <c r="N57" s="156"/>
      <c r="O57" s="156"/>
      <c r="P57" s="156"/>
      <c r="Q57" s="156"/>
      <c r="R57" s="156"/>
      <c r="S57" s="156"/>
      <c r="T57" s="156"/>
      <c r="U57" s="156"/>
    </row>
    <row r="58" spans="1:21" x14ac:dyDescent="0.25">
      <c r="A58" s="156"/>
      <c r="B58" s="156"/>
      <c r="C58" s="156"/>
      <c r="D58" s="156"/>
      <c r="E58" s="156"/>
      <c r="F58" s="156"/>
      <c r="G58" s="156"/>
      <c r="H58" s="156"/>
      <c r="I58" s="156"/>
      <c r="J58" s="156"/>
      <c r="K58" s="156"/>
      <c r="L58" s="156"/>
      <c r="M58" s="156"/>
      <c r="N58" s="156"/>
      <c r="O58" s="156"/>
      <c r="P58" s="156"/>
      <c r="Q58" s="156"/>
      <c r="R58" s="156"/>
      <c r="S58" s="156"/>
      <c r="T58" s="156"/>
      <c r="U58" s="156"/>
    </row>
    <row r="59" spans="1:21" x14ac:dyDescent="0.25">
      <c r="A59" s="156"/>
      <c r="B59" s="156"/>
      <c r="C59" s="156"/>
      <c r="D59" s="156"/>
      <c r="E59" s="156"/>
      <c r="F59" s="156"/>
      <c r="G59" s="156"/>
      <c r="H59" s="156"/>
      <c r="I59" s="156"/>
      <c r="J59" s="156"/>
      <c r="K59" s="156"/>
      <c r="L59" s="156"/>
      <c r="M59" s="156"/>
      <c r="N59" s="156"/>
      <c r="O59" s="156"/>
      <c r="P59" s="156"/>
      <c r="Q59" s="156"/>
      <c r="R59" s="156"/>
      <c r="S59" s="156"/>
      <c r="T59" s="156"/>
      <c r="U59" s="156"/>
    </row>
    <row r="60" spans="1:21" x14ac:dyDescent="0.25">
      <c r="A60" s="156"/>
      <c r="B60" s="156"/>
      <c r="C60" s="156"/>
      <c r="D60" s="156"/>
      <c r="E60" s="156"/>
      <c r="F60" s="156"/>
      <c r="G60" s="156"/>
      <c r="H60" s="156"/>
      <c r="I60" s="156"/>
      <c r="J60" s="156"/>
      <c r="K60" s="156"/>
      <c r="L60" s="156"/>
      <c r="M60" s="156"/>
      <c r="N60" s="156"/>
      <c r="O60" s="156"/>
      <c r="P60" s="156"/>
      <c r="Q60" s="156"/>
      <c r="R60" s="156"/>
      <c r="S60" s="156"/>
      <c r="T60" s="156"/>
      <c r="U60" s="156"/>
    </row>
    <row r="61" spans="1:21" x14ac:dyDescent="0.25">
      <c r="A61" s="156"/>
      <c r="B61" s="156"/>
      <c r="C61" s="156"/>
      <c r="D61" s="156"/>
      <c r="E61" s="156"/>
      <c r="F61" s="156"/>
      <c r="G61" s="156"/>
      <c r="H61" s="156"/>
      <c r="I61" s="156"/>
      <c r="J61" s="156"/>
      <c r="K61" s="156"/>
      <c r="L61" s="156"/>
      <c r="M61" s="156"/>
      <c r="N61" s="156"/>
      <c r="O61" s="156"/>
      <c r="P61" s="156"/>
      <c r="Q61" s="156"/>
      <c r="R61" s="156"/>
      <c r="S61" s="156"/>
      <c r="T61" s="156"/>
      <c r="U61" s="156"/>
    </row>
    <row r="62" spans="1:21" x14ac:dyDescent="0.25">
      <c r="A62" s="156"/>
      <c r="B62" s="156"/>
      <c r="C62" s="156"/>
      <c r="D62" s="156"/>
      <c r="E62" s="156"/>
      <c r="F62" s="156"/>
      <c r="G62" s="156"/>
      <c r="H62" s="156"/>
      <c r="I62" s="156"/>
      <c r="J62" s="156"/>
      <c r="K62" s="156"/>
      <c r="L62" s="156"/>
      <c r="M62" s="156"/>
      <c r="N62" s="156"/>
      <c r="O62" s="156"/>
      <c r="P62" s="156"/>
      <c r="Q62" s="156"/>
      <c r="R62" s="156"/>
      <c r="S62" s="156"/>
      <c r="T62" s="156"/>
      <c r="U62" s="156"/>
    </row>
    <row r="63" spans="1:21" x14ac:dyDescent="0.25">
      <c r="A63" s="156"/>
      <c r="B63" s="156"/>
      <c r="C63" s="156"/>
      <c r="D63" s="156"/>
      <c r="E63" s="156"/>
      <c r="F63" s="156"/>
      <c r="G63" s="156"/>
      <c r="H63" s="156"/>
      <c r="I63" s="156"/>
      <c r="J63" s="156"/>
      <c r="K63" s="156"/>
      <c r="L63" s="156"/>
      <c r="M63" s="156"/>
      <c r="N63" s="156"/>
      <c r="O63" s="156"/>
      <c r="P63" s="156"/>
      <c r="Q63" s="156"/>
      <c r="R63" s="156"/>
      <c r="S63" s="156"/>
      <c r="T63" s="156"/>
      <c r="U63" s="156"/>
    </row>
    <row r="64" spans="1:21" x14ac:dyDescent="0.25">
      <c r="A64" s="156"/>
      <c r="B64" s="156"/>
      <c r="C64" s="156"/>
      <c r="D64" s="156"/>
      <c r="E64" s="156"/>
      <c r="F64" s="156"/>
      <c r="G64" s="156"/>
      <c r="H64" s="156"/>
      <c r="I64" s="156"/>
      <c r="J64" s="156"/>
      <c r="K64" s="156"/>
      <c r="L64" s="156"/>
      <c r="M64" s="156"/>
      <c r="N64" s="156"/>
      <c r="O64" s="156"/>
      <c r="P64" s="156"/>
      <c r="Q64" s="156"/>
      <c r="R64" s="156"/>
      <c r="S64" s="156"/>
      <c r="T64" s="156"/>
      <c r="U64" s="156"/>
    </row>
    <row r="65" spans="1:21" x14ac:dyDescent="0.25">
      <c r="A65" s="156"/>
      <c r="B65" s="156"/>
      <c r="C65" s="156"/>
      <c r="D65" s="156"/>
      <c r="E65" s="156"/>
      <c r="F65" s="156"/>
      <c r="G65" s="156"/>
      <c r="H65" s="156"/>
      <c r="I65" s="156"/>
      <c r="J65" s="156"/>
      <c r="K65" s="156"/>
      <c r="L65" s="156"/>
      <c r="M65" s="156"/>
      <c r="N65" s="156"/>
      <c r="O65" s="156"/>
      <c r="P65" s="156"/>
      <c r="Q65" s="156"/>
      <c r="R65" s="156"/>
      <c r="S65" s="156"/>
      <c r="T65" s="156"/>
      <c r="U65" s="156"/>
    </row>
    <row r="66" spans="1:21" x14ac:dyDescent="0.25">
      <c r="A66" s="156"/>
      <c r="B66" s="156"/>
      <c r="C66" s="156"/>
      <c r="D66" s="156"/>
      <c r="E66" s="156"/>
      <c r="F66" s="156"/>
      <c r="G66" s="156"/>
      <c r="H66" s="156"/>
      <c r="I66" s="156"/>
      <c r="J66" s="156"/>
      <c r="K66" s="156"/>
      <c r="L66" s="156"/>
      <c r="M66" s="156"/>
      <c r="N66" s="156"/>
      <c r="O66" s="156"/>
      <c r="P66" s="156"/>
      <c r="Q66" s="156"/>
      <c r="R66" s="156"/>
      <c r="S66" s="156"/>
      <c r="T66" s="156"/>
      <c r="U66" s="156"/>
    </row>
    <row r="67" spans="1:21" x14ac:dyDescent="0.25">
      <c r="A67" s="156"/>
      <c r="B67" s="156"/>
      <c r="C67" s="156"/>
      <c r="D67" s="156"/>
      <c r="E67" s="156"/>
      <c r="F67" s="156"/>
      <c r="G67" s="156"/>
      <c r="H67" s="156"/>
      <c r="I67" s="156"/>
      <c r="J67" s="156"/>
      <c r="K67" s="156"/>
      <c r="L67" s="156"/>
      <c r="M67" s="156"/>
      <c r="N67" s="156"/>
      <c r="O67" s="156"/>
      <c r="P67" s="156"/>
      <c r="Q67" s="156"/>
      <c r="R67" s="156"/>
      <c r="S67" s="156"/>
      <c r="T67" s="156"/>
      <c r="U67" s="156"/>
    </row>
    <row r="68" spans="1:21" x14ac:dyDescent="0.25">
      <c r="A68" s="156"/>
      <c r="B68" s="156"/>
      <c r="C68" s="156"/>
      <c r="D68" s="156"/>
      <c r="E68" s="156"/>
      <c r="F68" s="156"/>
      <c r="G68" s="156"/>
      <c r="H68" s="156"/>
      <c r="I68" s="156"/>
      <c r="J68" s="156"/>
      <c r="K68" s="156"/>
      <c r="L68" s="156"/>
      <c r="M68" s="156"/>
      <c r="N68" s="156"/>
      <c r="O68" s="156"/>
      <c r="P68" s="156"/>
      <c r="Q68" s="156"/>
      <c r="R68" s="156"/>
      <c r="S68" s="156"/>
      <c r="T68" s="156"/>
      <c r="U68" s="156"/>
    </row>
    <row r="69" spans="1:21" x14ac:dyDescent="0.25">
      <c r="A69" s="156"/>
      <c r="B69" s="156"/>
      <c r="C69" s="156"/>
      <c r="D69" s="156"/>
      <c r="E69" s="156"/>
      <c r="F69" s="156"/>
      <c r="G69" s="156"/>
      <c r="H69" s="156"/>
      <c r="I69" s="156"/>
      <c r="J69" s="156"/>
      <c r="K69" s="156"/>
      <c r="L69" s="156"/>
      <c r="M69" s="156"/>
      <c r="N69" s="156"/>
      <c r="O69" s="156"/>
      <c r="P69" s="156"/>
      <c r="Q69" s="156"/>
      <c r="R69" s="156"/>
      <c r="S69" s="156"/>
      <c r="T69" s="156"/>
      <c r="U69" s="156"/>
    </row>
    <row r="70" spans="1:21" x14ac:dyDescent="0.25">
      <c r="A70" s="156"/>
      <c r="B70" s="156"/>
      <c r="C70" s="156"/>
      <c r="D70" s="156"/>
      <c r="E70" s="156"/>
      <c r="F70" s="156"/>
      <c r="G70" s="156"/>
      <c r="H70" s="156"/>
      <c r="I70" s="156"/>
      <c r="J70" s="156"/>
      <c r="K70" s="156"/>
      <c r="L70" s="156"/>
      <c r="M70" s="156"/>
      <c r="N70" s="156"/>
      <c r="O70" s="156"/>
      <c r="P70" s="156"/>
      <c r="Q70" s="156"/>
      <c r="R70" s="156"/>
      <c r="S70" s="156"/>
      <c r="T70" s="156"/>
      <c r="U70" s="156"/>
    </row>
    <row r="71" spans="1:21" x14ac:dyDescent="0.25">
      <c r="A71" s="156"/>
      <c r="B71" s="156"/>
      <c r="C71" s="156"/>
      <c r="D71" s="156"/>
      <c r="E71" s="156"/>
      <c r="F71" s="156"/>
      <c r="G71" s="156"/>
      <c r="H71" s="156"/>
      <c r="I71" s="156"/>
      <c r="J71" s="156"/>
      <c r="K71" s="156"/>
      <c r="L71" s="156"/>
      <c r="M71" s="156"/>
      <c r="N71" s="156"/>
      <c r="O71" s="156"/>
      <c r="P71" s="156"/>
      <c r="Q71" s="156"/>
      <c r="R71" s="156"/>
      <c r="S71" s="156"/>
      <c r="T71" s="156"/>
      <c r="U71" s="156"/>
    </row>
    <row r="72" spans="1:21" x14ac:dyDescent="0.25">
      <c r="A72" s="156"/>
      <c r="B72" s="156"/>
      <c r="C72" s="156"/>
      <c r="D72" s="156"/>
      <c r="E72" s="156"/>
      <c r="F72" s="156"/>
      <c r="G72" s="156"/>
      <c r="H72" s="156"/>
      <c r="I72" s="156"/>
      <c r="J72" s="156"/>
      <c r="K72" s="156"/>
      <c r="L72" s="156"/>
      <c r="M72" s="156"/>
      <c r="N72" s="156"/>
      <c r="O72" s="156"/>
      <c r="P72" s="156"/>
      <c r="Q72" s="156"/>
      <c r="R72" s="156"/>
      <c r="S72" s="156"/>
      <c r="T72" s="156"/>
      <c r="U72" s="156"/>
    </row>
    <row r="73" spans="1:21" x14ac:dyDescent="0.25">
      <c r="A73" s="156"/>
      <c r="B73" s="156"/>
      <c r="C73" s="156"/>
      <c r="D73" s="156"/>
      <c r="E73" s="156"/>
      <c r="F73" s="156"/>
      <c r="G73" s="156"/>
      <c r="H73" s="156"/>
      <c r="I73" s="156"/>
      <c r="J73" s="156"/>
      <c r="K73" s="156"/>
      <c r="L73" s="156"/>
      <c r="M73" s="156"/>
      <c r="N73" s="156"/>
      <c r="O73" s="156"/>
      <c r="P73" s="156"/>
      <c r="Q73" s="156"/>
      <c r="R73" s="156"/>
      <c r="S73" s="156"/>
      <c r="T73" s="156"/>
      <c r="U73" s="156"/>
    </row>
    <row r="74" spans="1:21" x14ac:dyDescent="0.25">
      <c r="A74" s="156"/>
      <c r="B74" s="156"/>
      <c r="C74" s="156"/>
      <c r="D74" s="156"/>
      <c r="E74" s="156"/>
      <c r="F74" s="156"/>
      <c r="G74" s="156"/>
      <c r="H74" s="156"/>
      <c r="I74" s="156"/>
      <c r="J74" s="156"/>
      <c r="K74" s="156"/>
      <c r="L74" s="156"/>
      <c r="M74" s="156"/>
      <c r="N74" s="156"/>
      <c r="O74" s="156"/>
      <c r="P74" s="156"/>
      <c r="Q74" s="156"/>
      <c r="R74" s="156"/>
      <c r="S74" s="156"/>
      <c r="T74" s="156"/>
      <c r="U74" s="156"/>
    </row>
    <row r="75" spans="1:21" x14ac:dyDescent="0.25">
      <c r="A75" s="156"/>
      <c r="B75" s="156"/>
      <c r="C75" s="156"/>
      <c r="D75" s="156"/>
      <c r="E75" s="156"/>
      <c r="F75" s="156"/>
      <c r="G75" s="156"/>
      <c r="H75" s="156"/>
      <c r="I75" s="156"/>
      <c r="J75" s="156"/>
      <c r="K75" s="156"/>
      <c r="L75" s="156"/>
      <c r="M75" s="156"/>
      <c r="N75" s="156"/>
      <c r="O75" s="156"/>
      <c r="P75" s="156"/>
      <c r="Q75" s="156"/>
      <c r="R75" s="156"/>
      <c r="S75" s="156"/>
      <c r="T75" s="156"/>
      <c r="U75" s="156"/>
    </row>
    <row r="76" spans="1:21" x14ac:dyDescent="0.25">
      <c r="A76" s="156"/>
      <c r="B76" s="156"/>
      <c r="C76" s="156"/>
      <c r="D76" s="156"/>
      <c r="E76" s="156"/>
      <c r="F76" s="156"/>
      <c r="G76" s="156"/>
      <c r="H76" s="156"/>
      <c r="I76" s="156"/>
      <c r="J76" s="156"/>
      <c r="K76" s="156"/>
      <c r="L76" s="156"/>
      <c r="M76" s="156"/>
      <c r="N76" s="156"/>
      <c r="O76" s="156"/>
      <c r="P76" s="156"/>
      <c r="Q76" s="156"/>
      <c r="R76" s="156"/>
      <c r="S76" s="156"/>
      <c r="T76" s="156"/>
      <c r="U76" s="156"/>
    </row>
    <row r="77" spans="1:21" x14ac:dyDescent="0.25">
      <c r="A77" s="156"/>
      <c r="B77" s="156"/>
      <c r="C77" s="156"/>
      <c r="D77" s="156"/>
      <c r="E77" s="156"/>
      <c r="F77" s="156"/>
      <c r="G77" s="156"/>
      <c r="H77" s="156"/>
      <c r="I77" s="156"/>
      <c r="J77" s="156"/>
      <c r="K77" s="156"/>
      <c r="L77" s="156"/>
      <c r="M77" s="156"/>
      <c r="N77" s="156"/>
      <c r="O77" s="156"/>
      <c r="P77" s="156"/>
      <c r="Q77" s="156"/>
      <c r="R77" s="156"/>
      <c r="S77" s="156"/>
      <c r="T77" s="156"/>
      <c r="U77" s="156"/>
    </row>
    <row r="78" spans="1:21" x14ac:dyDescent="0.25">
      <c r="A78" s="156"/>
      <c r="B78" s="156"/>
      <c r="C78" s="156"/>
      <c r="D78" s="156"/>
      <c r="E78" s="156"/>
      <c r="F78" s="156"/>
      <c r="G78" s="156"/>
      <c r="H78" s="156"/>
      <c r="I78" s="156"/>
      <c r="J78" s="156"/>
      <c r="K78" s="156"/>
      <c r="L78" s="156"/>
      <c r="M78" s="156"/>
      <c r="N78" s="156"/>
      <c r="O78" s="156"/>
      <c r="P78" s="156"/>
      <c r="Q78" s="156"/>
      <c r="R78" s="156"/>
      <c r="S78" s="156"/>
      <c r="T78" s="156"/>
      <c r="U78" s="156"/>
    </row>
    <row r="79" spans="1:21" x14ac:dyDescent="0.25">
      <c r="A79" s="156"/>
      <c r="B79" s="156"/>
      <c r="C79" s="156"/>
      <c r="D79" s="156"/>
      <c r="E79" s="156"/>
      <c r="F79" s="156"/>
      <c r="G79" s="156"/>
      <c r="H79" s="156"/>
      <c r="I79" s="156"/>
      <c r="J79" s="156"/>
      <c r="K79" s="156"/>
      <c r="L79" s="156"/>
      <c r="M79" s="156"/>
      <c r="N79" s="156"/>
      <c r="O79" s="156"/>
      <c r="P79" s="156"/>
      <c r="Q79" s="156"/>
      <c r="R79" s="156"/>
      <c r="S79" s="156"/>
      <c r="T79" s="156"/>
      <c r="U79" s="156"/>
    </row>
    <row r="80" spans="1:21" x14ac:dyDescent="0.25">
      <c r="A80" s="156"/>
      <c r="B80" s="156"/>
      <c r="C80" s="156"/>
      <c r="D80" s="156"/>
      <c r="E80" s="156"/>
      <c r="F80" s="156"/>
      <c r="G80" s="156"/>
      <c r="H80" s="156"/>
      <c r="I80" s="156"/>
      <c r="J80" s="156"/>
      <c r="K80" s="156"/>
      <c r="L80" s="156"/>
      <c r="M80" s="156"/>
      <c r="N80" s="156"/>
      <c r="O80" s="156"/>
      <c r="P80" s="156"/>
      <c r="Q80" s="156"/>
      <c r="R80" s="156"/>
      <c r="S80" s="156"/>
      <c r="T80" s="156"/>
      <c r="U80" s="156"/>
    </row>
    <row r="81" spans="1:21" x14ac:dyDescent="0.25">
      <c r="A81" s="156"/>
      <c r="B81" s="156"/>
      <c r="C81" s="156"/>
      <c r="D81" s="156"/>
      <c r="E81" s="156"/>
      <c r="F81" s="156"/>
      <c r="G81" s="156"/>
      <c r="H81" s="156"/>
      <c r="I81" s="156"/>
      <c r="J81" s="156"/>
      <c r="K81" s="156"/>
      <c r="L81" s="156"/>
      <c r="M81" s="156"/>
      <c r="N81" s="156"/>
      <c r="O81" s="156"/>
      <c r="P81" s="156"/>
      <c r="Q81" s="156"/>
      <c r="R81" s="156"/>
      <c r="S81" s="156"/>
      <c r="T81" s="156"/>
      <c r="U81" s="156"/>
    </row>
    <row r="82" spans="1:21" x14ac:dyDescent="0.25">
      <c r="A82" s="156"/>
      <c r="B82" s="156"/>
      <c r="C82" s="156"/>
      <c r="D82" s="156"/>
      <c r="E82" s="156"/>
      <c r="F82" s="156"/>
      <c r="G82" s="156"/>
      <c r="H82" s="156"/>
      <c r="I82" s="156"/>
      <c r="J82" s="156"/>
      <c r="K82" s="156"/>
      <c r="L82" s="156"/>
      <c r="M82" s="156"/>
      <c r="N82" s="156"/>
      <c r="O82" s="156"/>
      <c r="P82" s="156"/>
      <c r="Q82" s="156"/>
      <c r="R82" s="156"/>
      <c r="S82" s="156"/>
      <c r="T82" s="156"/>
      <c r="U82" s="156"/>
    </row>
    <row r="83" spans="1:21" x14ac:dyDescent="0.25">
      <c r="A83" s="156"/>
      <c r="B83" s="156"/>
      <c r="C83" s="156"/>
      <c r="D83" s="156"/>
      <c r="E83" s="156"/>
      <c r="F83" s="156"/>
      <c r="G83" s="156"/>
      <c r="H83" s="156"/>
      <c r="I83" s="156"/>
      <c r="J83" s="156"/>
      <c r="K83" s="156"/>
      <c r="L83" s="156"/>
      <c r="M83" s="156"/>
      <c r="N83" s="156"/>
      <c r="O83" s="156"/>
      <c r="P83" s="156"/>
      <c r="Q83" s="156"/>
      <c r="R83" s="156"/>
      <c r="S83" s="156"/>
      <c r="T83" s="156"/>
      <c r="U83" s="156"/>
    </row>
    <row r="84" spans="1:21" x14ac:dyDescent="0.25">
      <c r="A84" s="156"/>
      <c r="B84" s="156"/>
      <c r="C84" s="156"/>
      <c r="D84" s="156"/>
      <c r="E84" s="156"/>
      <c r="F84" s="156"/>
      <c r="G84" s="156"/>
      <c r="H84" s="156"/>
      <c r="I84" s="156"/>
      <c r="J84" s="156"/>
      <c r="K84" s="156"/>
      <c r="L84" s="156"/>
      <c r="M84" s="156"/>
      <c r="N84" s="156"/>
      <c r="O84" s="156"/>
      <c r="P84" s="156"/>
      <c r="Q84" s="156"/>
      <c r="R84" s="156"/>
      <c r="S84" s="156"/>
      <c r="T84" s="156"/>
      <c r="U84" s="156"/>
    </row>
    <row r="85" spans="1:21" x14ac:dyDescent="0.25">
      <c r="A85" s="156"/>
      <c r="B85" s="156"/>
      <c r="C85" s="156"/>
      <c r="D85" s="156"/>
      <c r="E85" s="156"/>
      <c r="F85" s="156"/>
      <c r="G85" s="156"/>
      <c r="H85" s="156"/>
      <c r="I85" s="156"/>
      <c r="J85" s="156"/>
      <c r="K85" s="156"/>
      <c r="L85" s="156"/>
      <c r="M85" s="156"/>
      <c r="N85" s="156"/>
      <c r="O85" s="156"/>
      <c r="P85" s="156"/>
      <c r="Q85" s="156"/>
      <c r="R85" s="156"/>
      <c r="S85" s="156"/>
      <c r="T85" s="156"/>
      <c r="U85" s="156"/>
    </row>
    <row r="86" spans="1:21" x14ac:dyDescent="0.25">
      <c r="A86" s="156"/>
      <c r="B86" s="156"/>
      <c r="C86" s="156"/>
      <c r="D86" s="156"/>
      <c r="E86" s="156"/>
      <c r="F86" s="156"/>
      <c r="G86" s="156"/>
      <c r="H86" s="156"/>
      <c r="I86" s="156"/>
      <c r="J86" s="156"/>
      <c r="K86" s="156"/>
      <c r="L86" s="156"/>
      <c r="M86" s="156"/>
      <c r="N86" s="156"/>
      <c r="O86" s="156"/>
      <c r="P86" s="156"/>
      <c r="Q86" s="156"/>
      <c r="R86" s="156"/>
      <c r="S86" s="156"/>
      <c r="T86" s="156"/>
      <c r="U86" s="156"/>
    </row>
    <row r="87" spans="1:21" x14ac:dyDescent="0.25">
      <c r="A87" s="156"/>
      <c r="B87" s="156"/>
      <c r="C87" s="156"/>
      <c r="D87" s="156"/>
      <c r="E87" s="156"/>
      <c r="F87" s="156"/>
      <c r="G87" s="156"/>
      <c r="H87" s="156"/>
      <c r="I87" s="156"/>
      <c r="J87" s="156"/>
      <c r="K87" s="156"/>
      <c r="L87" s="156"/>
      <c r="M87" s="156"/>
      <c r="N87" s="156"/>
      <c r="O87" s="156"/>
      <c r="P87" s="156"/>
      <c r="Q87" s="156"/>
      <c r="R87" s="156"/>
      <c r="S87" s="156"/>
      <c r="T87" s="156"/>
      <c r="U87" s="156"/>
    </row>
    <row r="88" spans="1:21" x14ac:dyDescent="0.25">
      <c r="A88" s="156"/>
      <c r="B88" s="156"/>
      <c r="C88" s="156"/>
      <c r="D88" s="156"/>
      <c r="E88" s="156"/>
      <c r="F88" s="156"/>
      <c r="G88" s="156"/>
      <c r="H88" s="156"/>
      <c r="I88" s="156"/>
      <c r="J88" s="156"/>
      <c r="K88" s="156"/>
      <c r="L88" s="156"/>
      <c r="M88" s="156"/>
      <c r="N88" s="156"/>
      <c r="O88" s="156"/>
      <c r="P88" s="156"/>
      <c r="Q88" s="156"/>
      <c r="R88" s="156"/>
      <c r="S88" s="156"/>
      <c r="T88" s="156"/>
      <c r="U88" s="156"/>
    </row>
    <row r="89" spans="1:21" x14ac:dyDescent="0.25">
      <c r="A89" s="156"/>
      <c r="B89" s="156"/>
      <c r="C89" s="156"/>
      <c r="D89" s="156"/>
      <c r="E89" s="156"/>
      <c r="F89" s="156"/>
      <c r="G89" s="156"/>
      <c r="H89" s="156"/>
      <c r="I89" s="156"/>
      <c r="J89" s="156"/>
      <c r="K89" s="156"/>
      <c r="L89" s="156"/>
      <c r="M89" s="156"/>
      <c r="N89" s="156"/>
      <c r="O89" s="156"/>
      <c r="P89" s="156"/>
      <c r="Q89" s="156"/>
      <c r="R89" s="156"/>
      <c r="S89" s="156"/>
      <c r="T89" s="156"/>
      <c r="U89" s="156"/>
    </row>
    <row r="90" spans="1:21" x14ac:dyDescent="0.25">
      <c r="A90" s="156"/>
      <c r="B90" s="156"/>
      <c r="C90" s="156"/>
      <c r="D90" s="156"/>
      <c r="E90" s="156"/>
      <c r="F90" s="156"/>
      <c r="G90" s="156"/>
      <c r="H90" s="156"/>
      <c r="I90" s="156"/>
      <c r="J90" s="156"/>
      <c r="K90" s="156"/>
      <c r="L90" s="156"/>
      <c r="M90" s="156"/>
      <c r="N90" s="156"/>
      <c r="O90" s="156"/>
      <c r="P90" s="156"/>
      <c r="Q90" s="156"/>
      <c r="R90" s="156"/>
      <c r="S90" s="156"/>
      <c r="T90" s="156"/>
      <c r="U90" s="156"/>
    </row>
    <row r="91" spans="1:21" x14ac:dyDescent="0.25">
      <c r="A91" s="156"/>
      <c r="B91" s="156"/>
      <c r="C91" s="156"/>
      <c r="D91" s="156"/>
      <c r="E91" s="156"/>
      <c r="F91" s="156"/>
      <c r="G91" s="156"/>
      <c r="H91" s="156"/>
      <c r="I91" s="156"/>
      <c r="J91" s="156"/>
      <c r="K91" s="156"/>
      <c r="L91" s="156"/>
      <c r="M91" s="156"/>
      <c r="N91" s="156"/>
      <c r="O91" s="156"/>
      <c r="P91" s="156"/>
      <c r="Q91" s="156"/>
      <c r="R91" s="156"/>
      <c r="S91" s="156"/>
      <c r="T91" s="156"/>
      <c r="U91" s="156"/>
    </row>
    <row r="92" spans="1:21" x14ac:dyDescent="0.25">
      <c r="A92" s="156"/>
      <c r="B92" s="156"/>
      <c r="C92" s="156"/>
      <c r="D92" s="156"/>
      <c r="E92" s="156"/>
      <c r="F92" s="156"/>
      <c r="G92" s="156"/>
      <c r="H92" s="156"/>
      <c r="I92" s="156"/>
      <c r="J92" s="156"/>
      <c r="K92" s="156"/>
      <c r="L92" s="156"/>
      <c r="M92" s="156"/>
      <c r="N92" s="156"/>
      <c r="O92" s="156"/>
      <c r="P92" s="156"/>
      <c r="Q92" s="156"/>
      <c r="R92" s="156"/>
      <c r="S92" s="156"/>
      <c r="T92" s="156"/>
      <c r="U92" s="156"/>
    </row>
    <row r="93" spans="1:21" x14ac:dyDescent="0.25">
      <c r="A93" s="156"/>
      <c r="B93" s="156"/>
      <c r="C93" s="156"/>
      <c r="D93" s="156"/>
      <c r="E93" s="156"/>
      <c r="F93" s="156"/>
      <c r="G93" s="156"/>
      <c r="H93" s="156"/>
      <c r="I93" s="156"/>
      <c r="J93" s="156"/>
      <c r="K93" s="156"/>
      <c r="L93" s="156"/>
      <c r="M93" s="156"/>
      <c r="N93" s="156"/>
      <c r="O93" s="156"/>
      <c r="P93" s="156"/>
      <c r="Q93" s="156"/>
      <c r="R93" s="156"/>
      <c r="S93" s="156"/>
      <c r="T93" s="156"/>
      <c r="U93" s="156"/>
    </row>
    <row r="94" spans="1:21" x14ac:dyDescent="0.25">
      <c r="A94" s="156"/>
      <c r="B94" s="156"/>
      <c r="C94" s="156"/>
      <c r="D94" s="156"/>
      <c r="E94" s="156"/>
      <c r="F94" s="156"/>
      <c r="G94" s="156"/>
      <c r="H94" s="156"/>
      <c r="I94" s="156"/>
      <c r="J94" s="156"/>
      <c r="K94" s="156"/>
      <c r="L94" s="156"/>
      <c r="M94" s="156"/>
      <c r="N94" s="156"/>
      <c r="O94" s="156"/>
      <c r="P94" s="156"/>
      <c r="Q94" s="156"/>
      <c r="R94" s="156"/>
      <c r="S94" s="156"/>
      <c r="T94" s="156"/>
      <c r="U94" s="156"/>
    </row>
    <row r="95" spans="1:21" x14ac:dyDescent="0.25">
      <c r="A95" s="156"/>
      <c r="B95" s="156"/>
      <c r="C95" s="156"/>
      <c r="D95" s="156"/>
      <c r="E95" s="156"/>
      <c r="F95" s="156"/>
      <c r="G95" s="156"/>
      <c r="H95" s="156"/>
      <c r="I95" s="156"/>
      <c r="J95" s="156"/>
      <c r="K95" s="156"/>
      <c r="L95" s="156"/>
      <c r="M95" s="156"/>
      <c r="N95" s="156"/>
      <c r="O95" s="156"/>
      <c r="P95" s="156"/>
      <c r="Q95" s="156"/>
      <c r="R95" s="156"/>
      <c r="S95" s="156"/>
      <c r="T95" s="156"/>
      <c r="U95" s="156"/>
    </row>
    <row r="96" spans="1:21" x14ac:dyDescent="0.25">
      <c r="A96" s="156"/>
      <c r="B96" s="156"/>
      <c r="C96" s="156"/>
      <c r="D96" s="156"/>
      <c r="E96" s="156"/>
      <c r="F96" s="156"/>
      <c r="G96" s="156"/>
      <c r="H96" s="156"/>
      <c r="I96" s="156"/>
      <c r="J96" s="156"/>
      <c r="K96" s="156"/>
      <c r="L96" s="156"/>
      <c r="M96" s="156"/>
      <c r="N96" s="156"/>
      <c r="O96" s="156"/>
      <c r="P96" s="156"/>
      <c r="Q96" s="156"/>
      <c r="R96" s="156"/>
      <c r="S96" s="156"/>
      <c r="T96" s="156"/>
      <c r="U96" s="156"/>
    </row>
    <row r="97" spans="1:21" x14ac:dyDescent="0.25">
      <c r="A97" s="156"/>
      <c r="B97" s="156"/>
      <c r="C97" s="156"/>
      <c r="D97" s="156"/>
      <c r="E97" s="156"/>
      <c r="F97" s="156"/>
      <c r="G97" s="156"/>
      <c r="H97" s="156"/>
      <c r="I97" s="156"/>
      <c r="J97" s="156"/>
      <c r="K97" s="156"/>
      <c r="L97" s="156"/>
      <c r="M97" s="156"/>
      <c r="N97" s="156"/>
      <c r="O97" s="156"/>
      <c r="P97" s="156"/>
      <c r="Q97" s="156"/>
      <c r="R97" s="156"/>
      <c r="S97" s="156"/>
      <c r="T97" s="156"/>
      <c r="U97" s="156"/>
    </row>
    <row r="98" spans="1:21" x14ac:dyDescent="0.25">
      <c r="A98" s="156"/>
      <c r="B98" s="156"/>
      <c r="C98" s="156"/>
      <c r="D98" s="156"/>
      <c r="E98" s="156"/>
      <c r="F98" s="156"/>
      <c r="G98" s="156"/>
      <c r="H98" s="156"/>
      <c r="I98" s="156"/>
      <c r="J98" s="156"/>
      <c r="K98" s="156"/>
      <c r="L98" s="156"/>
      <c r="M98" s="156"/>
      <c r="N98" s="156"/>
      <c r="O98" s="156"/>
      <c r="P98" s="156"/>
      <c r="Q98" s="156"/>
      <c r="R98" s="156"/>
      <c r="S98" s="156"/>
      <c r="T98" s="156"/>
      <c r="U98" s="156"/>
    </row>
    <row r="99" spans="1:21" x14ac:dyDescent="0.25">
      <c r="A99" s="156"/>
      <c r="B99" s="156"/>
      <c r="C99" s="156"/>
      <c r="D99" s="156"/>
      <c r="E99" s="156"/>
      <c r="F99" s="156"/>
      <c r="G99" s="156"/>
      <c r="H99" s="156"/>
      <c r="I99" s="156"/>
      <c r="J99" s="156"/>
      <c r="K99" s="156"/>
      <c r="L99" s="156"/>
      <c r="M99" s="156"/>
      <c r="N99" s="156"/>
      <c r="O99" s="156"/>
      <c r="P99" s="156"/>
      <c r="Q99" s="156"/>
      <c r="R99" s="156"/>
      <c r="S99" s="156"/>
      <c r="T99" s="156"/>
      <c r="U99" s="156"/>
    </row>
    <row r="100" spans="1:21"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row>
    <row r="101" spans="1:21"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row>
    <row r="102" spans="1:21"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row>
    <row r="103" spans="1:21"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row>
    <row r="104" spans="1:21"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row>
    <row r="105" spans="1:21"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row>
    <row r="106" spans="1:21"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row>
    <row r="107" spans="1:21"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row>
    <row r="108" spans="1:21"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row>
    <row r="109" spans="1:21"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row>
    <row r="110" spans="1:21"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row>
    <row r="111" spans="1:21"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row>
    <row r="112" spans="1:21"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row>
    <row r="113" spans="1:21"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row>
    <row r="114" spans="1:21"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row>
    <row r="115" spans="1:21"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row>
    <row r="116" spans="1:21"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row>
    <row r="117" spans="1:21"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row>
    <row r="118" spans="1:21"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row>
    <row r="119" spans="1:21"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row>
    <row r="120" spans="1:21"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row>
    <row r="121" spans="1:21"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row>
    <row r="122" spans="1:21"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row>
    <row r="123" spans="1:21"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row>
    <row r="124" spans="1:21"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row>
    <row r="125" spans="1:21"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row>
    <row r="126" spans="1:21"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row>
    <row r="127" spans="1:21"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row>
    <row r="128" spans="1:21"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row>
    <row r="129" spans="1:21"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row>
    <row r="130" spans="1:21"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row>
    <row r="131" spans="1:21"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row>
    <row r="132" spans="1:21"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row>
    <row r="133" spans="1:21"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row>
    <row r="134" spans="1:21"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row>
    <row r="135" spans="1:21"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row>
    <row r="136" spans="1:21"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row>
    <row r="137" spans="1:21"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row>
    <row r="138" spans="1:21"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row>
    <row r="139" spans="1:21"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row>
    <row r="140" spans="1:21"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row>
    <row r="141" spans="1:21"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row>
    <row r="142" spans="1:21"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row>
    <row r="143" spans="1:21"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row>
    <row r="144" spans="1:21"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row>
    <row r="145" spans="1:21"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row>
    <row r="146" spans="1:21"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row>
    <row r="147" spans="1:21"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row>
    <row r="148" spans="1:21"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row>
    <row r="149" spans="1:21"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row>
    <row r="150" spans="1:21"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row>
    <row r="151" spans="1:21"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row>
    <row r="152" spans="1:21"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row>
    <row r="153" spans="1:21"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row>
    <row r="154" spans="1:21"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row>
    <row r="155" spans="1:21"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row>
    <row r="156" spans="1:21"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row>
    <row r="157" spans="1:21"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row>
    <row r="158" spans="1:21"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row>
    <row r="159" spans="1:21"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row>
    <row r="160" spans="1:21"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row>
    <row r="161" spans="1:21"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row>
    <row r="162" spans="1:21"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row>
    <row r="163" spans="1:21"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row>
    <row r="164" spans="1:21"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row>
    <row r="165" spans="1:21"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row>
    <row r="166" spans="1:21"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row>
    <row r="167" spans="1:21"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row>
    <row r="168" spans="1:21"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row>
    <row r="169" spans="1:21"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row>
    <row r="170" spans="1:21"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row>
    <row r="171" spans="1:21"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row>
    <row r="172" spans="1:21"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row>
    <row r="173" spans="1:21"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row>
    <row r="174" spans="1:21"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row>
    <row r="175" spans="1:21"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row>
    <row r="176" spans="1:21"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row>
    <row r="177" spans="1:21"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row>
    <row r="178" spans="1:21"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row>
    <row r="179" spans="1:21"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row>
    <row r="180" spans="1:21"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row>
    <row r="181" spans="1:21"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row>
    <row r="182" spans="1:21"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row>
    <row r="183" spans="1:21"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row>
    <row r="184" spans="1:21"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row>
    <row r="185" spans="1:21"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row>
    <row r="186" spans="1:21"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row>
    <row r="187" spans="1:21"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row>
    <row r="188" spans="1:21"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row>
    <row r="189" spans="1:21"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row>
    <row r="190" spans="1:21"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row>
    <row r="191" spans="1:21"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row>
    <row r="192" spans="1:21"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row>
    <row r="193" spans="1:21"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row>
    <row r="194" spans="1:21"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row>
    <row r="195" spans="1:21"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row>
    <row r="196" spans="1:21"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row>
    <row r="197" spans="1:21"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row>
    <row r="198" spans="1:21"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row>
    <row r="199" spans="1:21"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row>
    <row r="200" spans="1:21"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row>
    <row r="201" spans="1:21"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row>
    <row r="202" spans="1:21"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row>
    <row r="203" spans="1:21"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row>
    <row r="204" spans="1:21"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row>
    <row r="205" spans="1:21"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row>
    <row r="206" spans="1:21"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row>
    <row r="207" spans="1:21"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row>
    <row r="208" spans="1:21"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row>
    <row r="209" spans="1:21"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row>
    <row r="210" spans="1:21"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row>
    <row r="211" spans="1:21"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row>
    <row r="212" spans="1:21"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row>
    <row r="213" spans="1:21"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row>
    <row r="214" spans="1:21"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row>
    <row r="215" spans="1:21"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row>
    <row r="216" spans="1:21"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row>
    <row r="217" spans="1:21"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row>
    <row r="218" spans="1:21"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row>
    <row r="219" spans="1:21"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row>
    <row r="220" spans="1:21"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row>
    <row r="221" spans="1:21"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row>
    <row r="222" spans="1:21"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row>
    <row r="223" spans="1:21"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row>
    <row r="224" spans="1:21"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row>
    <row r="225" spans="1:21"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row>
    <row r="226" spans="1:21"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row>
    <row r="227" spans="1:21"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row>
    <row r="228" spans="1:21"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row>
    <row r="229" spans="1:21"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row>
    <row r="230" spans="1:21"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row>
    <row r="231" spans="1:21"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row>
    <row r="232" spans="1:21"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row>
    <row r="233" spans="1:21"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row>
    <row r="234" spans="1:21"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row>
    <row r="235" spans="1:21"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row>
    <row r="236" spans="1:21"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row>
    <row r="237" spans="1:21"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row>
    <row r="238" spans="1:21"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row>
    <row r="239" spans="1:21"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row>
    <row r="240" spans="1:21"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row>
    <row r="241" spans="1:21"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row>
    <row r="242" spans="1:21"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row>
    <row r="243" spans="1:21"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row>
    <row r="244" spans="1:21"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row>
    <row r="245" spans="1:21"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row>
    <row r="246" spans="1:21"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row>
    <row r="247" spans="1:21"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row>
    <row r="248" spans="1:21"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row>
    <row r="249" spans="1:21"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row>
    <row r="250" spans="1:21"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row>
    <row r="251" spans="1:21"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row>
    <row r="252" spans="1:21"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row>
    <row r="253" spans="1:21"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row>
    <row r="254" spans="1:21"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row>
    <row r="255" spans="1:21"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row>
    <row r="256" spans="1:21"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row>
    <row r="257" spans="1:21"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row>
    <row r="258" spans="1:21"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row>
    <row r="259" spans="1:21"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row>
    <row r="260" spans="1:21"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row>
    <row r="261" spans="1:21"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row>
    <row r="262" spans="1:21"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row>
    <row r="263" spans="1:21"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row>
    <row r="264" spans="1:21"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row>
    <row r="265" spans="1:21"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row>
    <row r="266" spans="1:21"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row>
    <row r="267" spans="1:21"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row>
    <row r="268" spans="1:21"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row>
    <row r="269" spans="1:21"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row>
    <row r="270" spans="1:21"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row>
    <row r="271" spans="1:21"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row>
    <row r="272" spans="1:21"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row>
    <row r="273" spans="1:21"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row>
    <row r="274" spans="1:21"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row>
    <row r="275" spans="1:21"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row>
    <row r="276" spans="1:21"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row>
    <row r="277" spans="1:21"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row>
    <row r="278" spans="1:21"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row>
    <row r="279" spans="1:21"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row>
    <row r="280" spans="1:21"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row>
    <row r="281" spans="1:21"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row>
    <row r="282" spans="1:21"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row>
    <row r="283" spans="1:21"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row>
    <row r="284" spans="1:21"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row>
    <row r="285" spans="1:21"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row>
    <row r="286" spans="1:21"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row>
    <row r="287" spans="1:21"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row>
    <row r="288" spans="1:21"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row>
    <row r="289" spans="1:21"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row>
    <row r="290" spans="1:21"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row>
    <row r="291" spans="1:21"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row>
    <row r="292" spans="1:21"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row>
    <row r="293" spans="1:21"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row>
    <row r="294" spans="1:21"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row>
    <row r="295" spans="1:21"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row>
    <row r="296" spans="1:21"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row>
    <row r="297" spans="1:21"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row>
    <row r="298" spans="1:21"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row>
    <row r="299" spans="1:21"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row>
    <row r="300" spans="1:21"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row>
    <row r="301" spans="1:21"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row>
    <row r="302" spans="1:21"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row>
    <row r="303" spans="1:21"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row>
    <row r="304" spans="1:21"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row>
    <row r="305" spans="1:21"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row>
    <row r="306" spans="1:21"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row>
    <row r="307" spans="1:21"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row>
    <row r="308" spans="1:21"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row>
    <row r="309" spans="1:21"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row>
    <row r="310" spans="1:21"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row>
    <row r="311" spans="1:21"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row>
    <row r="312" spans="1:21"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row>
    <row r="313" spans="1:21"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row>
    <row r="314" spans="1:21"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row>
    <row r="315" spans="1:21"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row>
    <row r="316" spans="1:21"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row>
    <row r="317" spans="1:21"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row>
    <row r="318" spans="1:21"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row>
    <row r="319" spans="1:21"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row>
    <row r="320" spans="1:21"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row>
    <row r="321" spans="1:21"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row>
    <row r="322" spans="1:21"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row>
    <row r="323" spans="1:21"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row>
    <row r="324" spans="1:21"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row>
    <row r="325" spans="1:21"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row>
    <row r="326" spans="1:21"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row>
    <row r="327" spans="1:21"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row>
    <row r="328" spans="1:21"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row>
    <row r="329" spans="1:21"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row>
    <row r="330" spans="1:21"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row>
    <row r="331" spans="1:21"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row>
    <row r="332" spans="1:21"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row>
    <row r="333" spans="1:21"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row>
    <row r="334" spans="1:21"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row>
    <row r="335" spans="1:21"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row>
    <row r="336" spans="1:21"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row>
    <row r="337" spans="1:21"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row>
    <row r="338" spans="1:21"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row>
    <row r="339" spans="1:21"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row>
    <row r="340" spans="1:21"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row>
    <row r="341" spans="1:21"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row>
    <row r="342" spans="1:21"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row>
    <row r="343" spans="1:21"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row>
    <row r="344" spans="1:21" x14ac:dyDescent="0.25">
      <c r="A344" s="156"/>
      <c r="B344" s="156"/>
      <c r="C344" s="156"/>
      <c r="D344" s="156"/>
      <c r="E344" s="156"/>
      <c r="F344" s="156"/>
      <c r="G344" s="156"/>
      <c r="H344" s="156"/>
      <c r="I344" s="156"/>
      <c r="J344" s="156"/>
      <c r="K344" s="156"/>
      <c r="L344" s="156"/>
      <c r="M344" s="156"/>
      <c r="N344" s="156"/>
      <c r="O344" s="156"/>
      <c r="P344" s="156"/>
      <c r="Q344" s="156"/>
      <c r="R344" s="156"/>
      <c r="S344" s="156"/>
      <c r="T344" s="156"/>
      <c r="U344" s="156"/>
    </row>
    <row r="345" spans="1:21" x14ac:dyDescent="0.25">
      <c r="A345" s="156"/>
      <c r="B345" s="156"/>
      <c r="C345" s="156"/>
      <c r="D345" s="156"/>
      <c r="E345" s="156"/>
      <c r="F345" s="156"/>
      <c r="G345" s="156"/>
      <c r="H345" s="156"/>
      <c r="I345" s="156"/>
      <c r="J345" s="156"/>
      <c r="K345" s="156"/>
      <c r="L345" s="156"/>
      <c r="M345" s="156"/>
      <c r="N345" s="156"/>
      <c r="O345" s="156"/>
      <c r="P345" s="156"/>
      <c r="Q345" s="156"/>
      <c r="R345" s="156"/>
      <c r="S345" s="156"/>
      <c r="T345" s="156"/>
      <c r="U345" s="156"/>
    </row>
    <row r="346" spans="1:21" x14ac:dyDescent="0.25">
      <c r="A346" s="156"/>
      <c r="B346" s="156"/>
      <c r="C346" s="156"/>
      <c r="D346" s="156"/>
      <c r="E346" s="156"/>
      <c r="F346" s="156"/>
      <c r="G346" s="156"/>
      <c r="H346" s="156"/>
      <c r="I346" s="156"/>
      <c r="J346" s="156"/>
      <c r="K346" s="156"/>
      <c r="L346" s="156"/>
      <c r="M346" s="156"/>
      <c r="N346" s="156"/>
      <c r="O346" s="156"/>
      <c r="P346" s="156"/>
      <c r="Q346" s="156"/>
      <c r="R346" s="156"/>
      <c r="S346" s="156"/>
      <c r="T346" s="156"/>
      <c r="U346" s="156"/>
    </row>
    <row r="347" spans="1:21" x14ac:dyDescent="0.25">
      <c r="A347" s="156"/>
      <c r="B347" s="156"/>
      <c r="C347" s="156"/>
      <c r="D347" s="156"/>
      <c r="E347" s="156"/>
      <c r="F347" s="156"/>
      <c r="G347" s="156"/>
      <c r="H347" s="156"/>
      <c r="I347" s="156"/>
      <c r="J347" s="156"/>
      <c r="K347" s="156"/>
      <c r="L347" s="156"/>
      <c r="M347" s="156"/>
      <c r="N347" s="156"/>
      <c r="O347" s="156"/>
      <c r="P347" s="156"/>
      <c r="Q347" s="156"/>
      <c r="R347" s="156"/>
      <c r="S347" s="156"/>
      <c r="T347" s="156"/>
      <c r="U347" s="156"/>
    </row>
    <row r="348" spans="1:21" x14ac:dyDescent="0.25">
      <c r="A348" s="156"/>
      <c r="B348" s="156"/>
      <c r="C348" s="156"/>
      <c r="D348" s="156"/>
      <c r="E348" s="156"/>
      <c r="F348" s="156"/>
      <c r="G348" s="156"/>
      <c r="H348" s="156"/>
      <c r="I348" s="156"/>
      <c r="J348" s="156"/>
      <c r="K348" s="156"/>
      <c r="L348" s="156"/>
      <c r="M348" s="156"/>
      <c r="N348" s="156"/>
      <c r="O348" s="156"/>
      <c r="P348" s="156"/>
      <c r="Q348" s="156"/>
      <c r="R348" s="156"/>
      <c r="S348" s="156"/>
      <c r="T348" s="156"/>
      <c r="U348" s="156"/>
    </row>
    <row r="349" spans="1:21" x14ac:dyDescent="0.25">
      <c r="A349" s="156"/>
      <c r="B349" s="156"/>
      <c r="C349" s="156"/>
      <c r="D349" s="156"/>
      <c r="E349" s="156"/>
      <c r="F349" s="156"/>
      <c r="G349" s="156"/>
      <c r="H349" s="156"/>
      <c r="I349" s="156"/>
      <c r="J349" s="156"/>
      <c r="K349" s="156"/>
      <c r="L349" s="156"/>
      <c r="M349" s="156"/>
      <c r="N349" s="156"/>
      <c r="O349" s="156"/>
      <c r="P349" s="156"/>
      <c r="Q349" s="156"/>
      <c r="R349" s="156"/>
      <c r="S349" s="156"/>
      <c r="T349" s="156"/>
      <c r="U349" s="156"/>
    </row>
    <row r="350" spans="1:21" x14ac:dyDescent="0.25">
      <c r="A350" s="156"/>
      <c r="B350" s="156"/>
      <c r="C350" s="156"/>
      <c r="D350" s="156"/>
      <c r="E350" s="156"/>
      <c r="F350" s="156"/>
      <c r="G350" s="156"/>
      <c r="H350" s="156"/>
      <c r="I350" s="156"/>
      <c r="J350" s="156"/>
      <c r="K350" s="156"/>
      <c r="L350" s="156"/>
      <c r="M350" s="156"/>
      <c r="N350" s="156"/>
      <c r="O350" s="156"/>
      <c r="P350" s="156"/>
      <c r="Q350" s="156"/>
      <c r="R350" s="156"/>
      <c r="S350" s="156"/>
      <c r="T350" s="156"/>
      <c r="U350" s="156"/>
    </row>
    <row r="351" spans="1:21" x14ac:dyDescent="0.25">
      <c r="A351" s="156"/>
      <c r="B351" s="156"/>
      <c r="C351" s="156"/>
      <c r="D351" s="156"/>
      <c r="E351" s="156"/>
      <c r="F351" s="156"/>
      <c r="G351" s="156"/>
      <c r="H351" s="156"/>
      <c r="I351" s="156"/>
      <c r="J351" s="156"/>
      <c r="K351" s="156"/>
      <c r="L351" s="156"/>
      <c r="M351" s="156"/>
      <c r="N351" s="156"/>
      <c r="O351" s="156"/>
      <c r="P351" s="156"/>
      <c r="Q351" s="156"/>
      <c r="R351" s="156"/>
      <c r="S351" s="156"/>
      <c r="T351" s="156"/>
      <c r="U351" s="156"/>
    </row>
    <row r="352" spans="1:21" x14ac:dyDescent="0.25">
      <c r="A352" s="156"/>
      <c r="B352" s="156"/>
      <c r="C352" s="156"/>
      <c r="D352" s="156"/>
      <c r="E352" s="156"/>
      <c r="F352" s="156"/>
      <c r="G352" s="156"/>
      <c r="H352" s="156"/>
      <c r="I352" s="156"/>
      <c r="J352" s="156"/>
      <c r="K352" s="156"/>
      <c r="L352" s="156"/>
      <c r="M352" s="156"/>
      <c r="N352" s="156"/>
      <c r="O352" s="156"/>
      <c r="P352" s="156"/>
      <c r="Q352" s="156"/>
      <c r="R352" s="156"/>
      <c r="S352" s="156"/>
      <c r="T352" s="156"/>
      <c r="U352" s="156"/>
    </row>
    <row r="353" spans="1:21" x14ac:dyDescent="0.25">
      <c r="A353" s="156"/>
      <c r="B353" s="156"/>
      <c r="C353" s="156"/>
      <c r="D353" s="156"/>
      <c r="E353" s="156"/>
      <c r="F353" s="156"/>
      <c r="G353" s="156"/>
      <c r="H353" s="156"/>
      <c r="I353" s="156"/>
      <c r="J353" s="156"/>
      <c r="K353" s="156"/>
      <c r="L353" s="156"/>
      <c r="M353" s="156"/>
      <c r="N353" s="156"/>
      <c r="O353" s="156"/>
      <c r="P353" s="156"/>
      <c r="Q353" s="156"/>
      <c r="R353" s="156"/>
      <c r="S353" s="156"/>
      <c r="T353" s="156"/>
      <c r="U353" s="156"/>
    </row>
    <row r="354" spans="1:21" x14ac:dyDescent="0.25">
      <c r="A354" s="156"/>
      <c r="B354" s="156"/>
      <c r="C354" s="156"/>
      <c r="D354" s="156"/>
      <c r="E354" s="156"/>
      <c r="F354" s="156"/>
      <c r="G354" s="156"/>
      <c r="H354" s="156"/>
      <c r="I354" s="156"/>
      <c r="J354" s="156"/>
      <c r="K354" s="156"/>
      <c r="L354" s="156"/>
      <c r="M354" s="156"/>
      <c r="N354" s="156"/>
      <c r="O354" s="156"/>
      <c r="P354" s="156"/>
      <c r="Q354" s="156"/>
      <c r="R354" s="156"/>
      <c r="S354" s="156"/>
      <c r="T354" s="156"/>
      <c r="U354" s="156"/>
    </row>
    <row r="355" spans="1:21" x14ac:dyDescent="0.25">
      <c r="A355" s="156"/>
      <c r="B355" s="156"/>
      <c r="C355" s="156"/>
      <c r="D355" s="156"/>
      <c r="E355" s="156"/>
      <c r="F355" s="156"/>
      <c r="G355" s="156"/>
      <c r="H355" s="156"/>
      <c r="I355" s="156"/>
      <c r="J355" s="156"/>
      <c r="K355" s="156"/>
      <c r="L355" s="156"/>
      <c r="M355" s="156"/>
      <c r="N355" s="156"/>
      <c r="O355" s="156"/>
      <c r="P355" s="156"/>
      <c r="Q355" s="156"/>
      <c r="R355" s="156"/>
      <c r="S355" s="156"/>
      <c r="T355" s="156"/>
      <c r="U355" s="156"/>
    </row>
    <row r="356" spans="1:21" x14ac:dyDescent="0.25">
      <c r="A356" s="156"/>
      <c r="B356" s="156"/>
      <c r="C356" s="156"/>
      <c r="D356" s="156"/>
      <c r="E356" s="156"/>
      <c r="F356" s="156"/>
      <c r="G356" s="156"/>
      <c r="H356" s="156"/>
      <c r="I356" s="156"/>
      <c r="J356" s="156"/>
      <c r="K356" s="156"/>
      <c r="L356" s="156"/>
      <c r="M356" s="156"/>
      <c r="N356" s="156"/>
      <c r="O356" s="156"/>
      <c r="P356" s="156"/>
      <c r="Q356" s="156"/>
      <c r="R356" s="156"/>
      <c r="S356" s="156"/>
      <c r="T356" s="156"/>
      <c r="U356" s="156"/>
    </row>
    <row r="357" spans="1:21" x14ac:dyDescent="0.25">
      <c r="A357" s="156"/>
      <c r="B357" s="156"/>
      <c r="C357" s="156"/>
      <c r="D357" s="156"/>
      <c r="E357" s="156"/>
      <c r="F357" s="156"/>
      <c r="G357" s="156"/>
      <c r="H357" s="156"/>
      <c r="I357" s="156"/>
      <c r="J357" s="156"/>
      <c r="K357" s="156"/>
      <c r="L357" s="156"/>
      <c r="M357" s="156"/>
      <c r="N357" s="156"/>
      <c r="O357" s="156"/>
      <c r="P357" s="156"/>
      <c r="Q357" s="156"/>
      <c r="R357" s="156"/>
      <c r="S357" s="156"/>
      <c r="T357" s="156"/>
      <c r="U357" s="156"/>
    </row>
    <row r="358" spans="1:21" x14ac:dyDescent="0.25">
      <c r="A358" s="156"/>
      <c r="B358" s="156"/>
      <c r="C358" s="156"/>
      <c r="D358" s="156"/>
      <c r="E358" s="156"/>
      <c r="F358" s="156"/>
      <c r="G358" s="156"/>
      <c r="H358" s="156"/>
      <c r="I358" s="156"/>
      <c r="J358" s="156"/>
      <c r="K358" s="156"/>
      <c r="L358" s="156"/>
      <c r="M358" s="156"/>
      <c r="N358" s="156"/>
      <c r="O358" s="156"/>
      <c r="P358" s="156"/>
      <c r="Q358" s="156"/>
      <c r="R358" s="156"/>
      <c r="S358" s="156"/>
      <c r="T358" s="156"/>
      <c r="U358" s="156"/>
    </row>
    <row r="359" spans="1:21" x14ac:dyDescent="0.25">
      <c r="A359" s="156"/>
      <c r="B359" s="156"/>
      <c r="C359" s="156"/>
      <c r="D359" s="156"/>
      <c r="E359" s="156"/>
      <c r="F359" s="156"/>
      <c r="G359" s="156"/>
      <c r="H359" s="156"/>
      <c r="I359" s="156"/>
      <c r="J359" s="156"/>
      <c r="K359" s="156"/>
      <c r="L359" s="156"/>
      <c r="M359" s="156"/>
      <c r="N359" s="156"/>
      <c r="O359" s="156"/>
      <c r="P359" s="156"/>
      <c r="Q359" s="156"/>
      <c r="R359" s="156"/>
      <c r="S359" s="156"/>
      <c r="T359" s="156"/>
      <c r="U359" s="156"/>
    </row>
    <row r="360" spans="1:21" x14ac:dyDescent="0.25">
      <c r="A360" s="156"/>
      <c r="B360" s="156"/>
      <c r="C360" s="156"/>
      <c r="D360" s="156"/>
      <c r="E360" s="156"/>
      <c r="F360" s="156"/>
      <c r="G360" s="156"/>
      <c r="H360" s="156"/>
      <c r="I360" s="156"/>
      <c r="J360" s="156"/>
      <c r="K360" s="156"/>
      <c r="L360" s="156"/>
      <c r="M360" s="156"/>
      <c r="N360" s="156"/>
      <c r="O360" s="156"/>
      <c r="P360" s="156"/>
      <c r="Q360" s="156"/>
      <c r="R360" s="156"/>
      <c r="S360" s="156"/>
      <c r="T360" s="156"/>
      <c r="U360" s="156"/>
    </row>
    <row r="361" spans="1:21" x14ac:dyDescent="0.25">
      <c r="A361" s="156"/>
      <c r="B361" s="156"/>
      <c r="C361" s="156"/>
      <c r="D361" s="156"/>
      <c r="E361" s="156"/>
      <c r="F361" s="156"/>
      <c r="G361" s="156"/>
      <c r="H361" s="156"/>
      <c r="I361" s="156"/>
      <c r="J361" s="156"/>
      <c r="K361" s="156"/>
      <c r="L361" s="156"/>
      <c r="M361" s="156"/>
      <c r="N361" s="156"/>
      <c r="O361" s="156"/>
      <c r="P361" s="156"/>
      <c r="Q361" s="156"/>
      <c r="R361" s="156"/>
      <c r="S361" s="156"/>
      <c r="T361" s="156"/>
      <c r="U361" s="156"/>
    </row>
    <row r="362" spans="1:21" x14ac:dyDescent="0.25">
      <c r="A362" s="156"/>
      <c r="B362" s="156"/>
      <c r="C362" s="156"/>
      <c r="D362" s="156"/>
      <c r="E362" s="156"/>
      <c r="F362" s="156"/>
      <c r="G362" s="156"/>
      <c r="H362" s="156"/>
      <c r="I362" s="156"/>
      <c r="J362" s="156"/>
      <c r="K362" s="156"/>
      <c r="L362" s="156"/>
      <c r="M362" s="156"/>
      <c r="N362" s="156"/>
      <c r="O362" s="156"/>
      <c r="P362" s="156"/>
      <c r="Q362" s="156"/>
      <c r="R362" s="156"/>
      <c r="S362" s="156"/>
      <c r="T362" s="156"/>
      <c r="U362" s="156"/>
    </row>
    <row r="363" spans="1:21" x14ac:dyDescent="0.25">
      <c r="A363" s="156"/>
      <c r="B363" s="156"/>
      <c r="C363" s="156"/>
      <c r="D363" s="156"/>
      <c r="E363" s="156"/>
      <c r="F363" s="156"/>
      <c r="G363" s="156"/>
      <c r="H363" s="156"/>
      <c r="I363" s="156"/>
      <c r="J363" s="156"/>
      <c r="K363" s="156"/>
      <c r="L363" s="156"/>
      <c r="M363" s="156"/>
      <c r="N363" s="156"/>
      <c r="O363" s="156"/>
      <c r="P363" s="156"/>
      <c r="Q363" s="156"/>
      <c r="R363" s="156"/>
      <c r="S363" s="156"/>
      <c r="T363" s="156"/>
      <c r="U363" s="156"/>
    </row>
    <row r="364" spans="1:21" x14ac:dyDescent="0.25">
      <c r="A364" s="156"/>
      <c r="B364" s="156"/>
      <c r="C364" s="156"/>
      <c r="D364" s="156"/>
      <c r="E364" s="156"/>
      <c r="F364" s="156"/>
      <c r="G364" s="156"/>
      <c r="H364" s="156"/>
      <c r="I364" s="156"/>
      <c r="J364" s="156"/>
      <c r="K364" s="156"/>
      <c r="L364" s="156"/>
      <c r="M364" s="156"/>
      <c r="N364" s="156"/>
      <c r="O364" s="156"/>
      <c r="P364" s="156"/>
      <c r="Q364" s="156"/>
      <c r="R364" s="156"/>
      <c r="S364" s="156"/>
      <c r="T364" s="156"/>
      <c r="U364" s="156"/>
    </row>
    <row r="365" spans="1:21" x14ac:dyDescent="0.25">
      <c r="A365" s="156"/>
      <c r="B365" s="156"/>
      <c r="C365" s="156"/>
      <c r="D365" s="156"/>
      <c r="E365" s="156"/>
      <c r="F365" s="156"/>
      <c r="G365" s="156"/>
      <c r="H365" s="156"/>
      <c r="I365" s="156"/>
      <c r="J365" s="156"/>
      <c r="K365" s="156"/>
      <c r="L365" s="156"/>
      <c r="M365" s="156"/>
      <c r="N365" s="156"/>
      <c r="O365" s="156"/>
      <c r="P365" s="156"/>
      <c r="Q365" s="156"/>
      <c r="R365" s="156"/>
      <c r="S365" s="156"/>
      <c r="T365" s="156"/>
      <c r="U365" s="156"/>
    </row>
    <row r="366" spans="1:21" x14ac:dyDescent="0.25">
      <c r="A366" s="156"/>
      <c r="B366" s="156"/>
      <c r="C366" s="156"/>
      <c r="D366" s="156"/>
      <c r="E366" s="156"/>
      <c r="F366" s="156"/>
      <c r="G366" s="156"/>
      <c r="H366" s="156"/>
      <c r="I366" s="156"/>
      <c r="J366" s="156"/>
      <c r="K366" s="156"/>
      <c r="L366" s="156"/>
      <c r="M366" s="156"/>
      <c r="N366" s="156"/>
      <c r="O366" s="156"/>
      <c r="P366" s="156"/>
      <c r="Q366" s="156"/>
      <c r="R366" s="156"/>
      <c r="S366" s="156"/>
      <c r="T366" s="156"/>
      <c r="U366" s="156"/>
    </row>
    <row r="367" spans="1:21" x14ac:dyDescent="0.25">
      <c r="A367" s="156"/>
      <c r="B367" s="156"/>
      <c r="C367" s="156"/>
      <c r="D367" s="156"/>
      <c r="E367" s="156"/>
      <c r="F367" s="156"/>
      <c r="G367" s="156"/>
      <c r="H367" s="156"/>
      <c r="I367" s="156"/>
      <c r="J367" s="156"/>
      <c r="K367" s="156"/>
      <c r="L367" s="156"/>
      <c r="M367" s="156"/>
      <c r="N367" s="156"/>
      <c r="O367" s="156"/>
      <c r="P367" s="156"/>
      <c r="Q367" s="156"/>
      <c r="R367" s="156"/>
      <c r="S367" s="156"/>
      <c r="T367" s="156"/>
      <c r="U367" s="156"/>
    </row>
    <row r="368" spans="1:21" x14ac:dyDescent="0.25">
      <c r="A368" s="156"/>
      <c r="B368" s="156"/>
      <c r="C368" s="156"/>
      <c r="D368" s="156"/>
      <c r="E368" s="156"/>
      <c r="F368" s="156"/>
      <c r="G368" s="156"/>
      <c r="H368" s="156"/>
      <c r="I368" s="156"/>
      <c r="J368" s="156"/>
      <c r="K368" s="156"/>
      <c r="L368" s="156"/>
      <c r="M368" s="156"/>
      <c r="N368" s="156"/>
      <c r="O368" s="156"/>
      <c r="P368" s="156"/>
      <c r="Q368" s="156"/>
      <c r="R368" s="156"/>
      <c r="S368" s="156"/>
      <c r="T368" s="156"/>
      <c r="U368" s="156"/>
    </row>
    <row r="369" spans="1:21" x14ac:dyDescent="0.25">
      <c r="A369" s="156"/>
      <c r="B369" s="156"/>
      <c r="C369" s="156"/>
      <c r="D369" s="156"/>
      <c r="E369" s="156"/>
      <c r="F369" s="156"/>
      <c r="G369" s="156"/>
      <c r="H369" s="156"/>
      <c r="I369" s="156"/>
      <c r="J369" s="156"/>
      <c r="K369" s="156"/>
      <c r="L369" s="156"/>
      <c r="M369" s="156"/>
      <c r="N369" s="156"/>
      <c r="O369" s="156"/>
      <c r="P369" s="156"/>
      <c r="Q369" s="156"/>
      <c r="R369" s="156"/>
      <c r="S369" s="156"/>
      <c r="T369" s="156"/>
      <c r="U369" s="156"/>
    </row>
    <row r="370" spans="1:21" x14ac:dyDescent="0.25">
      <c r="A370" s="156"/>
      <c r="B370" s="156"/>
      <c r="C370" s="156"/>
      <c r="D370" s="156"/>
      <c r="E370" s="156"/>
      <c r="F370" s="156"/>
      <c r="G370" s="156"/>
      <c r="H370" s="156"/>
      <c r="I370" s="156"/>
      <c r="J370" s="156"/>
      <c r="K370" s="156"/>
      <c r="L370" s="156"/>
      <c r="M370" s="156"/>
      <c r="N370" s="156"/>
      <c r="O370" s="156"/>
      <c r="P370" s="156"/>
      <c r="Q370" s="156"/>
      <c r="R370" s="156"/>
      <c r="S370" s="156"/>
      <c r="T370" s="156"/>
      <c r="U370" s="156"/>
    </row>
    <row r="371" spans="1:21" x14ac:dyDescent="0.25">
      <c r="A371" s="156"/>
      <c r="B371" s="156"/>
      <c r="C371" s="156"/>
      <c r="D371" s="156"/>
      <c r="E371" s="156"/>
      <c r="F371" s="156"/>
      <c r="G371" s="156"/>
      <c r="H371" s="156"/>
      <c r="I371" s="156"/>
      <c r="J371" s="156"/>
      <c r="K371" s="156"/>
      <c r="L371" s="156"/>
      <c r="M371" s="156"/>
      <c r="N371" s="156"/>
      <c r="O371" s="156"/>
      <c r="P371" s="156"/>
      <c r="Q371" s="156"/>
      <c r="R371" s="156"/>
      <c r="S371" s="156"/>
      <c r="T371" s="156"/>
      <c r="U371" s="156"/>
    </row>
    <row r="372" spans="1:21" x14ac:dyDescent="0.25">
      <c r="A372" s="156"/>
      <c r="B372" s="156"/>
      <c r="C372" s="156"/>
      <c r="D372" s="156"/>
      <c r="E372" s="156"/>
      <c r="F372" s="156"/>
      <c r="G372" s="156"/>
      <c r="H372" s="156"/>
      <c r="I372" s="156"/>
      <c r="J372" s="156"/>
      <c r="K372" s="156"/>
      <c r="L372" s="156"/>
      <c r="M372" s="156"/>
      <c r="N372" s="156"/>
      <c r="O372" s="156"/>
      <c r="P372" s="156"/>
      <c r="Q372" s="156"/>
      <c r="R372" s="156"/>
      <c r="S372" s="156"/>
      <c r="T372" s="156"/>
      <c r="U372" s="156"/>
    </row>
    <row r="373" spans="1:21" x14ac:dyDescent="0.25">
      <c r="A373" s="156"/>
      <c r="B373" s="156"/>
      <c r="C373" s="156"/>
      <c r="D373" s="156"/>
      <c r="E373" s="156"/>
      <c r="F373" s="156"/>
      <c r="G373" s="156"/>
      <c r="H373" s="156"/>
      <c r="I373" s="156"/>
      <c r="J373" s="156"/>
      <c r="K373" s="156"/>
      <c r="L373" s="156"/>
      <c r="M373" s="156"/>
      <c r="N373" s="156"/>
      <c r="O373" s="156"/>
      <c r="P373" s="156"/>
      <c r="Q373" s="156"/>
      <c r="R373" s="156"/>
      <c r="S373" s="156"/>
      <c r="T373" s="156"/>
      <c r="U373" s="156"/>
    </row>
    <row r="374" spans="1:21" x14ac:dyDescent="0.25">
      <c r="A374" s="156"/>
      <c r="B374" s="156"/>
      <c r="C374" s="156"/>
      <c r="D374" s="156"/>
      <c r="E374" s="156"/>
      <c r="F374" s="156"/>
      <c r="G374" s="156"/>
      <c r="H374" s="156"/>
      <c r="I374" s="156"/>
      <c r="J374" s="156"/>
      <c r="K374" s="156"/>
      <c r="L374" s="156"/>
      <c r="M374" s="156"/>
      <c r="N374" s="156"/>
      <c r="O374" s="156"/>
      <c r="P374" s="156"/>
      <c r="Q374" s="156"/>
      <c r="R374" s="156"/>
      <c r="S374" s="156"/>
      <c r="T374" s="156"/>
      <c r="U374" s="156"/>
    </row>
    <row r="375" spans="1:21" x14ac:dyDescent="0.25">
      <c r="A375" s="156"/>
      <c r="B375" s="156"/>
      <c r="C375" s="156"/>
      <c r="D375" s="156"/>
      <c r="E375" s="156"/>
      <c r="F375" s="156"/>
      <c r="G375" s="156"/>
      <c r="H375" s="156"/>
      <c r="I375" s="156"/>
      <c r="J375" s="156"/>
      <c r="K375" s="156"/>
      <c r="L375" s="156"/>
      <c r="M375" s="156"/>
      <c r="N375" s="156"/>
      <c r="O375" s="156"/>
      <c r="P375" s="156"/>
      <c r="Q375" s="156"/>
      <c r="R375" s="156"/>
      <c r="S375" s="156"/>
      <c r="T375" s="156"/>
      <c r="U375" s="156"/>
    </row>
    <row r="376" spans="1:21" x14ac:dyDescent="0.25">
      <c r="A376" s="156"/>
      <c r="B376" s="156"/>
      <c r="C376" s="156"/>
      <c r="D376" s="156"/>
      <c r="E376" s="156"/>
      <c r="F376" s="156"/>
      <c r="G376" s="156"/>
      <c r="H376" s="156"/>
      <c r="I376" s="156"/>
      <c r="J376" s="156"/>
      <c r="K376" s="156"/>
      <c r="L376" s="156"/>
      <c r="M376" s="156"/>
      <c r="N376" s="156"/>
      <c r="O376" s="156"/>
      <c r="P376" s="156"/>
      <c r="Q376" s="156"/>
      <c r="R376" s="156"/>
      <c r="S376" s="156"/>
      <c r="T376" s="156"/>
      <c r="U376" s="156"/>
    </row>
    <row r="377" spans="1:21" x14ac:dyDescent="0.25">
      <c r="A377" s="156"/>
      <c r="B377" s="156"/>
      <c r="C377" s="156"/>
      <c r="D377" s="156"/>
      <c r="E377" s="156"/>
      <c r="F377" s="156"/>
      <c r="G377" s="156"/>
      <c r="H377" s="156"/>
      <c r="I377" s="156"/>
      <c r="J377" s="156"/>
      <c r="K377" s="156"/>
      <c r="L377" s="156"/>
      <c r="M377" s="156"/>
      <c r="N377" s="156"/>
      <c r="O377" s="156"/>
      <c r="P377" s="156"/>
      <c r="Q377" s="156"/>
      <c r="R377" s="156"/>
      <c r="S377" s="156"/>
      <c r="T377" s="156"/>
      <c r="U377" s="156"/>
    </row>
    <row r="378" spans="1:21" x14ac:dyDescent="0.25">
      <c r="A378" s="156"/>
      <c r="B378" s="156"/>
      <c r="C378" s="156"/>
      <c r="D378" s="156"/>
      <c r="E378" s="156"/>
      <c r="F378" s="156"/>
      <c r="G378" s="156"/>
      <c r="H378" s="156"/>
      <c r="I378" s="156"/>
      <c r="J378" s="156"/>
      <c r="K378" s="156"/>
      <c r="L378" s="156"/>
      <c r="M378" s="156"/>
      <c r="N378" s="156"/>
      <c r="O378" s="156"/>
      <c r="P378" s="156"/>
      <c r="Q378" s="156"/>
      <c r="R378" s="156"/>
      <c r="S378" s="156"/>
      <c r="T378" s="156"/>
      <c r="U378" s="156"/>
    </row>
    <row r="379" spans="1:21" x14ac:dyDescent="0.25">
      <c r="A379" s="156"/>
      <c r="B379" s="156"/>
      <c r="C379" s="156"/>
      <c r="D379" s="156"/>
      <c r="E379" s="156"/>
      <c r="F379" s="156"/>
      <c r="G379" s="156"/>
      <c r="H379" s="156"/>
      <c r="I379" s="156"/>
      <c r="J379" s="156"/>
      <c r="K379" s="156"/>
      <c r="L379" s="156"/>
      <c r="M379" s="156"/>
      <c r="N379" s="156"/>
      <c r="O379" s="156"/>
      <c r="P379" s="156"/>
      <c r="Q379" s="156"/>
      <c r="R379" s="156"/>
      <c r="S379" s="156"/>
      <c r="T379" s="156"/>
      <c r="U379" s="156"/>
    </row>
    <row r="380" spans="1:21" x14ac:dyDescent="0.25">
      <c r="A380" s="156"/>
      <c r="B380" s="156"/>
      <c r="C380" s="156"/>
      <c r="D380" s="156"/>
      <c r="E380" s="156"/>
      <c r="F380" s="156"/>
      <c r="G380" s="156"/>
      <c r="H380" s="156"/>
      <c r="I380" s="156"/>
      <c r="J380" s="156"/>
      <c r="K380" s="156"/>
      <c r="L380" s="156"/>
      <c r="M380" s="156"/>
      <c r="N380" s="156"/>
      <c r="O380" s="156"/>
      <c r="P380" s="156"/>
      <c r="Q380" s="156"/>
      <c r="R380" s="156"/>
      <c r="S380" s="156"/>
      <c r="T380" s="156"/>
      <c r="U380" s="156"/>
    </row>
    <row r="381" spans="1:21" x14ac:dyDescent="0.25">
      <c r="A381" s="156"/>
      <c r="B381" s="156"/>
      <c r="C381" s="156"/>
      <c r="D381" s="156"/>
      <c r="E381" s="156"/>
      <c r="F381" s="156"/>
      <c r="G381" s="156"/>
      <c r="H381" s="156"/>
      <c r="I381" s="156"/>
      <c r="J381" s="156"/>
      <c r="K381" s="156"/>
      <c r="L381" s="156"/>
      <c r="M381" s="156"/>
      <c r="N381" s="156"/>
      <c r="O381" s="156"/>
      <c r="P381" s="156"/>
      <c r="Q381" s="156"/>
      <c r="R381" s="156"/>
      <c r="S381" s="156"/>
      <c r="T381" s="156"/>
      <c r="U381" s="156"/>
    </row>
    <row r="382" spans="1:21" x14ac:dyDescent="0.25">
      <c r="A382" s="156"/>
      <c r="B382" s="156"/>
      <c r="C382" s="156"/>
      <c r="D382" s="156"/>
      <c r="E382" s="156"/>
      <c r="F382" s="156"/>
      <c r="G382" s="156"/>
      <c r="H382" s="156"/>
      <c r="I382" s="156"/>
      <c r="J382" s="156"/>
      <c r="K382" s="156"/>
      <c r="L382" s="156"/>
      <c r="M382" s="156"/>
      <c r="N382" s="156"/>
      <c r="O382" s="156"/>
      <c r="P382" s="156"/>
      <c r="Q382" s="156"/>
      <c r="R382" s="156"/>
      <c r="S382" s="156"/>
      <c r="T382" s="156"/>
      <c r="U382" s="15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64" customWidth="1"/>
    <col min="2" max="2" width="30.140625" style="164" customWidth="1"/>
    <col min="3" max="3" width="12.28515625" style="164" customWidth="1"/>
    <col min="4" max="5" width="15" style="164" customWidth="1"/>
    <col min="6" max="7" width="13.28515625" style="164" customWidth="1"/>
    <col min="8" max="8" width="12.28515625" style="164" customWidth="1"/>
    <col min="9" max="9" width="17.85546875" style="164" customWidth="1"/>
    <col min="10" max="10" width="16.7109375" style="164" customWidth="1"/>
    <col min="11" max="11" width="24.5703125" style="164" customWidth="1"/>
    <col min="12" max="12" width="30.85546875" style="164" customWidth="1"/>
    <col min="13" max="13" width="27.140625" style="164" customWidth="1"/>
    <col min="14" max="14" width="32.42578125" style="164" customWidth="1"/>
    <col min="15" max="15" width="13.28515625" style="164" customWidth="1"/>
    <col min="16" max="16" width="8.7109375" style="164" customWidth="1"/>
    <col min="17" max="17" width="12.7109375" style="164" customWidth="1"/>
    <col min="18" max="18" width="9.140625" style="164"/>
    <col min="19" max="19" width="17" style="164" customWidth="1"/>
    <col min="20" max="21" width="12" style="164" customWidth="1"/>
    <col min="22" max="22" width="11" style="164" customWidth="1"/>
    <col min="23" max="25" width="17.7109375" style="164" customWidth="1"/>
    <col min="26" max="26" width="46.5703125" style="164" customWidth="1"/>
    <col min="27" max="28" width="12.28515625" style="164" customWidth="1"/>
    <col min="29" max="16384" width="9.140625" style="164"/>
  </cols>
  <sheetData>
    <row r="1" spans="1:28" ht="18.75" x14ac:dyDescent="0.25">
      <c r="Z1" s="29" t="s">
        <v>66</v>
      </c>
    </row>
    <row r="2" spans="1:28" ht="18.75" x14ac:dyDescent="0.3">
      <c r="Z2" s="14" t="s">
        <v>8</v>
      </c>
    </row>
    <row r="3" spans="1:28" ht="18.75" x14ac:dyDescent="0.3">
      <c r="Z3" s="14" t="s">
        <v>65</v>
      </c>
    </row>
    <row r="4" spans="1:28"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6" spans="1:28" ht="18.75" x14ac:dyDescent="0.25">
      <c r="A6" s="417" t="s">
        <v>7</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143"/>
      <c r="AB6" s="143"/>
    </row>
    <row r="7" spans="1:28" ht="18.75" x14ac:dyDescent="0.25">
      <c r="A7" s="417"/>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143"/>
      <c r="AB7" s="143"/>
    </row>
    <row r="8" spans="1:28" ht="15.75" x14ac:dyDescent="0.25">
      <c r="A8" s="415" t="str">
        <f>'1. паспорт местоположение'!A9:C9</f>
        <v xml:space="preserve">Акционерное общество "Западная энергетическая компания" </v>
      </c>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145"/>
      <c r="AB8" s="145"/>
    </row>
    <row r="9" spans="1:28" ht="15.75" x14ac:dyDescent="0.25">
      <c r="A9" s="421" t="s">
        <v>6</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146"/>
      <c r="AB9" s="146"/>
    </row>
    <row r="10" spans="1:28" ht="18.75" x14ac:dyDescent="0.25">
      <c r="A10" s="417"/>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143"/>
      <c r="AB10" s="143"/>
    </row>
    <row r="11" spans="1:28" ht="15.75" x14ac:dyDescent="0.25">
      <c r="A11" s="415" t="str">
        <f>'1. паспорт местоположение'!A12:C12</f>
        <v>J 19-02</v>
      </c>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c r="Z11" s="415"/>
      <c r="AA11" s="145"/>
      <c r="AB11" s="145"/>
    </row>
    <row r="12" spans="1:28" ht="15.75" x14ac:dyDescent="0.25">
      <c r="A12" s="421" t="s">
        <v>5</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146"/>
      <c r="AB12" s="146"/>
    </row>
    <row r="13" spans="1:28" ht="18.75" x14ac:dyDescent="0.2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165"/>
      <c r="AB13" s="165"/>
    </row>
    <row r="14" spans="1:28" ht="15.75" x14ac:dyDescent="0.25">
      <c r="A14" s="415"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c r="AA14" s="145"/>
      <c r="AB14" s="145"/>
    </row>
    <row r="15" spans="1:28" ht="15.75" x14ac:dyDescent="0.25">
      <c r="A15" s="421" t="s">
        <v>4</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146"/>
      <c r="AB15" s="146"/>
    </row>
    <row r="16" spans="1:28" x14ac:dyDescent="0.25">
      <c r="A16" s="459"/>
      <c r="B16" s="459"/>
      <c r="C16" s="459"/>
      <c r="D16" s="459"/>
      <c r="E16" s="459"/>
      <c r="F16" s="459"/>
      <c r="G16" s="459"/>
      <c r="H16" s="459"/>
      <c r="I16" s="459"/>
      <c r="J16" s="459"/>
      <c r="K16" s="459"/>
      <c r="L16" s="459"/>
      <c r="M16" s="459"/>
      <c r="N16" s="459"/>
      <c r="O16" s="459"/>
      <c r="P16" s="459"/>
      <c r="Q16" s="459"/>
      <c r="R16" s="459"/>
      <c r="S16" s="459"/>
      <c r="T16" s="459"/>
      <c r="U16" s="459"/>
      <c r="V16" s="459"/>
      <c r="W16" s="459"/>
      <c r="X16" s="459"/>
      <c r="Y16" s="459"/>
      <c r="Z16" s="459"/>
      <c r="AA16" s="166"/>
      <c r="AB16" s="166"/>
    </row>
    <row r="17" spans="1:28" x14ac:dyDescent="0.25">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166"/>
      <c r="AB17" s="166"/>
    </row>
    <row r="18" spans="1:28" x14ac:dyDescent="0.25">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166"/>
      <c r="AB18" s="166"/>
    </row>
    <row r="19" spans="1:28" x14ac:dyDescent="0.25">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166"/>
      <c r="AB19" s="166"/>
    </row>
    <row r="20" spans="1:28"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167"/>
      <c r="AB20" s="167"/>
    </row>
    <row r="21" spans="1:28" x14ac:dyDescent="0.25">
      <c r="A21" s="453"/>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167"/>
      <c r="AB21" s="167"/>
    </row>
    <row r="22" spans="1:28" x14ac:dyDescent="0.25">
      <c r="A22" s="454" t="s">
        <v>411</v>
      </c>
      <c r="B22" s="454"/>
      <c r="C22" s="454"/>
      <c r="D22" s="454"/>
      <c r="E22" s="454"/>
      <c r="F22" s="454"/>
      <c r="G22" s="454"/>
      <c r="H22" s="454"/>
      <c r="I22" s="454"/>
      <c r="J22" s="454"/>
      <c r="K22" s="454"/>
      <c r="L22" s="454"/>
      <c r="M22" s="454"/>
      <c r="N22" s="454"/>
      <c r="O22" s="454"/>
      <c r="P22" s="454"/>
      <c r="Q22" s="454"/>
      <c r="R22" s="454"/>
      <c r="S22" s="454"/>
      <c r="T22" s="454"/>
      <c r="U22" s="454"/>
      <c r="V22" s="454"/>
      <c r="W22" s="454"/>
      <c r="X22" s="454"/>
      <c r="Y22" s="454"/>
      <c r="Z22" s="454"/>
      <c r="AA22" s="168"/>
      <c r="AB22" s="168"/>
    </row>
    <row r="23" spans="1:28" ht="32.25" customHeight="1" x14ac:dyDescent="0.25">
      <c r="A23" s="456" t="s">
        <v>295</v>
      </c>
      <c r="B23" s="457"/>
      <c r="C23" s="457"/>
      <c r="D23" s="457"/>
      <c r="E23" s="457"/>
      <c r="F23" s="457"/>
      <c r="G23" s="457"/>
      <c r="H23" s="457"/>
      <c r="I23" s="457"/>
      <c r="J23" s="457"/>
      <c r="K23" s="457"/>
      <c r="L23" s="458"/>
      <c r="M23" s="455" t="s">
        <v>296</v>
      </c>
      <c r="N23" s="455"/>
      <c r="O23" s="455"/>
      <c r="P23" s="455"/>
      <c r="Q23" s="455"/>
      <c r="R23" s="455"/>
      <c r="S23" s="455"/>
      <c r="T23" s="455"/>
      <c r="U23" s="455"/>
      <c r="V23" s="455"/>
      <c r="W23" s="455"/>
      <c r="X23" s="455"/>
      <c r="Y23" s="455"/>
      <c r="Z23" s="455"/>
    </row>
    <row r="24" spans="1:28" ht="151.5" customHeight="1" x14ac:dyDescent="0.25">
      <c r="A24" s="169" t="s">
        <v>210</v>
      </c>
      <c r="B24" s="170" t="s">
        <v>230</v>
      </c>
      <c r="C24" s="169" t="s">
        <v>293</v>
      </c>
      <c r="D24" s="169" t="s">
        <v>211</v>
      </c>
      <c r="E24" s="169" t="s">
        <v>294</v>
      </c>
      <c r="F24" s="169" t="s">
        <v>446</v>
      </c>
      <c r="G24" s="169" t="s">
        <v>447</v>
      </c>
      <c r="H24" s="169" t="s">
        <v>212</v>
      </c>
      <c r="I24" s="169" t="s">
        <v>448</v>
      </c>
      <c r="J24" s="169" t="s">
        <v>235</v>
      </c>
      <c r="K24" s="170" t="s">
        <v>229</v>
      </c>
      <c r="L24" s="170" t="s">
        <v>213</v>
      </c>
      <c r="M24" s="171" t="s">
        <v>242</v>
      </c>
      <c r="N24" s="170" t="s">
        <v>449</v>
      </c>
      <c r="O24" s="169" t="s">
        <v>450</v>
      </c>
      <c r="P24" s="169" t="s">
        <v>451</v>
      </c>
      <c r="Q24" s="169" t="s">
        <v>452</v>
      </c>
      <c r="R24" s="169" t="s">
        <v>212</v>
      </c>
      <c r="S24" s="169" t="s">
        <v>453</v>
      </c>
      <c r="T24" s="169" t="s">
        <v>454</v>
      </c>
      <c r="U24" s="169" t="s">
        <v>455</v>
      </c>
      <c r="V24" s="169" t="s">
        <v>452</v>
      </c>
      <c r="W24" s="172" t="s">
        <v>456</v>
      </c>
      <c r="X24" s="172" t="s">
        <v>457</v>
      </c>
      <c r="Y24" s="172" t="s">
        <v>458</v>
      </c>
      <c r="Z24" s="173" t="s">
        <v>247</v>
      </c>
    </row>
    <row r="25" spans="1:28" ht="16.5" customHeight="1" x14ac:dyDescent="0.25">
      <c r="A25" s="169">
        <v>1</v>
      </c>
      <c r="B25" s="170">
        <v>2</v>
      </c>
      <c r="C25" s="169">
        <v>3</v>
      </c>
      <c r="D25" s="170">
        <v>4</v>
      </c>
      <c r="E25" s="169">
        <v>5</v>
      </c>
      <c r="F25" s="170">
        <v>6</v>
      </c>
      <c r="G25" s="169">
        <v>7</v>
      </c>
      <c r="H25" s="170">
        <v>8</v>
      </c>
      <c r="I25" s="169">
        <v>9</v>
      </c>
      <c r="J25" s="170">
        <v>10</v>
      </c>
      <c r="K25" s="169">
        <v>11</v>
      </c>
      <c r="L25" s="170">
        <v>12</v>
      </c>
      <c r="M25" s="169">
        <v>13</v>
      </c>
      <c r="N25" s="170">
        <v>14</v>
      </c>
      <c r="O25" s="169">
        <v>15</v>
      </c>
      <c r="P25" s="170">
        <v>16</v>
      </c>
      <c r="Q25" s="169">
        <v>17</v>
      </c>
      <c r="R25" s="170">
        <v>18</v>
      </c>
      <c r="S25" s="169">
        <v>19</v>
      </c>
      <c r="T25" s="170">
        <v>20</v>
      </c>
      <c r="U25" s="169">
        <v>21</v>
      </c>
      <c r="V25" s="170">
        <v>22</v>
      </c>
      <c r="W25" s="169">
        <v>23</v>
      </c>
      <c r="X25" s="170">
        <v>24</v>
      </c>
      <c r="Y25" s="169">
        <v>25</v>
      </c>
      <c r="Z25" s="170">
        <v>26</v>
      </c>
    </row>
    <row r="26" spans="1:28" ht="45.75" customHeight="1" x14ac:dyDescent="0.25">
      <c r="A26" s="174" t="s">
        <v>291</v>
      </c>
      <c r="B26" s="175"/>
      <c r="C26" s="176" t="s">
        <v>459</v>
      </c>
      <c r="D26" s="176" t="s">
        <v>460</v>
      </c>
      <c r="E26" s="176" t="s">
        <v>461</v>
      </c>
      <c r="F26" s="176" t="s">
        <v>462</v>
      </c>
      <c r="G26" s="176" t="s">
        <v>463</v>
      </c>
      <c r="H26" s="176" t="s">
        <v>212</v>
      </c>
      <c r="I26" s="176" t="s">
        <v>464</v>
      </c>
      <c r="J26" s="176" t="s">
        <v>465</v>
      </c>
      <c r="K26" s="177"/>
      <c r="L26" s="178" t="s">
        <v>227</v>
      </c>
      <c r="M26" s="179" t="s">
        <v>240</v>
      </c>
      <c r="N26" s="177"/>
      <c r="O26" s="177"/>
      <c r="P26" s="177"/>
      <c r="Q26" s="177"/>
      <c r="R26" s="177"/>
      <c r="S26" s="177"/>
      <c r="T26" s="177"/>
      <c r="U26" s="177"/>
      <c r="V26" s="177"/>
      <c r="W26" s="177"/>
      <c r="X26" s="177"/>
      <c r="Y26" s="177"/>
      <c r="Z26" s="180" t="s">
        <v>248</v>
      </c>
    </row>
    <row r="27" spans="1:28" x14ac:dyDescent="0.25">
      <c r="A27" s="177" t="s">
        <v>214</v>
      </c>
      <c r="B27" s="177" t="s">
        <v>231</v>
      </c>
      <c r="C27" s="177" t="s">
        <v>215</v>
      </c>
      <c r="D27" s="177" t="s">
        <v>216</v>
      </c>
      <c r="E27" s="177" t="s">
        <v>243</v>
      </c>
      <c r="F27" s="176" t="s">
        <v>466</v>
      </c>
      <c r="G27" s="176" t="s">
        <v>467</v>
      </c>
      <c r="H27" s="177" t="s">
        <v>212</v>
      </c>
      <c r="I27" s="176" t="s">
        <v>468</v>
      </c>
      <c r="J27" s="176" t="s">
        <v>469</v>
      </c>
      <c r="K27" s="178" t="s">
        <v>223</v>
      </c>
      <c r="L27" s="177"/>
      <c r="M27" s="178" t="s">
        <v>241</v>
      </c>
      <c r="N27" s="177"/>
      <c r="O27" s="177"/>
      <c r="P27" s="177"/>
      <c r="Q27" s="177"/>
      <c r="R27" s="177"/>
      <c r="S27" s="177"/>
      <c r="T27" s="177"/>
      <c r="U27" s="177"/>
      <c r="V27" s="177"/>
      <c r="W27" s="177"/>
      <c r="X27" s="177"/>
      <c r="Y27" s="177"/>
      <c r="Z27" s="177"/>
    </row>
    <row r="28" spans="1:28" x14ac:dyDescent="0.25">
      <c r="A28" s="177" t="s">
        <v>214</v>
      </c>
      <c r="B28" s="177" t="s">
        <v>232</v>
      </c>
      <c r="C28" s="177" t="s">
        <v>217</v>
      </c>
      <c r="D28" s="177" t="s">
        <v>218</v>
      </c>
      <c r="E28" s="177" t="s">
        <v>244</v>
      </c>
      <c r="F28" s="176" t="s">
        <v>470</v>
      </c>
      <c r="G28" s="176" t="s">
        <v>471</v>
      </c>
      <c r="H28" s="177" t="s">
        <v>212</v>
      </c>
      <c r="I28" s="176" t="s">
        <v>236</v>
      </c>
      <c r="J28" s="176" t="s">
        <v>472</v>
      </c>
      <c r="K28" s="178" t="s">
        <v>224</v>
      </c>
      <c r="L28" s="181"/>
      <c r="M28" s="178" t="s">
        <v>0</v>
      </c>
      <c r="N28" s="178"/>
      <c r="O28" s="178"/>
      <c r="P28" s="178"/>
      <c r="Q28" s="178"/>
      <c r="R28" s="178"/>
      <c r="S28" s="178"/>
      <c r="T28" s="178"/>
      <c r="U28" s="178"/>
      <c r="V28" s="178"/>
      <c r="W28" s="178"/>
      <c r="X28" s="178"/>
      <c r="Y28" s="178"/>
      <c r="Z28" s="178"/>
    </row>
    <row r="29" spans="1:28" x14ac:dyDescent="0.25">
      <c r="A29" s="177" t="s">
        <v>214</v>
      </c>
      <c r="B29" s="177" t="s">
        <v>233</v>
      </c>
      <c r="C29" s="177" t="s">
        <v>219</v>
      </c>
      <c r="D29" s="177" t="s">
        <v>220</v>
      </c>
      <c r="E29" s="177" t="s">
        <v>245</v>
      </c>
      <c r="F29" s="176" t="s">
        <v>473</v>
      </c>
      <c r="G29" s="176" t="s">
        <v>474</v>
      </c>
      <c r="H29" s="177" t="s">
        <v>212</v>
      </c>
      <c r="I29" s="176" t="s">
        <v>237</v>
      </c>
      <c r="J29" s="176" t="s">
        <v>475</v>
      </c>
      <c r="K29" s="178" t="s">
        <v>225</v>
      </c>
      <c r="L29" s="181"/>
      <c r="M29" s="177"/>
      <c r="N29" s="177"/>
      <c r="O29" s="177"/>
      <c r="P29" s="177"/>
      <c r="Q29" s="177"/>
      <c r="R29" s="177"/>
      <c r="S29" s="177"/>
      <c r="T29" s="177"/>
      <c r="U29" s="177"/>
      <c r="V29" s="177"/>
      <c r="W29" s="177"/>
      <c r="X29" s="177"/>
      <c r="Y29" s="177"/>
      <c r="Z29" s="177"/>
    </row>
    <row r="30" spans="1:28" x14ac:dyDescent="0.25">
      <c r="A30" s="177" t="s">
        <v>214</v>
      </c>
      <c r="B30" s="177" t="s">
        <v>234</v>
      </c>
      <c r="C30" s="177" t="s">
        <v>221</v>
      </c>
      <c r="D30" s="177" t="s">
        <v>222</v>
      </c>
      <c r="E30" s="177" t="s">
        <v>246</v>
      </c>
      <c r="F30" s="176" t="s">
        <v>476</v>
      </c>
      <c r="G30" s="176" t="s">
        <v>477</v>
      </c>
      <c r="H30" s="177" t="s">
        <v>212</v>
      </c>
      <c r="I30" s="176" t="s">
        <v>238</v>
      </c>
      <c r="J30" s="176" t="s">
        <v>478</v>
      </c>
      <c r="K30" s="178" t="s">
        <v>226</v>
      </c>
      <c r="L30" s="181"/>
      <c r="M30" s="177"/>
      <c r="N30" s="177"/>
      <c r="O30" s="177"/>
      <c r="P30" s="177"/>
      <c r="Q30" s="177"/>
      <c r="R30" s="177"/>
      <c r="S30" s="177"/>
      <c r="T30" s="177"/>
      <c r="U30" s="177"/>
      <c r="V30" s="177"/>
      <c r="W30" s="177"/>
      <c r="X30" s="177"/>
      <c r="Y30" s="177"/>
      <c r="Z30" s="177"/>
    </row>
    <row r="31" spans="1:28" x14ac:dyDescent="0.25">
      <c r="A31" s="177" t="s">
        <v>0</v>
      </c>
      <c r="B31" s="177" t="s">
        <v>0</v>
      </c>
      <c r="C31" s="177" t="s">
        <v>0</v>
      </c>
      <c r="D31" s="177" t="s">
        <v>0</v>
      </c>
      <c r="E31" s="177" t="s">
        <v>0</v>
      </c>
      <c r="F31" s="177" t="s">
        <v>0</v>
      </c>
      <c r="G31" s="177" t="s">
        <v>0</v>
      </c>
      <c r="H31" s="177" t="s">
        <v>0</v>
      </c>
      <c r="I31" s="177" t="s">
        <v>0</v>
      </c>
      <c r="J31" s="177" t="s">
        <v>0</v>
      </c>
      <c r="K31" s="177" t="s">
        <v>0</v>
      </c>
      <c r="L31" s="181"/>
      <c r="M31" s="177"/>
      <c r="N31" s="177"/>
      <c r="O31" s="177"/>
      <c r="P31" s="177"/>
      <c r="Q31" s="177"/>
      <c r="R31" s="177"/>
      <c r="S31" s="177"/>
      <c r="T31" s="177"/>
      <c r="U31" s="177"/>
      <c r="V31" s="177"/>
      <c r="W31" s="177"/>
      <c r="X31" s="177"/>
      <c r="Y31" s="177"/>
      <c r="Z31" s="177"/>
    </row>
    <row r="32" spans="1:28" ht="30" x14ac:dyDescent="0.25">
      <c r="A32" s="175" t="s">
        <v>292</v>
      </c>
      <c r="B32" s="175"/>
      <c r="C32" s="176" t="s">
        <v>479</v>
      </c>
      <c r="D32" s="176" t="s">
        <v>480</v>
      </c>
      <c r="E32" s="176" t="s">
        <v>481</v>
      </c>
      <c r="F32" s="176" t="s">
        <v>482</v>
      </c>
      <c r="G32" s="176" t="s">
        <v>483</v>
      </c>
      <c r="H32" s="176" t="s">
        <v>212</v>
      </c>
      <c r="I32" s="176" t="s">
        <v>484</v>
      </c>
      <c r="J32" s="176" t="s">
        <v>485</v>
      </c>
      <c r="K32" s="177"/>
      <c r="L32" s="177"/>
      <c r="M32" s="177"/>
      <c r="N32" s="177"/>
      <c r="O32" s="177"/>
      <c r="P32" s="177"/>
      <c r="Q32" s="177"/>
      <c r="R32" s="177"/>
      <c r="S32" s="177"/>
      <c r="T32" s="177"/>
      <c r="U32" s="177"/>
      <c r="V32" s="177"/>
      <c r="W32" s="177"/>
      <c r="X32" s="177"/>
      <c r="Y32" s="177"/>
      <c r="Z32" s="177"/>
    </row>
    <row r="33" spans="1:26" x14ac:dyDescent="0.25">
      <c r="A33" s="177" t="s">
        <v>0</v>
      </c>
      <c r="B33" s="177" t="s">
        <v>0</v>
      </c>
      <c r="C33" s="177" t="s">
        <v>0</v>
      </c>
      <c r="D33" s="177" t="s">
        <v>0</v>
      </c>
      <c r="E33" s="177" t="s">
        <v>0</v>
      </c>
      <c r="F33" s="177" t="s">
        <v>0</v>
      </c>
      <c r="G33" s="177" t="s">
        <v>0</v>
      </c>
      <c r="H33" s="177" t="s">
        <v>0</v>
      </c>
      <c r="I33" s="177" t="s">
        <v>0</v>
      </c>
      <c r="J33" s="177" t="s">
        <v>0</v>
      </c>
      <c r="K33" s="177" t="s">
        <v>0</v>
      </c>
      <c r="L33" s="177"/>
      <c r="M33" s="177"/>
      <c r="N33" s="177"/>
      <c r="O33" s="177"/>
      <c r="P33" s="177"/>
      <c r="Q33" s="177"/>
      <c r="R33" s="177"/>
      <c r="S33" s="177"/>
      <c r="T33" s="177"/>
      <c r="U33" s="177"/>
      <c r="V33" s="177"/>
      <c r="W33" s="177"/>
      <c r="X33" s="177"/>
      <c r="Y33" s="177"/>
      <c r="Z33" s="177"/>
    </row>
    <row r="37" spans="1:26" x14ac:dyDescent="0.25">
      <c r="A37" s="18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A5" sqref="A5:O5"/>
    </sheetView>
  </sheetViews>
  <sheetFormatPr defaultColWidth="9.140625" defaultRowHeight="15" x14ac:dyDescent="0.25"/>
  <cols>
    <col min="1" max="1" width="7.42578125" style="157" customWidth="1"/>
    <col min="2" max="2" width="25.5703125" style="157" customWidth="1"/>
    <col min="3" max="3" width="71.28515625" style="157" customWidth="1"/>
    <col min="4" max="4" width="16.140625" style="157" customWidth="1"/>
    <col min="5" max="5" width="9.42578125" style="157" customWidth="1"/>
    <col min="6" max="6" width="8.7109375" style="157" customWidth="1"/>
    <col min="7" max="7" width="9" style="157" customWidth="1"/>
    <col min="8" max="8" width="8.42578125" style="157" customWidth="1"/>
    <col min="9" max="9" width="33.85546875" style="157" customWidth="1"/>
    <col min="10" max="11" width="19.140625" style="157" customWidth="1"/>
    <col min="12" max="12" width="16" style="157" customWidth="1"/>
    <col min="13" max="13" width="14.85546875" style="157" customWidth="1"/>
    <col min="14" max="14" width="16.28515625" style="157" customWidth="1"/>
    <col min="15" max="16384" width="9.140625" style="157"/>
  </cols>
  <sheetData>
    <row r="1" spans="1:28" s="17" customFormat="1" ht="18.75" customHeight="1" x14ac:dyDescent="0.2">
      <c r="O1" s="29" t="s">
        <v>66</v>
      </c>
    </row>
    <row r="2" spans="1:28" s="17" customFormat="1" ht="18.75" customHeight="1" x14ac:dyDescent="0.3">
      <c r="O2" s="14" t="s">
        <v>8</v>
      </c>
    </row>
    <row r="3" spans="1:28" s="17" customFormat="1" ht="18.75" x14ac:dyDescent="0.3">
      <c r="A3" s="140"/>
      <c r="B3" s="140"/>
      <c r="O3" s="14" t="s">
        <v>65</v>
      </c>
    </row>
    <row r="4" spans="1:28" s="17" customFormat="1" ht="18.75" x14ac:dyDescent="0.3">
      <c r="A4" s="140"/>
      <c r="B4" s="140"/>
      <c r="L4" s="14"/>
    </row>
    <row r="5" spans="1:28" s="17" customFormat="1" ht="15.75"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109"/>
      <c r="Q5" s="109"/>
      <c r="R5" s="109"/>
      <c r="S5" s="109"/>
      <c r="T5" s="109"/>
      <c r="U5" s="109"/>
      <c r="V5" s="109"/>
      <c r="W5" s="109"/>
      <c r="X5" s="109"/>
      <c r="Y5" s="109"/>
      <c r="Z5" s="109"/>
      <c r="AA5" s="109"/>
      <c r="AB5" s="109"/>
    </row>
    <row r="6" spans="1:28" s="17" customFormat="1" ht="18.75" x14ac:dyDescent="0.3">
      <c r="A6" s="140"/>
      <c r="B6" s="140"/>
      <c r="L6" s="14"/>
    </row>
    <row r="7" spans="1:28" s="17" customFormat="1" ht="18.75" x14ac:dyDescent="0.2">
      <c r="A7" s="417" t="s">
        <v>7</v>
      </c>
      <c r="B7" s="417"/>
      <c r="C7" s="417"/>
      <c r="D7" s="417"/>
      <c r="E7" s="417"/>
      <c r="F7" s="417"/>
      <c r="G7" s="417"/>
      <c r="H7" s="417"/>
      <c r="I7" s="417"/>
      <c r="J7" s="417"/>
      <c r="K7" s="417"/>
      <c r="L7" s="417"/>
      <c r="M7" s="417"/>
      <c r="N7" s="417"/>
      <c r="O7" s="417"/>
      <c r="P7" s="143"/>
      <c r="Q7" s="143"/>
      <c r="R7" s="143"/>
      <c r="S7" s="143"/>
      <c r="T7" s="143"/>
      <c r="U7" s="143"/>
      <c r="V7" s="143"/>
      <c r="W7" s="143"/>
      <c r="X7" s="143"/>
      <c r="Y7" s="143"/>
      <c r="Z7" s="143"/>
    </row>
    <row r="8" spans="1:28" s="17" customFormat="1" ht="18.75" x14ac:dyDescent="0.2">
      <c r="A8" s="417"/>
      <c r="B8" s="417"/>
      <c r="C8" s="417"/>
      <c r="D8" s="417"/>
      <c r="E8" s="417"/>
      <c r="F8" s="417"/>
      <c r="G8" s="417"/>
      <c r="H8" s="417"/>
      <c r="I8" s="417"/>
      <c r="J8" s="417"/>
      <c r="K8" s="417"/>
      <c r="L8" s="417"/>
      <c r="M8" s="417"/>
      <c r="N8" s="417"/>
      <c r="O8" s="417"/>
      <c r="P8" s="143"/>
      <c r="Q8" s="143"/>
      <c r="R8" s="143"/>
      <c r="S8" s="143"/>
      <c r="T8" s="143"/>
      <c r="U8" s="143"/>
      <c r="V8" s="143"/>
      <c r="W8" s="143"/>
      <c r="X8" s="143"/>
      <c r="Y8" s="143"/>
      <c r="Z8" s="143"/>
    </row>
    <row r="9" spans="1:28" s="17" customFormat="1" ht="18.75" x14ac:dyDescent="0.2">
      <c r="A9" s="415" t="str">
        <f>'1. паспорт местоположение'!A9:C9</f>
        <v xml:space="preserve">Акционерное общество "Западная энергетическая компания" </v>
      </c>
      <c r="B9" s="415"/>
      <c r="C9" s="415"/>
      <c r="D9" s="415"/>
      <c r="E9" s="415"/>
      <c r="F9" s="415"/>
      <c r="G9" s="415"/>
      <c r="H9" s="415"/>
      <c r="I9" s="415"/>
      <c r="J9" s="415"/>
      <c r="K9" s="415"/>
      <c r="L9" s="415"/>
      <c r="M9" s="415"/>
      <c r="N9" s="415"/>
      <c r="O9" s="415"/>
      <c r="P9" s="143"/>
      <c r="Q9" s="143"/>
      <c r="R9" s="143"/>
      <c r="S9" s="143"/>
      <c r="T9" s="143"/>
      <c r="U9" s="143"/>
      <c r="V9" s="143"/>
      <c r="W9" s="143"/>
      <c r="X9" s="143"/>
      <c r="Y9" s="143"/>
      <c r="Z9" s="143"/>
    </row>
    <row r="10" spans="1:28" s="17" customFormat="1" ht="18.75" x14ac:dyDescent="0.2">
      <c r="A10" s="421" t="s">
        <v>6</v>
      </c>
      <c r="B10" s="421"/>
      <c r="C10" s="421"/>
      <c r="D10" s="421"/>
      <c r="E10" s="421"/>
      <c r="F10" s="421"/>
      <c r="G10" s="421"/>
      <c r="H10" s="421"/>
      <c r="I10" s="421"/>
      <c r="J10" s="421"/>
      <c r="K10" s="421"/>
      <c r="L10" s="421"/>
      <c r="M10" s="421"/>
      <c r="N10" s="421"/>
      <c r="O10" s="421"/>
      <c r="P10" s="143"/>
      <c r="Q10" s="143"/>
      <c r="R10" s="143"/>
      <c r="S10" s="143"/>
      <c r="T10" s="143"/>
      <c r="U10" s="143"/>
      <c r="V10" s="143"/>
      <c r="W10" s="143"/>
      <c r="X10" s="143"/>
      <c r="Y10" s="143"/>
      <c r="Z10" s="143"/>
    </row>
    <row r="11" spans="1:28" s="17" customFormat="1" ht="18.75" x14ac:dyDescent="0.2">
      <c r="A11" s="417"/>
      <c r="B11" s="417"/>
      <c r="C11" s="417"/>
      <c r="D11" s="417"/>
      <c r="E11" s="417"/>
      <c r="F11" s="417"/>
      <c r="G11" s="417"/>
      <c r="H11" s="417"/>
      <c r="I11" s="417"/>
      <c r="J11" s="417"/>
      <c r="K11" s="417"/>
      <c r="L11" s="417"/>
      <c r="M11" s="417"/>
      <c r="N11" s="417"/>
      <c r="O11" s="417"/>
      <c r="P11" s="143"/>
      <c r="Q11" s="143"/>
      <c r="R11" s="143"/>
      <c r="S11" s="143"/>
      <c r="T11" s="143"/>
      <c r="U11" s="143"/>
      <c r="V11" s="143"/>
      <c r="W11" s="143"/>
      <c r="X11" s="143"/>
      <c r="Y11" s="143"/>
      <c r="Z11" s="143"/>
    </row>
    <row r="12" spans="1:28" s="17" customFormat="1" ht="18.75" x14ac:dyDescent="0.2">
      <c r="A12" s="415" t="str">
        <f>'1. паспорт местоположение'!A12:C12</f>
        <v>J 19-02</v>
      </c>
      <c r="B12" s="415"/>
      <c r="C12" s="415"/>
      <c r="D12" s="415"/>
      <c r="E12" s="415"/>
      <c r="F12" s="415"/>
      <c r="G12" s="415"/>
      <c r="H12" s="415"/>
      <c r="I12" s="415"/>
      <c r="J12" s="415"/>
      <c r="K12" s="415"/>
      <c r="L12" s="415"/>
      <c r="M12" s="415"/>
      <c r="N12" s="415"/>
      <c r="O12" s="415"/>
      <c r="P12" s="143"/>
      <c r="Q12" s="143"/>
      <c r="R12" s="143"/>
      <c r="S12" s="143"/>
      <c r="T12" s="143"/>
      <c r="U12" s="143"/>
      <c r="V12" s="143"/>
      <c r="W12" s="143"/>
      <c r="X12" s="143"/>
      <c r="Y12" s="143"/>
      <c r="Z12" s="143"/>
    </row>
    <row r="13" spans="1:28" s="17" customFormat="1" ht="18.75" x14ac:dyDescent="0.2">
      <c r="A13" s="421" t="s">
        <v>5</v>
      </c>
      <c r="B13" s="421"/>
      <c r="C13" s="421"/>
      <c r="D13" s="421"/>
      <c r="E13" s="421"/>
      <c r="F13" s="421"/>
      <c r="G13" s="421"/>
      <c r="H13" s="421"/>
      <c r="I13" s="421"/>
      <c r="J13" s="421"/>
      <c r="K13" s="421"/>
      <c r="L13" s="421"/>
      <c r="M13" s="421"/>
      <c r="N13" s="421"/>
      <c r="O13" s="421"/>
      <c r="P13" s="143"/>
      <c r="Q13" s="143"/>
      <c r="R13" s="143"/>
      <c r="S13" s="143"/>
      <c r="T13" s="143"/>
      <c r="U13" s="143"/>
      <c r="V13" s="143"/>
      <c r="W13" s="143"/>
      <c r="X13" s="143"/>
      <c r="Y13" s="143"/>
      <c r="Z13" s="143"/>
    </row>
    <row r="14" spans="1:28" s="141" customFormat="1" ht="15.75" customHeight="1" x14ac:dyDescent="0.2">
      <c r="A14" s="422"/>
      <c r="B14" s="422"/>
      <c r="C14" s="422"/>
      <c r="D14" s="422"/>
      <c r="E14" s="422"/>
      <c r="F14" s="422"/>
      <c r="G14" s="422"/>
      <c r="H14" s="422"/>
      <c r="I14" s="422"/>
      <c r="J14" s="422"/>
      <c r="K14" s="422"/>
      <c r="L14" s="422"/>
      <c r="M14" s="422"/>
      <c r="N14" s="422"/>
      <c r="O14" s="422"/>
      <c r="P14" s="144"/>
      <c r="Q14" s="144"/>
      <c r="R14" s="144"/>
      <c r="S14" s="144"/>
      <c r="T14" s="144"/>
      <c r="U14" s="144"/>
      <c r="V14" s="144"/>
      <c r="W14" s="144"/>
      <c r="X14" s="144"/>
      <c r="Y14" s="144"/>
      <c r="Z14" s="144"/>
    </row>
    <row r="15" spans="1:28" s="142" customFormat="1" ht="15.75" x14ac:dyDescent="0.2">
      <c r="A15" s="415"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15"/>
      <c r="C15" s="415"/>
      <c r="D15" s="415"/>
      <c r="E15" s="415"/>
      <c r="F15" s="415"/>
      <c r="G15" s="415"/>
      <c r="H15" s="415"/>
      <c r="I15" s="415"/>
      <c r="J15" s="415"/>
      <c r="K15" s="415"/>
      <c r="L15" s="415"/>
      <c r="M15" s="415"/>
      <c r="N15" s="415"/>
      <c r="O15" s="415"/>
      <c r="P15" s="145"/>
      <c r="Q15" s="145"/>
      <c r="R15" s="145"/>
      <c r="S15" s="145"/>
      <c r="T15" s="145"/>
      <c r="U15" s="145"/>
      <c r="V15" s="145"/>
      <c r="W15" s="145"/>
      <c r="X15" s="145"/>
      <c r="Y15" s="145"/>
      <c r="Z15" s="145"/>
    </row>
    <row r="16" spans="1:28" s="142" customFormat="1" ht="15" customHeight="1" x14ac:dyDescent="0.2">
      <c r="A16" s="421" t="s">
        <v>4</v>
      </c>
      <c r="B16" s="421"/>
      <c r="C16" s="421"/>
      <c r="D16" s="421"/>
      <c r="E16" s="421"/>
      <c r="F16" s="421"/>
      <c r="G16" s="421"/>
      <c r="H16" s="421"/>
      <c r="I16" s="421"/>
      <c r="J16" s="421"/>
      <c r="K16" s="421"/>
      <c r="L16" s="421"/>
      <c r="M16" s="421"/>
      <c r="N16" s="421"/>
      <c r="O16" s="421"/>
      <c r="P16" s="146"/>
      <c r="Q16" s="146"/>
      <c r="R16" s="146"/>
      <c r="S16" s="146"/>
      <c r="T16" s="146"/>
      <c r="U16" s="146"/>
      <c r="V16" s="146"/>
      <c r="W16" s="146"/>
      <c r="X16" s="146"/>
      <c r="Y16" s="146"/>
      <c r="Z16" s="146"/>
    </row>
    <row r="17" spans="1:26" s="142" customFormat="1" ht="15" customHeight="1" x14ac:dyDescent="0.2">
      <c r="A17" s="423"/>
      <c r="B17" s="423"/>
      <c r="C17" s="423"/>
      <c r="D17" s="423"/>
      <c r="E17" s="423"/>
      <c r="F17" s="423"/>
      <c r="G17" s="423"/>
      <c r="H17" s="423"/>
      <c r="I17" s="423"/>
      <c r="J17" s="423"/>
      <c r="K17" s="423"/>
      <c r="L17" s="423"/>
      <c r="M17" s="423"/>
      <c r="N17" s="423"/>
      <c r="O17" s="423"/>
      <c r="P17" s="147"/>
      <c r="Q17" s="147"/>
      <c r="R17" s="147"/>
      <c r="S17" s="147"/>
      <c r="T17" s="147"/>
      <c r="U17" s="147"/>
      <c r="V17" s="147"/>
      <c r="W17" s="147"/>
    </row>
    <row r="18" spans="1:26" s="142" customFormat="1" ht="91.5" customHeight="1" x14ac:dyDescent="0.2">
      <c r="A18" s="464" t="s">
        <v>389</v>
      </c>
      <c r="B18" s="464"/>
      <c r="C18" s="464"/>
      <c r="D18" s="464"/>
      <c r="E18" s="464"/>
      <c r="F18" s="464"/>
      <c r="G18" s="464"/>
      <c r="H18" s="464"/>
      <c r="I18" s="464"/>
      <c r="J18" s="464"/>
      <c r="K18" s="464"/>
      <c r="L18" s="464"/>
      <c r="M18" s="464"/>
      <c r="N18" s="464"/>
      <c r="O18" s="464"/>
      <c r="P18" s="148"/>
      <c r="Q18" s="148"/>
      <c r="R18" s="148"/>
      <c r="S18" s="148"/>
      <c r="T18" s="148"/>
      <c r="U18" s="148"/>
      <c r="V18" s="148"/>
      <c r="W18" s="148"/>
      <c r="X18" s="148"/>
      <c r="Y18" s="148"/>
      <c r="Z18" s="148"/>
    </row>
    <row r="19" spans="1:26" s="142" customFormat="1" ht="78" customHeight="1" x14ac:dyDescent="0.2">
      <c r="A19" s="460" t="s">
        <v>3</v>
      </c>
      <c r="B19" s="460" t="s">
        <v>82</v>
      </c>
      <c r="C19" s="460" t="s">
        <v>81</v>
      </c>
      <c r="D19" s="460" t="s">
        <v>73</v>
      </c>
      <c r="E19" s="461" t="s">
        <v>80</v>
      </c>
      <c r="F19" s="462"/>
      <c r="G19" s="462"/>
      <c r="H19" s="462"/>
      <c r="I19" s="463"/>
      <c r="J19" s="460" t="s">
        <v>79</v>
      </c>
      <c r="K19" s="460"/>
      <c r="L19" s="460"/>
      <c r="M19" s="460"/>
      <c r="N19" s="460"/>
      <c r="O19" s="460"/>
      <c r="P19" s="147"/>
      <c r="Q19" s="147"/>
      <c r="R19" s="147"/>
      <c r="S19" s="147"/>
      <c r="T19" s="147"/>
      <c r="U19" s="147"/>
      <c r="V19" s="147"/>
      <c r="W19" s="147"/>
    </row>
    <row r="20" spans="1:26" s="142" customFormat="1" ht="51" customHeight="1" x14ac:dyDescent="0.2">
      <c r="A20" s="460"/>
      <c r="B20" s="460"/>
      <c r="C20" s="460"/>
      <c r="D20" s="460"/>
      <c r="E20" s="227" t="s">
        <v>78</v>
      </c>
      <c r="F20" s="227" t="s">
        <v>77</v>
      </c>
      <c r="G20" s="227" t="s">
        <v>76</v>
      </c>
      <c r="H20" s="227" t="s">
        <v>75</v>
      </c>
      <c r="I20" s="227" t="s">
        <v>74</v>
      </c>
      <c r="J20" s="227">
        <v>2018</v>
      </c>
      <c r="K20" s="227">
        <v>2019</v>
      </c>
      <c r="L20" s="227">
        <v>2020</v>
      </c>
      <c r="M20" s="227">
        <v>2021</v>
      </c>
      <c r="N20" s="227">
        <v>2022</v>
      </c>
      <c r="O20" s="227">
        <v>2023</v>
      </c>
      <c r="P20" s="151"/>
      <c r="Q20" s="151"/>
      <c r="R20" s="151"/>
      <c r="S20" s="151"/>
      <c r="T20" s="151"/>
      <c r="U20" s="151"/>
      <c r="V20" s="151"/>
      <c r="W20" s="151"/>
      <c r="X20" s="152"/>
      <c r="Y20" s="152"/>
      <c r="Z20" s="152"/>
    </row>
    <row r="21" spans="1:26" s="142"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1"/>
      <c r="Q21" s="151"/>
      <c r="R21" s="151"/>
      <c r="S21" s="151"/>
      <c r="T21" s="151"/>
      <c r="U21" s="151"/>
      <c r="V21" s="151"/>
      <c r="W21" s="151"/>
      <c r="X21" s="152"/>
      <c r="Y21" s="152"/>
      <c r="Z21" s="152"/>
    </row>
    <row r="22" spans="1:26" s="142" customFormat="1" ht="18.75" x14ac:dyDescent="0.2">
      <c r="A22" s="228" t="s">
        <v>62</v>
      </c>
      <c r="B22" s="229" t="s">
        <v>547</v>
      </c>
      <c r="C22" s="230">
        <v>0</v>
      </c>
      <c r="D22" s="230">
        <v>0</v>
      </c>
      <c r="E22" s="230">
        <v>0</v>
      </c>
      <c r="F22" s="230">
        <v>0</v>
      </c>
      <c r="G22" s="230">
        <v>0</v>
      </c>
      <c r="H22" s="230">
        <v>0</v>
      </c>
      <c r="I22" s="230">
        <v>0</v>
      </c>
      <c r="J22" s="231">
        <v>0</v>
      </c>
      <c r="K22" s="231">
        <v>0</v>
      </c>
      <c r="L22" s="232">
        <v>0</v>
      </c>
      <c r="M22" s="232">
        <v>0</v>
      </c>
      <c r="N22" s="232">
        <v>0</v>
      </c>
      <c r="O22" s="232">
        <v>0</v>
      </c>
      <c r="P22" s="151"/>
      <c r="Q22" s="151"/>
      <c r="R22" s="151"/>
      <c r="S22" s="151"/>
      <c r="T22" s="151"/>
      <c r="U22" s="151"/>
      <c r="V22" s="152"/>
      <c r="W22" s="152"/>
      <c r="X22" s="152"/>
      <c r="Y22" s="152"/>
      <c r="Z22" s="152"/>
    </row>
    <row r="23" spans="1:26"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row>
    <row r="24" spans="1:26" x14ac:dyDescent="0.25">
      <c r="A24" s="156"/>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row>
    <row r="25" spans="1:26" x14ac:dyDescent="0.25">
      <c r="A25" s="156"/>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row>
    <row r="26" spans="1:26" x14ac:dyDescent="0.25">
      <c r="A26" s="156"/>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row>
    <row r="27" spans="1:26" x14ac:dyDescent="0.25">
      <c r="A27" s="156"/>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row>
    <row r="28" spans="1:26" x14ac:dyDescent="0.25">
      <c r="A28" s="156"/>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row>
    <row r="29" spans="1:26" x14ac:dyDescent="0.25">
      <c r="A29" s="156"/>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row>
    <row r="30" spans="1:26" x14ac:dyDescent="0.25">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row>
    <row r="31" spans="1:26" x14ac:dyDescent="0.25">
      <c r="A31" s="156"/>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row>
    <row r="32" spans="1:26" x14ac:dyDescent="0.25">
      <c r="A32" s="156"/>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row>
    <row r="33" spans="1:26" x14ac:dyDescent="0.25">
      <c r="A33" s="156"/>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row>
    <row r="34" spans="1:26" x14ac:dyDescent="0.25">
      <c r="A34" s="156"/>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row>
    <row r="35" spans="1:26" x14ac:dyDescent="0.25">
      <c r="A35" s="156"/>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row>
    <row r="36" spans="1:26" x14ac:dyDescent="0.25">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row>
    <row r="37" spans="1:26" x14ac:dyDescent="0.25">
      <c r="A37" s="156"/>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row>
    <row r="38" spans="1:26" x14ac:dyDescent="0.25">
      <c r="A38" s="156"/>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row>
    <row r="39" spans="1:26" x14ac:dyDescent="0.25">
      <c r="A39" s="156"/>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row>
    <row r="40" spans="1:26" x14ac:dyDescent="0.25">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row>
    <row r="41" spans="1:26" x14ac:dyDescent="0.25">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row>
    <row r="42" spans="1:26" x14ac:dyDescent="0.25">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row>
    <row r="43" spans="1:26" x14ac:dyDescent="0.25">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row>
    <row r="44" spans="1:26" x14ac:dyDescent="0.25">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row>
    <row r="45" spans="1:26" x14ac:dyDescent="0.25">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row>
    <row r="46" spans="1:26" x14ac:dyDescent="0.25">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row>
    <row r="47" spans="1:26" x14ac:dyDescent="0.25">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row>
    <row r="48" spans="1:26" x14ac:dyDescent="0.25">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row>
    <row r="49" spans="1:26" x14ac:dyDescent="0.25">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row>
    <row r="50" spans="1:26" x14ac:dyDescent="0.25">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row>
    <row r="51" spans="1:26" x14ac:dyDescent="0.25">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row>
    <row r="52" spans="1:26" x14ac:dyDescent="0.25">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row>
    <row r="53" spans="1:26" x14ac:dyDescent="0.25">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row>
    <row r="54" spans="1:26" x14ac:dyDescent="0.25">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row>
    <row r="55" spans="1:26" x14ac:dyDescent="0.25">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row>
    <row r="56" spans="1:26" x14ac:dyDescent="0.25">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row>
    <row r="57" spans="1:26" x14ac:dyDescent="0.25">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row>
    <row r="58" spans="1:26" x14ac:dyDescent="0.25">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row>
    <row r="59" spans="1:26" x14ac:dyDescent="0.25">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row>
    <row r="60" spans="1:26" x14ac:dyDescent="0.25">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row>
    <row r="61" spans="1:26" x14ac:dyDescent="0.25">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row>
    <row r="62" spans="1:26" x14ac:dyDescent="0.25">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row>
    <row r="63" spans="1:26" x14ac:dyDescent="0.25">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row>
    <row r="64" spans="1:26" x14ac:dyDescent="0.25">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row>
    <row r="65" spans="1:26" x14ac:dyDescent="0.25">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row>
    <row r="66" spans="1:26" x14ac:dyDescent="0.25">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row>
    <row r="67" spans="1:26" x14ac:dyDescent="0.25">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row>
    <row r="68" spans="1:26" x14ac:dyDescent="0.25">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row>
    <row r="69" spans="1:26" x14ac:dyDescent="0.25">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row>
    <row r="70" spans="1:26" x14ac:dyDescent="0.25">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row>
    <row r="71" spans="1:26" x14ac:dyDescent="0.25">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row>
    <row r="72" spans="1:26" x14ac:dyDescent="0.25">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row>
    <row r="73" spans="1:26" x14ac:dyDescent="0.25">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row>
    <row r="74" spans="1:26" x14ac:dyDescent="0.25">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row>
    <row r="75" spans="1:26" x14ac:dyDescent="0.25">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row>
    <row r="76" spans="1:26" x14ac:dyDescent="0.25">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row>
    <row r="77" spans="1:26" x14ac:dyDescent="0.25">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row>
    <row r="78" spans="1:26" x14ac:dyDescent="0.25">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row>
    <row r="79" spans="1:26" x14ac:dyDescent="0.25">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row>
    <row r="80" spans="1:26" x14ac:dyDescent="0.25">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row>
    <row r="81" spans="1:26" x14ac:dyDescent="0.25">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row>
    <row r="82" spans="1:26" x14ac:dyDescent="0.25">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row>
    <row r="83" spans="1:26" x14ac:dyDescent="0.25">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row>
    <row r="84" spans="1:26" x14ac:dyDescent="0.25">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row>
    <row r="85" spans="1:26" x14ac:dyDescent="0.25">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row>
    <row r="86" spans="1:26" x14ac:dyDescent="0.25">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row>
    <row r="87" spans="1:26" x14ac:dyDescent="0.25">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row>
    <row r="88" spans="1:26" x14ac:dyDescent="0.25">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row>
    <row r="89" spans="1:26" x14ac:dyDescent="0.25">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row>
    <row r="90" spans="1:26" x14ac:dyDescent="0.25">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row>
    <row r="91" spans="1:26"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row>
    <row r="92" spans="1:26" x14ac:dyDescent="0.25">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row>
    <row r="93" spans="1:26" x14ac:dyDescent="0.25">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row>
    <row r="94" spans="1:26" x14ac:dyDescent="0.25">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row>
    <row r="95" spans="1:26" x14ac:dyDescent="0.25">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row>
    <row r="96" spans="1:26" x14ac:dyDescent="0.25">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row>
    <row r="97" spans="1:26" x14ac:dyDescent="0.25">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row>
    <row r="98" spans="1:26" x14ac:dyDescent="0.25">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row>
    <row r="99" spans="1:26" x14ac:dyDescent="0.25">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row>
    <row r="100" spans="1:26"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row>
    <row r="101" spans="1:26"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row>
    <row r="102" spans="1:26"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row>
    <row r="103" spans="1:26"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row>
    <row r="104" spans="1:26"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row>
    <row r="105" spans="1:26"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row>
    <row r="106" spans="1:26"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row>
    <row r="107" spans="1:26"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row>
    <row r="108" spans="1:26"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row>
    <row r="109" spans="1:26"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row>
    <row r="110" spans="1:26"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row>
    <row r="111" spans="1:26"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row>
    <row r="112" spans="1:26"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row>
    <row r="113" spans="1:26"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row>
    <row r="114" spans="1:26"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row>
    <row r="115" spans="1:26"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row>
    <row r="116" spans="1:26"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row>
    <row r="117" spans="1:26"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row>
    <row r="118" spans="1:26"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row>
    <row r="119" spans="1:26"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row>
    <row r="120" spans="1:26"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row>
    <row r="121" spans="1:26"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row>
    <row r="122" spans="1:26"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row>
    <row r="123" spans="1:26"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row>
    <row r="124" spans="1:26"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row>
    <row r="125" spans="1:26"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row>
    <row r="126" spans="1:26"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row>
    <row r="127" spans="1:26"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row>
    <row r="128" spans="1:26"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row>
    <row r="129" spans="1:26"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row>
    <row r="130" spans="1:26"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row>
    <row r="131" spans="1:26"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row>
    <row r="132" spans="1:26"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row>
    <row r="133" spans="1:26"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row>
    <row r="134" spans="1:26"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row>
    <row r="135" spans="1:26"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row>
    <row r="136" spans="1:26"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row>
    <row r="137" spans="1:26"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row>
    <row r="138" spans="1:26"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row>
    <row r="139" spans="1:26"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row>
    <row r="140" spans="1:26"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row>
    <row r="141" spans="1:26"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row>
    <row r="142" spans="1:26"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row>
    <row r="143" spans="1:26"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row>
    <row r="144" spans="1:26"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row>
    <row r="145" spans="1:26"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row>
    <row r="146" spans="1:26"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row>
    <row r="147" spans="1:26"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row>
    <row r="148" spans="1:26"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row>
    <row r="149" spans="1:26"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row>
    <row r="150" spans="1:26"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row>
    <row r="151" spans="1:26"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row>
    <row r="152" spans="1:26"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row>
    <row r="153" spans="1:26"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row>
    <row r="154" spans="1:26"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row>
    <row r="155" spans="1:26"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row>
    <row r="156" spans="1:26"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row>
    <row r="157" spans="1:26"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row>
    <row r="158" spans="1:26"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row>
    <row r="159" spans="1:26"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row>
    <row r="160" spans="1:26"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row>
    <row r="161" spans="1:26"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row>
    <row r="162" spans="1:26"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row>
    <row r="163" spans="1:26"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row>
    <row r="164" spans="1:26"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row>
    <row r="165" spans="1:26"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row>
    <row r="166" spans="1:26"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row>
    <row r="167" spans="1:26"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row>
    <row r="168" spans="1:26"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row>
    <row r="169" spans="1:26"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row>
    <row r="170" spans="1:26"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row>
    <row r="171" spans="1:26"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row>
    <row r="172" spans="1:26"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row>
    <row r="173" spans="1:26"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row>
    <row r="174" spans="1:26"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row>
    <row r="175" spans="1:26"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row>
    <row r="176" spans="1:26"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row>
    <row r="177" spans="1:26"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row>
    <row r="178" spans="1:26"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row>
    <row r="179" spans="1:26"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row>
    <row r="180" spans="1:26"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row>
    <row r="181" spans="1:26"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row>
    <row r="182" spans="1:26"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row>
    <row r="183" spans="1:26"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row>
    <row r="184" spans="1:26"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row>
    <row r="185" spans="1:26"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row>
    <row r="186" spans="1:26"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row>
    <row r="187" spans="1:26"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row>
    <row r="188" spans="1:26"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row>
    <row r="189" spans="1:26"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row>
    <row r="190" spans="1:26"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row>
    <row r="191" spans="1:26"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row>
    <row r="192" spans="1:26"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row>
    <row r="193" spans="1:26"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row>
    <row r="194" spans="1:26"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row>
    <row r="195" spans="1:26"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row>
    <row r="196" spans="1:26"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row>
    <row r="197" spans="1:26"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row>
    <row r="198" spans="1:26"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row>
    <row r="199" spans="1:26"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row>
    <row r="200" spans="1:26"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row>
    <row r="201" spans="1:26"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row>
    <row r="202" spans="1:26"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row>
    <row r="203" spans="1:26"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row>
    <row r="204" spans="1:26"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row>
    <row r="205" spans="1:26"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row>
    <row r="206" spans="1:26"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row>
    <row r="207" spans="1:26"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row>
    <row r="208" spans="1:26"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row>
    <row r="209" spans="1:26"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row>
    <row r="210" spans="1:26"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row>
    <row r="211" spans="1:26"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row>
    <row r="212" spans="1:26"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row>
    <row r="213" spans="1:26"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row>
    <row r="214" spans="1:26"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row>
    <row r="215" spans="1:26"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row>
    <row r="216" spans="1:26"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row>
    <row r="217" spans="1:26"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row>
    <row r="218" spans="1:26"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row>
    <row r="219" spans="1:26"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row>
    <row r="220" spans="1:26"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row>
    <row r="221" spans="1:26"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row>
    <row r="222" spans="1:26"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row>
    <row r="223" spans="1:26"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row>
    <row r="224" spans="1:26"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row>
    <row r="225" spans="1:26"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row>
    <row r="226" spans="1:26"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row>
    <row r="227" spans="1:26"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row>
    <row r="228" spans="1:26"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row>
    <row r="229" spans="1:26"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row>
    <row r="230" spans="1:26"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row>
    <row r="231" spans="1:26"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row>
    <row r="232" spans="1:26"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row>
    <row r="233" spans="1:26"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row>
    <row r="234" spans="1:26"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row>
    <row r="235" spans="1:26"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row>
    <row r="236" spans="1:26"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row>
    <row r="237" spans="1:26"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row>
    <row r="238" spans="1:26"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row>
    <row r="239" spans="1:26"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row>
    <row r="240" spans="1:26"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row>
    <row r="241" spans="1:26"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row>
    <row r="242" spans="1:26"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row>
    <row r="243" spans="1:26"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row>
    <row r="244" spans="1:26"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row>
    <row r="245" spans="1:26"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row>
    <row r="246" spans="1:26"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row>
    <row r="247" spans="1:26"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row>
    <row r="248" spans="1:26"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row>
    <row r="249" spans="1:26"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row>
    <row r="250" spans="1:26"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row>
    <row r="251" spans="1:26"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row>
    <row r="252" spans="1:26"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row>
    <row r="253" spans="1:26"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row>
    <row r="254" spans="1:26"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row>
    <row r="255" spans="1:26"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row>
    <row r="256" spans="1:26"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row>
    <row r="257" spans="1:26"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row>
    <row r="258" spans="1:26"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row>
    <row r="259" spans="1:26"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row>
    <row r="260" spans="1:26"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row>
    <row r="261" spans="1:26"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row>
    <row r="262" spans="1:26"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row>
    <row r="263" spans="1:26"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row>
    <row r="264" spans="1:26"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row>
    <row r="265" spans="1:26"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row>
    <row r="266" spans="1:26"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row>
    <row r="267" spans="1:26"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row>
    <row r="268" spans="1:26"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row>
    <row r="269" spans="1:26"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row>
    <row r="270" spans="1:26"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row>
    <row r="271" spans="1:26"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row>
    <row r="272" spans="1:26"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row>
    <row r="273" spans="1:26"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row>
    <row r="274" spans="1:26"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row>
    <row r="275" spans="1:26"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row>
    <row r="276" spans="1:26"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row>
    <row r="277" spans="1:26"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row>
    <row r="278" spans="1:26"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row>
    <row r="279" spans="1:26"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row>
    <row r="280" spans="1:26"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row>
    <row r="281" spans="1:26"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row>
    <row r="282" spans="1:26"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row>
    <row r="283" spans="1:26"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row>
    <row r="284" spans="1:26"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row>
    <row r="285" spans="1:26"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row>
    <row r="286" spans="1:26"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row>
    <row r="287" spans="1:26"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row>
    <row r="288" spans="1:26"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row>
    <row r="289" spans="1:26"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row>
    <row r="290" spans="1:26"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row>
    <row r="291" spans="1:26"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row>
    <row r="292" spans="1:26"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row>
    <row r="293" spans="1:26"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row>
    <row r="294" spans="1:26"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row>
    <row r="295" spans="1:26"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row>
    <row r="296" spans="1:26"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row>
    <row r="297" spans="1:26"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row>
    <row r="298" spans="1:26"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row>
    <row r="299" spans="1:26"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row>
    <row r="300" spans="1:26"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row>
    <row r="301" spans="1:26"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row>
    <row r="302" spans="1:26"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row>
    <row r="303" spans="1:26"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row>
    <row r="304" spans="1:26"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row>
    <row r="305" spans="1:26"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row>
    <row r="306" spans="1:26"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row>
    <row r="307" spans="1:26"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row>
    <row r="308" spans="1:26"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row>
    <row r="309" spans="1:26"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row>
    <row r="310" spans="1:26"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row>
    <row r="311" spans="1:26"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row>
    <row r="312" spans="1:26"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row>
    <row r="313" spans="1:26"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row>
    <row r="314" spans="1:26"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row>
    <row r="315" spans="1:26"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row>
    <row r="316" spans="1:26"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row>
    <row r="317" spans="1:26"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row>
    <row r="318" spans="1:26"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row>
    <row r="319" spans="1:26"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row>
    <row r="320" spans="1:26"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row>
    <row r="321" spans="1:26"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row>
    <row r="322" spans="1:26"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row>
    <row r="323" spans="1:26"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row>
    <row r="324" spans="1:26"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row>
    <row r="325" spans="1:26"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row>
    <row r="326" spans="1:26"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row>
    <row r="327" spans="1:26"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row>
    <row r="328" spans="1:26"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row>
    <row r="329" spans="1:26"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row>
    <row r="330" spans="1:26"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row>
    <row r="331" spans="1:26"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row>
    <row r="332" spans="1:26"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row>
    <row r="333" spans="1:26"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row>
    <row r="334" spans="1:26"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row>
    <row r="335" spans="1:26"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row>
    <row r="336" spans="1:26"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row>
    <row r="337" spans="1:26"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row>
    <row r="338" spans="1:26"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c r="V338" s="156"/>
      <c r="W338" s="156"/>
      <c r="X338" s="156"/>
      <c r="Y338" s="156"/>
      <c r="Z338" s="156"/>
    </row>
    <row r="339" spans="1:26"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c r="V339" s="156"/>
      <c r="W339" s="156"/>
      <c r="X339" s="156"/>
      <c r="Y339" s="156"/>
      <c r="Z339" s="156"/>
    </row>
    <row r="340" spans="1:26"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c r="V340" s="156"/>
      <c r="W340" s="156"/>
      <c r="X340" s="156"/>
      <c r="Y340" s="156"/>
      <c r="Z340" s="156"/>
    </row>
    <row r="341" spans="1:26"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c r="V341" s="156"/>
      <c r="W341" s="156"/>
      <c r="X341" s="156"/>
      <c r="Y341" s="156"/>
      <c r="Z341" s="156"/>
    </row>
    <row r="342" spans="1:26"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c r="V342" s="156"/>
      <c r="W342" s="156"/>
      <c r="X342" s="156"/>
      <c r="Y342" s="156"/>
      <c r="Z342" s="156"/>
    </row>
    <row r="343" spans="1:26"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c r="V343" s="156"/>
      <c r="W343" s="156"/>
      <c r="X343" s="156"/>
      <c r="Y343" s="156"/>
      <c r="Z343" s="156"/>
    </row>
    <row r="344" spans="1:26" x14ac:dyDescent="0.25">
      <c r="A344" s="156"/>
      <c r="B344" s="156"/>
      <c r="C344" s="156"/>
      <c r="D344" s="156"/>
      <c r="E344" s="156"/>
      <c r="F344" s="156"/>
      <c r="G344" s="156"/>
      <c r="H344" s="156"/>
      <c r="I344" s="156"/>
      <c r="J344" s="156"/>
      <c r="K344" s="156"/>
      <c r="L344" s="156"/>
      <c r="M344" s="156"/>
      <c r="N344" s="156"/>
      <c r="O344" s="156"/>
      <c r="P344" s="156"/>
      <c r="Q344" s="156"/>
      <c r="R344" s="156"/>
      <c r="S344" s="156"/>
      <c r="T344" s="156"/>
      <c r="U344" s="156"/>
      <c r="V344" s="156"/>
      <c r="W344" s="156"/>
      <c r="X344" s="156"/>
      <c r="Y344" s="156"/>
      <c r="Z344" s="156"/>
    </row>
    <row r="345" spans="1:26" x14ac:dyDescent="0.25">
      <c r="A345" s="156"/>
      <c r="B345" s="156"/>
      <c r="C345" s="156"/>
      <c r="D345" s="156"/>
      <c r="E345" s="156"/>
      <c r="F345" s="156"/>
      <c r="G345" s="156"/>
      <c r="H345" s="156"/>
      <c r="I345" s="156"/>
      <c r="J345" s="156"/>
      <c r="K345" s="156"/>
      <c r="L345" s="156"/>
      <c r="M345" s="156"/>
      <c r="N345" s="156"/>
      <c r="O345" s="156"/>
      <c r="P345" s="156"/>
      <c r="Q345" s="156"/>
      <c r="R345" s="156"/>
      <c r="S345" s="156"/>
      <c r="T345" s="156"/>
      <c r="U345" s="156"/>
      <c r="V345" s="156"/>
      <c r="W345" s="156"/>
      <c r="X345" s="156"/>
      <c r="Y345" s="156"/>
      <c r="Z345" s="156"/>
    </row>
    <row r="346" spans="1:26" x14ac:dyDescent="0.25">
      <c r="A346" s="156"/>
      <c r="B346" s="156"/>
      <c r="C346" s="156"/>
      <c r="D346" s="156"/>
      <c r="E346" s="156"/>
      <c r="F346" s="156"/>
      <c r="G346" s="156"/>
      <c r="H346" s="156"/>
      <c r="I346" s="156"/>
      <c r="J346" s="156"/>
      <c r="K346" s="156"/>
      <c r="L346" s="156"/>
      <c r="M346" s="156"/>
      <c r="N346" s="156"/>
      <c r="O346" s="156"/>
      <c r="P346" s="156"/>
      <c r="Q346" s="156"/>
      <c r="R346" s="156"/>
      <c r="S346" s="156"/>
      <c r="T346" s="156"/>
      <c r="U346" s="156"/>
      <c r="V346" s="156"/>
      <c r="W346" s="156"/>
      <c r="X346" s="156"/>
      <c r="Y346" s="156"/>
      <c r="Z346" s="156"/>
    </row>
    <row r="347" spans="1:26" x14ac:dyDescent="0.25">
      <c r="A347" s="156"/>
      <c r="B347" s="156"/>
      <c r="C347" s="156"/>
      <c r="D347" s="156"/>
      <c r="E347" s="156"/>
      <c r="F347" s="156"/>
      <c r="G347" s="156"/>
      <c r="H347" s="156"/>
      <c r="I347" s="156"/>
      <c r="J347" s="156"/>
      <c r="K347" s="156"/>
      <c r="L347" s="156"/>
      <c r="M347" s="156"/>
      <c r="N347" s="156"/>
      <c r="O347" s="156"/>
      <c r="P347" s="156"/>
      <c r="Q347" s="156"/>
      <c r="R347" s="156"/>
      <c r="S347" s="156"/>
      <c r="T347" s="156"/>
      <c r="U347" s="156"/>
      <c r="V347" s="156"/>
      <c r="W347" s="156"/>
      <c r="X347" s="156"/>
      <c r="Y347" s="156"/>
      <c r="Z347" s="156"/>
    </row>
    <row r="348" spans="1:26" x14ac:dyDescent="0.25">
      <c r="A348" s="156"/>
      <c r="B348" s="156"/>
      <c r="C348" s="156"/>
      <c r="D348" s="156"/>
      <c r="E348" s="156"/>
      <c r="F348" s="156"/>
      <c r="G348" s="156"/>
      <c r="H348" s="156"/>
      <c r="I348" s="156"/>
      <c r="J348" s="156"/>
      <c r="K348" s="156"/>
      <c r="L348" s="156"/>
      <c r="M348" s="156"/>
      <c r="N348" s="156"/>
      <c r="O348" s="156"/>
      <c r="P348" s="156"/>
      <c r="Q348" s="156"/>
      <c r="R348" s="156"/>
      <c r="S348" s="156"/>
      <c r="T348" s="156"/>
      <c r="U348" s="156"/>
      <c r="V348" s="156"/>
      <c r="W348" s="156"/>
      <c r="X348" s="156"/>
      <c r="Y348" s="156"/>
      <c r="Z348" s="156"/>
    </row>
    <row r="349" spans="1:26" x14ac:dyDescent="0.25">
      <c r="A349" s="156"/>
      <c r="B349" s="156"/>
      <c r="C349" s="156"/>
      <c r="D349" s="156"/>
      <c r="E349" s="156"/>
      <c r="F349" s="156"/>
      <c r="G349" s="156"/>
      <c r="H349" s="156"/>
      <c r="I349" s="156"/>
      <c r="J349" s="156"/>
      <c r="K349" s="156"/>
      <c r="L349" s="156"/>
      <c r="M349" s="156"/>
      <c r="N349" s="156"/>
      <c r="O349" s="156"/>
      <c r="P349" s="156"/>
      <c r="Q349" s="156"/>
      <c r="R349" s="156"/>
      <c r="S349" s="156"/>
      <c r="T349" s="156"/>
      <c r="U349" s="156"/>
      <c r="V349" s="156"/>
      <c r="W349" s="156"/>
      <c r="X349" s="156"/>
      <c r="Y349" s="156"/>
      <c r="Z349" s="156"/>
    </row>
    <row r="350" spans="1:26" x14ac:dyDescent="0.25">
      <c r="A350" s="156"/>
      <c r="B350" s="156"/>
      <c r="C350" s="156"/>
      <c r="D350" s="156"/>
      <c r="E350" s="156"/>
      <c r="F350" s="156"/>
      <c r="G350" s="156"/>
      <c r="H350" s="156"/>
      <c r="I350" s="156"/>
      <c r="J350" s="156"/>
      <c r="K350" s="156"/>
      <c r="L350" s="156"/>
      <c r="M350" s="156"/>
      <c r="N350" s="156"/>
      <c r="O350" s="156"/>
      <c r="P350" s="156"/>
      <c r="Q350" s="156"/>
      <c r="R350" s="156"/>
      <c r="S350" s="156"/>
      <c r="T350" s="156"/>
      <c r="U350" s="156"/>
      <c r="V350" s="156"/>
      <c r="W350" s="156"/>
      <c r="X350" s="156"/>
      <c r="Y350" s="156"/>
      <c r="Z350" s="156"/>
    </row>
    <row r="351" spans="1:26" x14ac:dyDescent="0.25">
      <c r="A351" s="156"/>
      <c r="B351" s="156"/>
      <c r="C351" s="156"/>
      <c r="D351" s="156"/>
      <c r="E351" s="156"/>
      <c r="F351" s="156"/>
      <c r="G351" s="156"/>
      <c r="H351" s="156"/>
      <c r="I351" s="156"/>
      <c r="J351" s="156"/>
      <c r="K351" s="156"/>
      <c r="L351" s="156"/>
      <c r="M351" s="156"/>
      <c r="N351" s="156"/>
      <c r="O351" s="156"/>
      <c r="P351" s="156"/>
      <c r="Q351" s="156"/>
      <c r="R351" s="156"/>
      <c r="S351" s="156"/>
      <c r="T351" s="156"/>
      <c r="U351" s="156"/>
      <c r="V351" s="156"/>
      <c r="W351" s="156"/>
      <c r="X351" s="156"/>
      <c r="Y351" s="156"/>
      <c r="Z351" s="156"/>
    </row>
    <row r="352" spans="1:26" x14ac:dyDescent="0.25">
      <c r="A352" s="156"/>
      <c r="B352" s="156"/>
      <c r="C352" s="156"/>
      <c r="D352" s="156"/>
      <c r="E352" s="156"/>
      <c r="F352" s="156"/>
      <c r="G352" s="156"/>
      <c r="H352" s="156"/>
      <c r="I352" s="156"/>
      <c r="J352" s="156"/>
      <c r="K352" s="156"/>
      <c r="L352" s="156"/>
      <c r="M352" s="156"/>
      <c r="N352" s="156"/>
      <c r="O352" s="156"/>
      <c r="P352" s="156"/>
      <c r="Q352" s="156"/>
      <c r="R352" s="156"/>
      <c r="S352" s="156"/>
      <c r="T352" s="156"/>
      <c r="U352" s="156"/>
      <c r="V352" s="156"/>
      <c r="W352" s="156"/>
      <c r="X352" s="156"/>
      <c r="Y352" s="156"/>
      <c r="Z352" s="156"/>
    </row>
    <row r="353" spans="1:26" x14ac:dyDescent="0.25">
      <c r="A353" s="156"/>
      <c r="B353" s="156"/>
      <c r="C353" s="156"/>
      <c r="D353" s="156"/>
      <c r="E353" s="156"/>
      <c r="F353" s="156"/>
      <c r="G353" s="156"/>
      <c r="H353" s="156"/>
      <c r="I353" s="156"/>
      <c r="J353" s="156"/>
      <c r="K353" s="156"/>
      <c r="L353" s="156"/>
      <c r="M353" s="156"/>
      <c r="N353" s="156"/>
      <c r="O353" s="156"/>
      <c r="P353" s="156"/>
      <c r="Q353" s="156"/>
      <c r="R353" s="156"/>
      <c r="S353" s="156"/>
      <c r="T353" s="156"/>
      <c r="U353" s="156"/>
      <c r="V353" s="156"/>
      <c r="W353" s="156"/>
      <c r="X353" s="156"/>
      <c r="Y353" s="156"/>
      <c r="Z353" s="156"/>
    </row>
    <row r="354" spans="1:26" x14ac:dyDescent="0.25">
      <c r="A354" s="156"/>
      <c r="B354" s="156"/>
      <c r="C354" s="156"/>
      <c r="D354" s="156"/>
      <c r="E354" s="156"/>
      <c r="F354" s="156"/>
      <c r="G354" s="156"/>
      <c r="H354" s="156"/>
      <c r="I354" s="156"/>
      <c r="J354" s="156"/>
      <c r="K354" s="156"/>
      <c r="L354" s="156"/>
      <c r="M354" s="156"/>
      <c r="N354" s="156"/>
      <c r="O354" s="156"/>
      <c r="P354" s="156"/>
      <c r="Q354" s="156"/>
      <c r="R354" s="156"/>
      <c r="S354" s="156"/>
      <c r="T354" s="156"/>
      <c r="U354" s="156"/>
      <c r="V354" s="156"/>
      <c r="W354" s="156"/>
      <c r="X354" s="156"/>
      <c r="Y354" s="156"/>
      <c r="Z354" s="156"/>
    </row>
    <row r="355" spans="1:26" x14ac:dyDescent="0.25">
      <c r="A355" s="156"/>
      <c r="B355" s="156"/>
      <c r="C355" s="156"/>
      <c r="D355" s="156"/>
      <c r="E355" s="156"/>
      <c r="F355" s="156"/>
      <c r="G355" s="156"/>
      <c r="H355" s="156"/>
      <c r="I355" s="156"/>
      <c r="J355" s="156"/>
      <c r="K355" s="156"/>
      <c r="L355" s="156"/>
      <c r="M355" s="156"/>
      <c r="N355" s="156"/>
      <c r="O355" s="156"/>
      <c r="P355" s="156"/>
      <c r="Q355" s="156"/>
      <c r="R355" s="156"/>
      <c r="S355" s="156"/>
      <c r="T355" s="156"/>
      <c r="U355" s="156"/>
      <c r="V355" s="156"/>
      <c r="W355" s="156"/>
      <c r="X355" s="156"/>
      <c r="Y355" s="156"/>
      <c r="Z355" s="156"/>
    </row>
    <row r="356" spans="1:26" x14ac:dyDescent="0.25">
      <c r="A356" s="156"/>
      <c r="B356" s="156"/>
      <c r="C356" s="156"/>
      <c r="D356" s="156"/>
      <c r="E356" s="156"/>
      <c r="F356" s="156"/>
      <c r="G356" s="156"/>
      <c r="H356" s="156"/>
      <c r="I356" s="156"/>
      <c r="J356" s="156"/>
      <c r="K356" s="156"/>
      <c r="L356" s="156"/>
      <c r="M356" s="156"/>
      <c r="N356" s="156"/>
      <c r="O356" s="156"/>
      <c r="P356" s="156"/>
      <c r="Q356" s="156"/>
      <c r="R356" s="156"/>
      <c r="S356" s="156"/>
      <c r="T356" s="156"/>
      <c r="U356" s="156"/>
      <c r="V356" s="156"/>
      <c r="W356" s="156"/>
      <c r="X356" s="156"/>
      <c r="Y356" s="156"/>
      <c r="Z356" s="156"/>
    </row>
    <row r="357" spans="1:26" x14ac:dyDescent="0.25">
      <c r="A357" s="156"/>
      <c r="B357" s="156"/>
      <c r="C357" s="156"/>
      <c r="D357" s="156"/>
      <c r="E357" s="156"/>
      <c r="F357" s="156"/>
      <c r="G357" s="156"/>
      <c r="H357" s="156"/>
      <c r="I357" s="156"/>
      <c r="J357" s="156"/>
      <c r="K357" s="156"/>
      <c r="L357" s="156"/>
      <c r="M357" s="156"/>
      <c r="N357" s="156"/>
      <c r="O357" s="156"/>
      <c r="P357" s="156"/>
      <c r="Q357" s="156"/>
      <c r="R357" s="156"/>
      <c r="S357" s="156"/>
      <c r="T357" s="156"/>
      <c r="U357" s="156"/>
      <c r="V357" s="156"/>
      <c r="W357" s="156"/>
      <c r="X357" s="156"/>
      <c r="Y357" s="156"/>
      <c r="Z357" s="156"/>
    </row>
    <row r="358" spans="1:26" x14ac:dyDescent="0.25">
      <c r="A358" s="156"/>
      <c r="B358" s="156"/>
      <c r="C358" s="156"/>
      <c r="D358" s="156"/>
      <c r="E358" s="156"/>
      <c r="F358" s="156"/>
      <c r="G358" s="156"/>
      <c r="H358" s="156"/>
      <c r="I358" s="156"/>
      <c r="J358" s="156"/>
      <c r="K358" s="156"/>
      <c r="L358" s="156"/>
      <c r="M358" s="156"/>
      <c r="N358" s="156"/>
      <c r="O358" s="156"/>
      <c r="P358" s="156"/>
      <c r="Q358" s="156"/>
      <c r="R358" s="156"/>
      <c r="S358" s="156"/>
      <c r="T358" s="156"/>
      <c r="U358" s="156"/>
      <c r="V358" s="156"/>
      <c r="W358" s="156"/>
      <c r="X358" s="156"/>
      <c r="Y358" s="156"/>
      <c r="Z358" s="156"/>
    </row>
    <row r="359" spans="1:26" x14ac:dyDescent="0.25">
      <c r="A359" s="156"/>
      <c r="B359" s="156"/>
      <c r="C359" s="156"/>
      <c r="D359" s="156"/>
      <c r="E359" s="156"/>
      <c r="F359" s="156"/>
      <c r="G359" s="156"/>
      <c r="H359" s="156"/>
      <c r="I359" s="156"/>
      <c r="J359" s="156"/>
      <c r="K359" s="156"/>
      <c r="L359" s="156"/>
      <c r="M359" s="156"/>
      <c r="N359" s="156"/>
      <c r="O359" s="156"/>
      <c r="P359" s="156"/>
      <c r="Q359" s="156"/>
      <c r="R359" s="156"/>
      <c r="S359" s="156"/>
      <c r="T359" s="156"/>
      <c r="U359" s="156"/>
      <c r="V359" s="156"/>
      <c r="W359" s="156"/>
      <c r="X359" s="156"/>
      <c r="Y359" s="156"/>
      <c r="Z359" s="156"/>
    </row>
    <row r="360" spans="1:26" x14ac:dyDescent="0.25">
      <c r="A360" s="156"/>
      <c r="B360" s="156"/>
      <c r="C360" s="156"/>
      <c r="D360" s="156"/>
      <c r="E360" s="156"/>
      <c r="F360" s="156"/>
      <c r="G360" s="156"/>
      <c r="H360" s="156"/>
      <c r="I360" s="156"/>
      <c r="J360" s="156"/>
      <c r="K360" s="156"/>
      <c r="L360" s="156"/>
      <c r="M360" s="156"/>
      <c r="N360" s="156"/>
      <c r="O360" s="156"/>
      <c r="P360" s="156"/>
      <c r="Q360" s="156"/>
      <c r="R360" s="156"/>
      <c r="S360" s="156"/>
      <c r="T360" s="156"/>
      <c r="U360" s="156"/>
      <c r="V360" s="156"/>
      <c r="W360" s="156"/>
      <c r="X360" s="156"/>
      <c r="Y360" s="156"/>
      <c r="Z360" s="15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75" t="str">
        <f>'1. паспорт местоположение'!A5:C5</f>
        <v>Год раскрытия информации: 2022 год</v>
      </c>
      <c r="B4" s="475"/>
      <c r="C4" s="475"/>
      <c r="D4" s="475"/>
      <c r="E4" s="475"/>
      <c r="F4" s="475"/>
      <c r="G4" s="475"/>
      <c r="H4" s="475"/>
      <c r="I4" s="475"/>
      <c r="J4" s="475"/>
      <c r="K4" s="475"/>
      <c r="L4" s="475"/>
      <c r="M4" s="475"/>
      <c r="N4" s="475"/>
      <c r="O4" s="475"/>
      <c r="P4" s="475"/>
      <c r="Q4" s="475"/>
      <c r="R4" s="475"/>
      <c r="S4" s="475"/>
      <c r="T4" s="475"/>
      <c r="U4" s="475"/>
      <c r="V4" s="475"/>
      <c r="W4" s="475"/>
      <c r="X4" s="475"/>
      <c r="Y4" s="475"/>
      <c r="Z4" s="475"/>
      <c r="AA4" s="475"/>
      <c r="AB4" s="475"/>
      <c r="AC4" s="475"/>
    </row>
    <row r="5" spans="1:29" ht="18.75" x14ac:dyDescent="0.3">
      <c r="A5" s="44"/>
      <c r="B5" s="44"/>
      <c r="C5" s="44"/>
      <c r="D5" s="44"/>
      <c r="E5" s="44"/>
      <c r="F5" s="44"/>
      <c r="L5" s="44"/>
      <c r="M5" s="44"/>
      <c r="T5" s="44"/>
      <c r="U5" s="44"/>
      <c r="AC5" s="14"/>
    </row>
    <row r="6" spans="1:29" ht="18.75" x14ac:dyDescent="0.25">
      <c r="A6" s="412" t="s">
        <v>7</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412"/>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76" t="str">
        <f>'1. паспорт местоположение'!A9:C9</f>
        <v xml:space="preserve">Акционерное общество "Западная энергетическая компания" </v>
      </c>
      <c r="B8" s="476"/>
      <c r="C8" s="476"/>
      <c r="D8" s="476"/>
      <c r="E8" s="476"/>
      <c r="F8" s="476"/>
      <c r="G8" s="476"/>
      <c r="H8" s="476"/>
      <c r="I8" s="476"/>
      <c r="J8" s="476"/>
      <c r="K8" s="476"/>
      <c r="L8" s="476"/>
      <c r="M8" s="476"/>
      <c r="N8" s="476"/>
      <c r="O8" s="476"/>
      <c r="P8" s="476"/>
      <c r="Q8" s="476"/>
      <c r="R8" s="476"/>
      <c r="S8" s="476"/>
      <c r="T8" s="476"/>
      <c r="U8" s="476"/>
      <c r="V8" s="476"/>
      <c r="W8" s="476"/>
      <c r="X8" s="476"/>
      <c r="Y8" s="476"/>
      <c r="Z8" s="476"/>
      <c r="AA8" s="476"/>
      <c r="AB8" s="476"/>
      <c r="AC8" s="476"/>
    </row>
    <row r="9" spans="1:29" ht="18.75" customHeight="1" x14ac:dyDescent="0.25">
      <c r="A9" s="409" t="s">
        <v>6</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c r="AB9" s="409"/>
      <c r="AC9" s="409"/>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76" t="str">
        <f>'1. паспорт местоположение'!A12:C12</f>
        <v>J 19-02</v>
      </c>
      <c r="B11" s="476"/>
      <c r="C11" s="476"/>
      <c r="D11" s="476"/>
      <c r="E11" s="476"/>
      <c r="F11" s="476"/>
      <c r="G11" s="476"/>
      <c r="H11" s="476"/>
      <c r="I11" s="476"/>
      <c r="J11" s="476"/>
      <c r="K11" s="476"/>
      <c r="L11" s="476"/>
      <c r="M11" s="476"/>
      <c r="N11" s="476"/>
      <c r="O11" s="476"/>
      <c r="P11" s="476"/>
      <c r="Q11" s="476"/>
      <c r="R11" s="476"/>
      <c r="S11" s="476"/>
      <c r="T11" s="476"/>
      <c r="U11" s="476"/>
      <c r="V11" s="476"/>
      <c r="W11" s="476"/>
      <c r="X11" s="476"/>
      <c r="Y11" s="476"/>
      <c r="Z11" s="476"/>
      <c r="AA11" s="476"/>
      <c r="AB11" s="476"/>
      <c r="AC11" s="476"/>
    </row>
    <row r="12" spans="1:29" x14ac:dyDescent="0.25">
      <c r="A12" s="409" t="s">
        <v>5</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77"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4" s="477"/>
      <c r="C14" s="477"/>
      <c r="D14" s="477"/>
      <c r="E14" s="477"/>
      <c r="F14" s="477"/>
      <c r="G14" s="477"/>
      <c r="H14" s="477"/>
      <c r="I14" s="477"/>
      <c r="J14" s="477"/>
      <c r="K14" s="477"/>
      <c r="L14" s="477"/>
      <c r="M14" s="477"/>
      <c r="N14" s="477"/>
      <c r="O14" s="477"/>
      <c r="P14" s="477"/>
      <c r="Q14" s="477"/>
      <c r="R14" s="477"/>
      <c r="S14" s="477"/>
      <c r="T14" s="477"/>
      <c r="U14" s="477"/>
      <c r="V14" s="477"/>
      <c r="W14" s="477"/>
      <c r="X14" s="477"/>
      <c r="Y14" s="477"/>
      <c r="Z14" s="477"/>
      <c r="AA14" s="477"/>
      <c r="AB14" s="477"/>
      <c r="AC14" s="477"/>
    </row>
    <row r="15" spans="1:29" ht="15.75" customHeight="1" x14ac:dyDescent="0.25">
      <c r="A15" s="409" t="s">
        <v>4</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row>
    <row r="16" spans="1:29" x14ac:dyDescent="0.25">
      <c r="A16" s="478"/>
      <c r="B16" s="478"/>
      <c r="C16" s="478"/>
      <c r="D16" s="478"/>
      <c r="E16" s="478"/>
      <c r="F16" s="478"/>
      <c r="G16" s="478"/>
      <c r="H16" s="478"/>
      <c r="I16" s="478"/>
      <c r="J16" s="478"/>
      <c r="K16" s="478"/>
      <c r="L16" s="478"/>
      <c r="M16" s="478"/>
      <c r="N16" s="478"/>
      <c r="O16" s="478"/>
      <c r="P16" s="478"/>
      <c r="Q16" s="478"/>
      <c r="R16" s="478"/>
      <c r="S16" s="478"/>
      <c r="T16" s="478"/>
      <c r="U16" s="478"/>
      <c r="V16" s="478"/>
      <c r="W16" s="478"/>
      <c r="X16" s="478"/>
      <c r="Y16" s="478"/>
      <c r="Z16" s="478"/>
      <c r="AA16" s="478"/>
      <c r="AB16" s="478"/>
      <c r="AC16" s="478"/>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80" t="s">
        <v>392</v>
      </c>
      <c r="B18" s="480"/>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0"/>
      <c r="AB18" s="480"/>
      <c r="AC18" s="480"/>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68" t="s">
        <v>183</v>
      </c>
      <c r="B20" s="468" t="s">
        <v>182</v>
      </c>
      <c r="C20" s="473" t="s">
        <v>181</v>
      </c>
      <c r="D20" s="473"/>
      <c r="E20" s="479" t="s">
        <v>180</v>
      </c>
      <c r="F20" s="479"/>
      <c r="G20" s="468" t="s">
        <v>423</v>
      </c>
      <c r="H20" s="471" t="s">
        <v>424</v>
      </c>
      <c r="I20" s="472"/>
      <c r="J20" s="472"/>
      <c r="K20" s="472"/>
      <c r="L20" s="471" t="s">
        <v>425</v>
      </c>
      <c r="M20" s="472"/>
      <c r="N20" s="472"/>
      <c r="O20" s="472"/>
      <c r="P20" s="471" t="s">
        <v>426</v>
      </c>
      <c r="Q20" s="472"/>
      <c r="R20" s="472"/>
      <c r="S20" s="472"/>
      <c r="T20" s="471" t="s">
        <v>441</v>
      </c>
      <c r="U20" s="472"/>
      <c r="V20" s="472"/>
      <c r="W20" s="472"/>
      <c r="X20" s="471" t="s">
        <v>442</v>
      </c>
      <c r="Y20" s="472"/>
      <c r="Z20" s="472"/>
      <c r="AA20" s="472"/>
      <c r="AB20" s="481" t="s">
        <v>179</v>
      </c>
      <c r="AC20" s="481"/>
      <c r="AD20" s="65"/>
      <c r="AE20" s="65"/>
      <c r="AF20" s="65"/>
    </row>
    <row r="21" spans="1:32" ht="99.75" customHeight="1" x14ac:dyDescent="0.25">
      <c r="A21" s="469"/>
      <c r="B21" s="469"/>
      <c r="C21" s="473"/>
      <c r="D21" s="473"/>
      <c r="E21" s="479"/>
      <c r="F21" s="479"/>
      <c r="G21" s="469"/>
      <c r="H21" s="473" t="s">
        <v>2</v>
      </c>
      <c r="I21" s="473"/>
      <c r="J21" s="473" t="s">
        <v>9</v>
      </c>
      <c r="K21" s="473"/>
      <c r="L21" s="473" t="s">
        <v>2</v>
      </c>
      <c r="M21" s="473"/>
      <c r="N21" s="473" t="s">
        <v>9</v>
      </c>
      <c r="O21" s="473"/>
      <c r="P21" s="473" t="s">
        <v>2</v>
      </c>
      <c r="Q21" s="473"/>
      <c r="R21" s="473" t="s">
        <v>178</v>
      </c>
      <c r="S21" s="473"/>
      <c r="T21" s="473" t="s">
        <v>2</v>
      </c>
      <c r="U21" s="473"/>
      <c r="V21" s="473" t="s">
        <v>178</v>
      </c>
      <c r="W21" s="473"/>
      <c r="X21" s="473" t="s">
        <v>2</v>
      </c>
      <c r="Y21" s="473"/>
      <c r="Z21" s="473" t="s">
        <v>178</v>
      </c>
      <c r="AA21" s="473"/>
      <c r="AB21" s="481"/>
      <c r="AC21" s="481"/>
    </row>
    <row r="22" spans="1:32" ht="89.25" customHeight="1" x14ac:dyDescent="0.25">
      <c r="A22" s="470"/>
      <c r="B22" s="470"/>
      <c r="C22" s="62" t="s">
        <v>2</v>
      </c>
      <c r="D22" s="62" t="s">
        <v>178</v>
      </c>
      <c r="E22" s="64" t="s">
        <v>440</v>
      </c>
      <c r="F22" s="64" t="s">
        <v>486</v>
      </c>
      <c r="G22" s="470"/>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5" t="s">
        <v>9</v>
      </c>
    </row>
    <row r="23" spans="1:32" ht="19.5" customHeight="1" x14ac:dyDescent="0.25">
      <c r="A23" s="55">
        <v>1</v>
      </c>
      <c r="B23" s="55">
        <v>2</v>
      </c>
      <c r="C23" s="55">
        <v>3</v>
      </c>
      <c r="D23" s="55">
        <v>4</v>
      </c>
      <c r="E23" s="55">
        <v>5</v>
      </c>
      <c r="F23" s="55">
        <v>6</v>
      </c>
      <c r="G23" s="105">
        <v>7</v>
      </c>
      <c r="H23" s="105">
        <v>8</v>
      </c>
      <c r="I23" s="105">
        <v>9</v>
      </c>
      <c r="J23" s="105">
        <v>10</v>
      </c>
      <c r="K23" s="105">
        <v>11</v>
      </c>
      <c r="L23" s="127">
        <v>12</v>
      </c>
      <c r="M23" s="127">
        <v>13</v>
      </c>
      <c r="N23" s="127">
        <v>14</v>
      </c>
      <c r="O23" s="127">
        <v>15</v>
      </c>
      <c r="P23" s="127">
        <v>16</v>
      </c>
      <c r="Q23" s="127">
        <v>17</v>
      </c>
      <c r="R23" s="127">
        <v>18</v>
      </c>
      <c r="S23" s="127">
        <v>19</v>
      </c>
      <c r="T23" s="105">
        <v>12</v>
      </c>
      <c r="U23" s="105">
        <v>13</v>
      </c>
      <c r="V23" s="105">
        <v>14</v>
      </c>
      <c r="W23" s="105">
        <v>15</v>
      </c>
      <c r="X23" s="105">
        <v>16</v>
      </c>
      <c r="Y23" s="105">
        <v>17</v>
      </c>
      <c r="Z23" s="105">
        <v>18</v>
      </c>
      <c r="AA23" s="105">
        <v>19</v>
      </c>
      <c r="AB23" s="105">
        <v>20</v>
      </c>
      <c r="AC23" s="124">
        <f t="shared" ref="AC23" si="0">AB23+1</f>
        <v>21</v>
      </c>
    </row>
    <row r="24" spans="1:32" ht="47.25" customHeight="1" x14ac:dyDescent="0.25">
      <c r="A24" s="60">
        <v>1</v>
      </c>
      <c r="B24" s="59" t="s">
        <v>177</v>
      </c>
      <c r="C24" s="120">
        <f>SUM(C25:C29)</f>
        <v>294.53059319620257</v>
      </c>
      <c r="D24" s="120">
        <v>0</v>
      </c>
      <c r="E24" s="120">
        <f>SUM(E25:E29)</f>
        <v>294.53059319620257</v>
      </c>
      <c r="F24" s="120">
        <f>SUM(F25:F29)</f>
        <v>293.97652119620255</v>
      </c>
      <c r="G24" s="120">
        <f t="shared" ref="G24" si="1">SUM(G25:G29)</f>
        <v>0</v>
      </c>
      <c r="H24" s="120">
        <f t="shared" ref="H24:M24" si="2">SUM(H25:H29)</f>
        <v>0.55407200000000001</v>
      </c>
      <c r="I24" s="120">
        <f t="shared" si="2"/>
        <v>0</v>
      </c>
      <c r="J24" s="120">
        <f t="shared" si="2"/>
        <v>0.55407200000000001</v>
      </c>
      <c r="K24" s="120">
        <f t="shared" si="2"/>
        <v>0</v>
      </c>
      <c r="L24" s="120">
        <f t="shared" si="2"/>
        <v>160.58748429999991</v>
      </c>
      <c r="M24" s="120">
        <f t="shared" si="2"/>
        <v>128.46998823999991</v>
      </c>
      <c r="N24" s="120">
        <f t="shared" ref="N24" si="3">SUM(N25:N29)</f>
        <v>134.10904273</v>
      </c>
      <c r="O24" s="120">
        <f t="shared" ref="O24:AA24" si="4">SUM(O25:O29)</f>
        <v>101.99154667000002</v>
      </c>
      <c r="P24" s="120">
        <f t="shared" si="4"/>
        <v>133.38903689620324</v>
      </c>
      <c r="Q24" s="120">
        <f t="shared" si="4"/>
        <v>0</v>
      </c>
      <c r="R24" s="120">
        <f t="shared" si="4"/>
        <v>0</v>
      </c>
      <c r="S24" s="120">
        <f t="shared" si="4"/>
        <v>0</v>
      </c>
      <c r="T24" s="120">
        <f t="shared" si="4"/>
        <v>0</v>
      </c>
      <c r="U24" s="120">
        <f t="shared" si="4"/>
        <v>0</v>
      </c>
      <c r="V24" s="120">
        <f t="shared" si="4"/>
        <v>0</v>
      </c>
      <c r="W24" s="120">
        <f t="shared" si="4"/>
        <v>0</v>
      </c>
      <c r="X24" s="120">
        <f t="shared" si="4"/>
        <v>0</v>
      </c>
      <c r="Y24" s="120">
        <f t="shared" si="4"/>
        <v>0</v>
      </c>
      <c r="Z24" s="120">
        <f t="shared" si="4"/>
        <v>0</v>
      </c>
      <c r="AA24" s="120">
        <f t="shared" si="4"/>
        <v>0</v>
      </c>
      <c r="AB24" s="126">
        <f t="shared" ref="AB24:AB64" si="5">SUM(H24,L24,P24,T24,X24)</f>
        <v>294.53059319620314</v>
      </c>
      <c r="AC24" s="126">
        <f>J24+N24+R24+V24+Z24</f>
        <v>134.66311472999999</v>
      </c>
    </row>
    <row r="25" spans="1:32" ht="24" customHeight="1" x14ac:dyDescent="0.25">
      <c r="A25" s="57" t="s">
        <v>176</v>
      </c>
      <c r="B25" s="33" t="s">
        <v>175</v>
      </c>
      <c r="C25" s="120">
        <v>0</v>
      </c>
      <c r="D25" s="120">
        <v>0</v>
      </c>
      <c r="E25" s="120">
        <f>C25</f>
        <v>0</v>
      </c>
      <c r="F25" s="120">
        <f>E25-G25-H25</f>
        <v>0</v>
      </c>
      <c r="G25" s="122">
        <v>0</v>
      </c>
      <c r="H25" s="122">
        <v>0</v>
      </c>
      <c r="I25" s="122">
        <v>0</v>
      </c>
      <c r="J25" s="122">
        <v>0</v>
      </c>
      <c r="K25" s="122">
        <v>0</v>
      </c>
      <c r="L25" s="122">
        <f>F25</f>
        <v>0</v>
      </c>
      <c r="M25" s="122">
        <v>0</v>
      </c>
      <c r="N25" s="122">
        <f t="shared" ref="N25:N27" si="6">F25</f>
        <v>0</v>
      </c>
      <c r="O25" s="122">
        <v>0</v>
      </c>
      <c r="P25" s="122">
        <v>0</v>
      </c>
      <c r="Q25" s="122">
        <v>0</v>
      </c>
      <c r="R25" s="122">
        <v>0</v>
      </c>
      <c r="S25" s="122">
        <v>0</v>
      </c>
      <c r="T25" s="122">
        <v>0</v>
      </c>
      <c r="U25" s="122">
        <v>0</v>
      </c>
      <c r="V25" s="122">
        <v>0</v>
      </c>
      <c r="W25" s="122">
        <v>0</v>
      </c>
      <c r="X25" s="122">
        <v>0</v>
      </c>
      <c r="Y25" s="122">
        <v>0</v>
      </c>
      <c r="Z25" s="122">
        <v>0</v>
      </c>
      <c r="AA25" s="122">
        <v>0</v>
      </c>
      <c r="AB25" s="126">
        <f t="shared" si="5"/>
        <v>0</v>
      </c>
      <c r="AC25" s="126">
        <f t="shared" ref="AC25:AC64" si="7">J25+N25+R25+V25+Z25</f>
        <v>0</v>
      </c>
    </row>
    <row r="26" spans="1:32" x14ac:dyDescent="0.25">
      <c r="A26" s="57" t="s">
        <v>174</v>
      </c>
      <c r="B26" s="33" t="s">
        <v>173</v>
      </c>
      <c r="C26" s="120">
        <v>0</v>
      </c>
      <c r="D26" s="120">
        <v>0</v>
      </c>
      <c r="E26" s="120">
        <f>C26</f>
        <v>0</v>
      </c>
      <c r="F26" s="120">
        <f>E26-G26-H26</f>
        <v>0</v>
      </c>
      <c r="G26" s="122">
        <v>0</v>
      </c>
      <c r="H26" s="122">
        <v>0</v>
      </c>
      <c r="I26" s="122">
        <v>0</v>
      </c>
      <c r="J26" s="122">
        <v>0</v>
      </c>
      <c r="K26" s="122">
        <v>0</v>
      </c>
      <c r="L26" s="122">
        <f>F26</f>
        <v>0</v>
      </c>
      <c r="M26" s="122">
        <v>0</v>
      </c>
      <c r="N26" s="122">
        <f t="shared" si="6"/>
        <v>0</v>
      </c>
      <c r="O26" s="122">
        <v>0</v>
      </c>
      <c r="P26" s="122">
        <v>0</v>
      </c>
      <c r="Q26" s="122">
        <v>0</v>
      </c>
      <c r="R26" s="122">
        <v>0</v>
      </c>
      <c r="S26" s="122">
        <v>0</v>
      </c>
      <c r="T26" s="122">
        <v>0</v>
      </c>
      <c r="U26" s="122">
        <v>0</v>
      </c>
      <c r="V26" s="122">
        <v>0</v>
      </c>
      <c r="W26" s="122">
        <v>0</v>
      </c>
      <c r="X26" s="122">
        <v>0</v>
      </c>
      <c r="Y26" s="122">
        <v>0</v>
      </c>
      <c r="Z26" s="122">
        <v>0</v>
      </c>
      <c r="AA26" s="122">
        <v>0</v>
      </c>
      <c r="AB26" s="126">
        <f t="shared" si="5"/>
        <v>0</v>
      </c>
      <c r="AC26" s="126">
        <f t="shared" si="7"/>
        <v>0</v>
      </c>
    </row>
    <row r="27" spans="1:32" ht="31.5" x14ac:dyDescent="0.25">
      <c r="A27" s="57" t="s">
        <v>172</v>
      </c>
      <c r="B27" s="33" t="s">
        <v>356</v>
      </c>
      <c r="C27" s="120">
        <v>0</v>
      </c>
      <c r="D27" s="120">
        <v>0</v>
      </c>
      <c r="E27" s="120">
        <f>C27</f>
        <v>0</v>
      </c>
      <c r="F27" s="120">
        <f>E27-G27-H27</f>
        <v>0</v>
      </c>
      <c r="G27" s="122">
        <v>0</v>
      </c>
      <c r="H27" s="122">
        <v>0</v>
      </c>
      <c r="I27" s="122">
        <v>0</v>
      </c>
      <c r="J27" s="122">
        <v>0</v>
      </c>
      <c r="K27" s="122">
        <v>0</v>
      </c>
      <c r="L27" s="122">
        <f>F27</f>
        <v>0</v>
      </c>
      <c r="M27" s="122">
        <v>0</v>
      </c>
      <c r="N27" s="122">
        <f t="shared" si="6"/>
        <v>0</v>
      </c>
      <c r="O27" s="122">
        <v>0</v>
      </c>
      <c r="P27" s="122">
        <v>0</v>
      </c>
      <c r="Q27" s="122">
        <v>0</v>
      </c>
      <c r="R27" s="122">
        <v>0</v>
      </c>
      <c r="S27" s="122">
        <v>0</v>
      </c>
      <c r="T27" s="122">
        <v>0</v>
      </c>
      <c r="U27" s="122">
        <v>0</v>
      </c>
      <c r="V27" s="122">
        <v>0</v>
      </c>
      <c r="W27" s="122">
        <v>0</v>
      </c>
      <c r="X27" s="122">
        <v>0</v>
      </c>
      <c r="Y27" s="122">
        <v>0</v>
      </c>
      <c r="Z27" s="122">
        <v>0</v>
      </c>
      <c r="AA27" s="122">
        <v>0</v>
      </c>
      <c r="AB27" s="126">
        <f t="shared" si="5"/>
        <v>0</v>
      </c>
      <c r="AC27" s="126">
        <f t="shared" si="7"/>
        <v>0</v>
      </c>
      <c r="AF27" s="121"/>
    </row>
    <row r="28" spans="1:32" x14ac:dyDescent="0.25">
      <c r="A28" s="57" t="s">
        <v>171</v>
      </c>
      <c r="B28" s="33" t="s">
        <v>170</v>
      </c>
      <c r="C28" s="120">
        <f>C30*1.18</f>
        <v>294.53059319620257</v>
      </c>
      <c r="D28" s="120">
        <v>0</v>
      </c>
      <c r="E28" s="120">
        <f>C28</f>
        <v>294.53059319620257</v>
      </c>
      <c r="F28" s="120">
        <f>E28-G28-H28</f>
        <v>293.97652119620255</v>
      </c>
      <c r="G28" s="122">
        <v>0</v>
      </c>
      <c r="H28" s="122">
        <v>0.55407200000000001</v>
      </c>
      <c r="I28" s="122">
        <v>0</v>
      </c>
      <c r="J28" s="122">
        <v>0.55407200000000001</v>
      </c>
      <c r="K28" s="122">
        <v>0</v>
      </c>
      <c r="L28" s="122">
        <v>160.58748429999991</v>
      </c>
      <c r="M28" s="122">
        <v>128.46998823999991</v>
      </c>
      <c r="N28" s="122">
        <v>134.10904273</v>
      </c>
      <c r="O28" s="122">
        <v>101.99154667000002</v>
      </c>
      <c r="P28" s="122">
        <v>133.38903689620324</v>
      </c>
      <c r="Q28" s="122">
        <v>0</v>
      </c>
      <c r="R28" s="122">
        <v>0</v>
      </c>
      <c r="S28" s="122">
        <v>0</v>
      </c>
      <c r="T28" s="122">
        <v>0</v>
      </c>
      <c r="U28" s="122">
        <v>0</v>
      </c>
      <c r="V28" s="122">
        <v>0</v>
      </c>
      <c r="W28" s="122">
        <v>0</v>
      </c>
      <c r="X28" s="122">
        <v>0</v>
      </c>
      <c r="Y28" s="122">
        <v>0</v>
      </c>
      <c r="Z28" s="122">
        <v>0</v>
      </c>
      <c r="AA28" s="122">
        <v>0</v>
      </c>
      <c r="AB28" s="126">
        <f t="shared" si="5"/>
        <v>294.53059319620314</v>
      </c>
      <c r="AC28" s="126">
        <f t="shared" si="7"/>
        <v>134.66311472999999</v>
      </c>
    </row>
    <row r="29" spans="1:32" x14ac:dyDescent="0.25">
      <c r="A29" s="57" t="s">
        <v>169</v>
      </c>
      <c r="B29" s="61" t="s">
        <v>168</v>
      </c>
      <c r="C29" s="120">
        <v>0</v>
      </c>
      <c r="D29" s="120">
        <v>0</v>
      </c>
      <c r="E29" s="120">
        <f>C29</f>
        <v>0</v>
      </c>
      <c r="F29" s="120">
        <f>E29-G29-H29</f>
        <v>0</v>
      </c>
      <c r="G29" s="122">
        <v>0</v>
      </c>
      <c r="H29" s="122">
        <v>0</v>
      </c>
      <c r="I29" s="122">
        <v>0</v>
      </c>
      <c r="J29" s="122">
        <v>0</v>
      </c>
      <c r="K29" s="122">
        <v>0</v>
      </c>
      <c r="L29" s="122">
        <f>F29</f>
        <v>0</v>
      </c>
      <c r="M29" s="122">
        <v>0</v>
      </c>
      <c r="N29" s="122">
        <v>0</v>
      </c>
      <c r="O29" s="122">
        <v>0</v>
      </c>
      <c r="P29" s="122">
        <v>0</v>
      </c>
      <c r="Q29" s="122">
        <v>0</v>
      </c>
      <c r="R29" s="122">
        <v>0</v>
      </c>
      <c r="S29" s="122">
        <v>0</v>
      </c>
      <c r="T29" s="122">
        <v>0</v>
      </c>
      <c r="U29" s="122">
        <v>0</v>
      </c>
      <c r="V29" s="122">
        <v>0</v>
      </c>
      <c r="W29" s="122">
        <v>0</v>
      </c>
      <c r="X29" s="122">
        <v>0</v>
      </c>
      <c r="Y29" s="122">
        <v>0</v>
      </c>
      <c r="Z29" s="122">
        <v>0</v>
      </c>
      <c r="AA29" s="122">
        <v>0</v>
      </c>
      <c r="AB29" s="126">
        <f t="shared" si="5"/>
        <v>0</v>
      </c>
      <c r="AC29" s="126">
        <f t="shared" si="7"/>
        <v>0</v>
      </c>
      <c r="AF29" s="121"/>
    </row>
    <row r="30" spans="1:32" ht="47.25" x14ac:dyDescent="0.25">
      <c r="A30" s="60" t="s">
        <v>61</v>
      </c>
      <c r="B30" s="59" t="s">
        <v>167</v>
      </c>
      <c r="C30" s="120">
        <f>SUM(C31:C34)</f>
        <v>249.60219762390051</v>
      </c>
      <c r="D30" s="120">
        <v>0</v>
      </c>
      <c r="E30" s="120">
        <f>SUM(E31:E34)</f>
        <v>249.60219762390051</v>
      </c>
      <c r="F30" s="120">
        <f>SUM(F31:F34)</f>
        <v>249.13264508152764</v>
      </c>
      <c r="G30" s="120">
        <f t="shared" ref="G30" si="8">SUM(G31:G34)</f>
        <v>0</v>
      </c>
      <c r="H30" s="120">
        <f>SUM(H31:H34)</f>
        <v>0.46955254237288102</v>
      </c>
      <c r="I30" s="120">
        <f>SUM(I31:I34)</f>
        <v>0</v>
      </c>
      <c r="J30" s="120">
        <f>SUM(J31:J34)</f>
        <v>0.46955254237288102</v>
      </c>
      <c r="K30" s="120">
        <f>SUM(K31:K34)</f>
        <v>0</v>
      </c>
      <c r="L30" s="120">
        <f>145.62859444541</f>
        <v>145.62859444540999</v>
      </c>
      <c r="M30" s="120">
        <v>145.6285944454101</v>
      </c>
      <c r="N30" s="120">
        <v>94.271501650000005</v>
      </c>
      <c r="O30" s="120">
        <v>94.27150164999999</v>
      </c>
      <c r="P30" s="120">
        <v>103.504050636118</v>
      </c>
      <c r="Q30" s="120">
        <f t="shared" ref="Q30:AA30" si="9">SUM(Q31:Q34)</f>
        <v>0</v>
      </c>
      <c r="R30" s="120">
        <f t="shared" si="9"/>
        <v>0</v>
      </c>
      <c r="S30" s="120">
        <f t="shared" si="9"/>
        <v>0</v>
      </c>
      <c r="T30" s="120">
        <f t="shared" si="9"/>
        <v>0</v>
      </c>
      <c r="U30" s="120">
        <f t="shared" si="9"/>
        <v>0</v>
      </c>
      <c r="V30" s="120">
        <f t="shared" si="9"/>
        <v>0</v>
      </c>
      <c r="W30" s="120">
        <f t="shared" si="9"/>
        <v>0</v>
      </c>
      <c r="X30" s="120">
        <f t="shared" si="9"/>
        <v>0</v>
      </c>
      <c r="Y30" s="120">
        <f t="shared" si="9"/>
        <v>0</v>
      </c>
      <c r="Z30" s="120">
        <f t="shared" si="9"/>
        <v>0</v>
      </c>
      <c r="AA30" s="120">
        <f t="shared" si="9"/>
        <v>0</v>
      </c>
      <c r="AB30" s="126">
        <f t="shared" si="5"/>
        <v>249.60219762390085</v>
      </c>
      <c r="AC30" s="126">
        <f t="shared" si="7"/>
        <v>94.741054192372886</v>
      </c>
      <c r="AE30" s="121"/>
    </row>
    <row r="31" spans="1:32" x14ac:dyDescent="0.25">
      <c r="A31" s="60" t="s">
        <v>166</v>
      </c>
      <c r="B31" s="33" t="s">
        <v>165</v>
      </c>
      <c r="C31" s="120">
        <f>4.7144209*1.41456447846*0.7</f>
        <v>4.6681966391545968</v>
      </c>
      <c r="D31" s="120">
        <v>0</v>
      </c>
      <c r="E31" s="120">
        <f>C31</f>
        <v>4.6681966391545968</v>
      </c>
      <c r="F31" s="120">
        <f>E31-G31-H31</f>
        <v>4.6681966391545968</v>
      </c>
      <c r="G31" s="122">
        <v>0</v>
      </c>
      <c r="H31" s="122">
        <v>0</v>
      </c>
      <c r="I31" s="122">
        <v>0</v>
      </c>
      <c r="J31" s="122">
        <v>0</v>
      </c>
      <c r="K31" s="122">
        <v>0</v>
      </c>
      <c r="L31" s="122">
        <f>F31</f>
        <v>4.6681966391545968</v>
      </c>
      <c r="M31" s="122">
        <v>4.6681966391545968</v>
      </c>
      <c r="N31" s="122">
        <v>0</v>
      </c>
      <c r="O31" s="122">
        <v>0</v>
      </c>
      <c r="P31" s="122">
        <v>0</v>
      </c>
      <c r="Q31" s="122">
        <v>0</v>
      </c>
      <c r="R31" s="122">
        <v>0</v>
      </c>
      <c r="S31" s="122">
        <v>0</v>
      </c>
      <c r="T31" s="122">
        <v>0</v>
      </c>
      <c r="U31" s="122">
        <v>0</v>
      </c>
      <c r="V31" s="122">
        <v>0</v>
      </c>
      <c r="W31" s="122">
        <v>0</v>
      </c>
      <c r="X31" s="122">
        <v>0</v>
      </c>
      <c r="Y31" s="122">
        <v>0</v>
      </c>
      <c r="Z31" s="122">
        <v>0</v>
      </c>
      <c r="AA31" s="122">
        <v>0</v>
      </c>
      <c r="AB31" s="126">
        <f t="shared" si="5"/>
        <v>4.6681966391545968</v>
      </c>
      <c r="AC31" s="126">
        <f t="shared" si="7"/>
        <v>0</v>
      </c>
    </row>
    <row r="32" spans="1:32" ht="31.5" x14ac:dyDescent="0.25">
      <c r="A32" s="60" t="s">
        <v>164</v>
      </c>
      <c r="B32" s="33" t="s">
        <v>163</v>
      </c>
      <c r="C32" s="120">
        <f>22.591709*1.41456447846*0.7</f>
        <v>22.370200341373565</v>
      </c>
      <c r="D32" s="120">
        <v>0</v>
      </c>
      <c r="E32" s="120">
        <f>C32</f>
        <v>22.370200341373565</v>
      </c>
      <c r="F32" s="120">
        <f>E32-G32-H32</f>
        <v>22.370200341373565</v>
      </c>
      <c r="G32" s="122">
        <v>0</v>
      </c>
      <c r="H32" s="122">
        <v>0</v>
      </c>
      <c r="I32" s="122">
        <v>0</v>
      </c>
      <c r="J32" s="122">
        <v>0</v>
      </c>
      <c r="K32" s="122">
        <v>0</v>
      </c>
      <c r="L32" s="122">
        <f>F32-P32</f>
        <v>13.076330611391265</v>
      </c>
      <c r="M32" s="122">
        <v>13.076330611391265</v>
      </c>
      <c r="N32" s="122">
        <v>1.979398</v>
      </c>
      <c r="O32" s="122">
        <v>1.979398</v>
      </c>
      <c r="P32" s="122">
        <f>F32*(P30/F30)</f>
        <v>9.2938697299822994</v>
      </c>
      <c r="Q32" s="122">
        <v>0</v>
      </c>
      <c r="R32" s="122">
        <v>0</v>
      </c>
      <c r="S32" s="122">
        <v>0</v>
      </c>
      <c r="T32" s="122">
        <v>0</v>
      </c>
      <c r="U32" s="122">
        <v>0</v>
      </c>
      <c r="V32" s="122">
        <v>0</v>
      </c>
      <c r="W32" s="122">
        <v>0</v>
      </c>
      <c r="X32" s="122">
        <v>0</v>
      </c>
      <c r="Y32" s="122">
        <v>0</v>
      </c>
      <c r="Z32" s="122">
        <v>0</v>
      </c>
      <c r="AA32" s="122">
        <v>0</v>
      </c>
      <c r="AB32" s="126">
        <f t="shared" si="5"/>
        <v>22.370200341373565</v>
      </c>
      <c r="AC32" s="126">
        <f t="shared" si="7"/>
        <v>1.979398</v>
      </c>
    </row>
    <row r="33" spans="1:29" x14ac:dyDescent="0.25">
      <c r="A33" s="60" t="s">
        <v>162</v>
      </c>
      <c r="B33" s="33" t="s">
        <v>161</v>
      </c>
      <c r="C33" s="123">
        <f>210.6058062*1.41456447846*0.7</f>
        <v>208.54084468556556</v>
      </c>
      <c r="D33" s="123">
        <v>0</v>
      </c>
      <c r="E33" s="120">
        <f>C33</f>
        <v>208.54084468556556</v>
      </c>
      <c r="F33" s="120">
        <f>E33-G33-H33</f>
        <v>208.54084468556556</v>
      </c>
      <c r="G33" s="122">
        <v>0</v>
      </c>
      <c r="H33" s="122">
        <v>0</v>
      </c>
      <c r="I33" s="122">
        <v>0</v>
      </c>
      <c r="J33" s="122">
        <v>0</v>
      </c>
      <c r="K33" s="122">
        <v>0</v>
      </c>
      <c r="L33" s="122">
        <f>F33-P33</f>
        <v>121.90096599375441</v>
      </c>
      <c r="M33" s="122">
        <v>121.90096599375441</v>
      </c>
      <c r="N33" s="122">
        <v>91.699434690000004</v>
      </c>
      <c r="O33" s="122">
        <v>91.699434690000004</v>
      </c>
      <c r="P33" s="122">
        <f>F33*(P30/F30)</f>
        <v>86.639878691811148</v>
      </c>
      <c r="Q33" s="122">
        <v>0</v>
      </c>
      <c r="R33" s="122">
        <v>0</v>
      </c>
      <c r="S33" s="122">
        <v>0</v>
      </c>
      <c r="T33" s="122">
        <v>0</v>
      </c>
      <c r="U33" s="122">
        <v>0</v>
      </c>
      <c r="V33" s="122">
        <v>0</v>
      </c>
      <c r="W33" s="122">
        <v>0</v>
      </c>
      <c r="X33" s="122">
        <v>0</v>
      </c>
      <c r="Y33" s="122">
        <v>0</v>
      </c>
      <c r="Z33" s="122">
        <v>0</v>
      </c>
      <c r="AA33" s="122">
        <v>0</v>
      </c>
      <c r="AB33" s="126">
        <f t="shared" si="5"/>
        <v>208.54084468556556</v>
      </c>
      <c r="AC33" s="126">
        <f t="shared" si="7"/>
        <v>91.699434690000004</v>
      </c>
    </row>
    <row r="34" spans="1:29" x14ac:dyDescent="0.25">
      <c r="A34" s="60" t="s">
        <v>160</v>
      </c>
      <c r="B34" s="33" t="s">
        <v>159</v>
      </c>
      <c r="C34" s="120">
        <f>14.1618106*1.41456447846*0.7</f>
        <v>14.022955957806809</v>
      </c>
      <c r="D34" s="120">
        <v>0</v>
      </c>
      <c r="E34" s="120">
        <f>C34</f>
        <v>14.022955957806809</v>
      </c>
      <c r="F34" s="120">
        <f>E34-G34-H34</f>
        <v>13.553403415433928</v>
      </c>
      <c r="G34" s="122">
        <v>0</v>
      </c>
      <c r="H34" s="122">
        <v>0.46955254237288102</v>
      </c>
      <c r="I34" s="122">
        <v>0</v>
      </c>
      <c r="J34" s="122">
        <v>0.46955254237288102</v>
      </c>
      <c r="K34" s="122">
        <v>0</v>
      </c>
      <c r="L34" s="122">
        <f>L30-L31-L32-L33</f>
        <v>5.9831012011097187</v>
      </c>
      <c r="M34" s="122">
        <v>5.9831012011097187</v>
      </c>
      <c r="N34" s="122">
        <v>0.59266895999999991</v>
      </c>
      <c r="O34" s="122">
        <v>0.59266895999999991</v>
      </c>
      <c r="P34" s="122">
        <f>P30-P31-P32-P33</f>
        <v>7.570302214324542</v>
      </c>
      <c r="Q34" s="122">
        <v>0</v>
      </c>
      <c r="R34" s="122">
        <v>0</v>
      </c>
      <c r="S34" s="122">
        <v>0</v>
      </c>
      <c r="T34" s="122">
        <v>0</v>
      </c>
      <c r="U34" s="122">
        <v>0</v>
      </c>
      <c r="V34" s="122">
        <v>0</v>
      </c>
      <c r="W34" s="122">
        <v>0</v>
      </c>
      <c r="X34" s="122">
        <v>0</v>
      </c>
      <c r="Y34" s="122">
        <v>0</v>
      </c>
      <c r="Z34" s="122">
        <v>0</v>
      </c>
      <c r="AA34" s="122">
        <v>0</v>
      </c>
      <c r="AB34" s="126">
        <f t="shared" si="5"/>
        <v>14.022955957807142</v>
      </c>
      <c r="AC34" s="126">
        <f t="shared" si="7"/>
        <v>1.0622215023728809</v>
      </c>
    </row>
    <row r="35" spans="1:29" ht="31.5" x14ac:dyDescent="0.25">
      <c r="A35" s="60" t="s">
        <v>60</v>
      </c>
      <c r="B35" s="59" t="s">
        <v>158</v>
      </c>
      <c r="C35" s="120">
        <v>0</v>
      </c>
      <c r="D35" s="120">
        <v>0</v>
      </c>
      <c r="E35" s="120">
        <v>0</v>
      </c>
      <c r="F35" s="120">
        <v>0</v>
      </c>
      <c r="G35" s="120">
        <v>0</v>
      </c>
      <c r="H35" s="120">
        <v>0</v>
      </c>
      <c r="I35" s="120">
        <v>0</v>
      </c>
      <c r="J35" s="120">
        <v>0</v>
      </c>
      <c r="K35" s="120">
        <v>0</v>
      </c>
      <c r="L35" s="120">
        <v>0</v>
      </c>
      <c r="M35" s="120">
        <v>0</v>
      </c>
      <c r="N35" s="120">
        <v>0</v>
      </c>
      <c r="O35" s="120">
        <v>0</v>
      </c>
      <c r="P35" s="120">
        <v>0</v>
      </c>
      <c r="Q35" s="120">
        <v>0</v>
      </c>
      <c r="R35" s="120">
        <v>0</v>
      </c>
      <c r="S35" s="120">
        <v>0</v>
      </c>
      <c r="T35" s="120">
        <v>0</v>
      </c>
      <c r="U35" s="120">
        <v>0</v>
      </c>
      <c r="V35" s="120">
        <v>0</v>
      </c>
      <c r="W35" s="120">
        <v>0</v>
      </c>
      <c r="X35" s="120">
        <v>0</v>
      </c>
      <c r="Y35" s="120">
        <v>0</v>
      </c>
      <c r="Z35" s="120">
        <v>0</v>
      </c>
      <c r="AA35" s="120">
        <v>0</v>
      </c>
      <c r="AB35" s="126">
        <f t="shared" si="5"/>
        <v>0</v>
      </c>
      <c r="AC35" s="126">
        <f t="shared" si="7"/>
        <v>0</v>
      </c>
    </row>
    <row r="36" spans="1:29" ht="31.5" x14ac:dyDescent="0.25">
      <c r="A36" s="57" t="s">
        <v>157</v>
      </c>
      <c r="B36" s="56" t="s">
        <v>156</v>
      </c>
      <c r="C36" s="120">
        <v>0</v>
      </c>
      <c r="D36" s="120">
        <v>0</v>
      </c>
      <c r="E36" s="120">
        <v>0</v>
      </c>
      <c r="F36" s="120">
        <v>0</v>
      </c>
      <c r="G36" s="122">
        <v>0</v>
      </c>
      <c r="H36" s="122">
        <v>0</v>
      </c>
      <c r="I36" s="122">
        <v>0</v>
      </c>
      <c r="J36" s="122">
        <v>0</v>
      </c>
      <c r="K36" s="122">
        <v>0</v>
      </c>
      <c r="L36" s="122">
        <v>0</v>
      </c>
      <c r="M36" s="122">
        <v>0</v>
      </c>
      <c r="N36" s="122">
        <v>0</v>
      </c>
      <c r="O36" s="122">
        <v>0</v>
      </c>
      <c r="P36" s="122">
        <v>0</v>
      </c>
      <c r="Q36" s="122">
        <v>0</v>
      </c>
      <c r="R36" s="122">
        <v>0</v>
      </c>
      <c r="S36" s="122">
        <v>0</v>
      </c>
      <c r="T36" s="122">
        <v>0</v>
      </c>
      <c r="U36" s="122">
        <v>0</v>
      </c>
      <c r="V36" s="122">
        <v>0</v>
      </c>
      <c r="W36" s="122">
        <v>0</v>
      </c>
      <c r="X36" s="122">
        <v>0</v>
      </c>
      <c r="Y36" s="122">
        <v>0</v>
      </c>
      <c r="Z36" s="122">
        <v>0</v>
      </c>
      <c r="AA36" s="122">
        <v>0</v>
      </c>
      <c r="AB36" s="126">
        <f t="shared" si="5"/>
        <v>0</v>
      </c>
      <c r="AC36" s="126">
        <f t="shared" si="7"/>
        <v>0</v>
      </c>
    </row>
    <row r="37" spans="1:29" x14ac:dyDescent="0.25">
      <c r="A37" s="57" t="s">
        <v>155</v>
      </c>
      <c r="B37" s="56" t="s">
        <v>145</v>
      </c>
      <c r="C37" s="120">
        <v>80</v>
      </c>
      <c r="D37" s="120">
        <v>0</v>
      </c>
      <c r="E37" s="120">
        <f>C37</f>
        <v>80</v>
      </c>
      <c r="F37" s="120">
        <f>E37-G37-H37</f>
        <v>80</v>
      </c>
      <c r="G37" s="122">
        <v>0</v>
      </c>
      <c r="H37" s="122">
        <v>0</v>
      </c>
      <c r="I37" s="122">
        <v>0</v>
      </c>
      <c r="J37" s="122">
        <v>0</v>
      </c>
      <c r="K37" s="122">
        <v>0</v>
      </c>
      <c r="L37" s="122">
        <v>0</v>
      </c>
      <c r="M37" s="122">
        <v>0</v>
      </c>
      <c r="N37" s="122">
        <v>0</v>
      </c>
      <c r="O37" s="122">
        <v>0</v>
      </c>
      <c r="P37" s="122">
        <f t="shared" ref="P37:P42" si="10">F37</f>
        <v>80</v>
      </c>
      <c r="Q37" s="122">
        <v>0</v>
      </c>
      <c r="R37" s="122">
        <v>0</v>
      </c>
      <c r="S37" s="122">
        <v>0</v>
      </c>
      <c r="T37" s="122">
        <v>0</v>
      </c>
      <c r="U37" s="122">
        <v>0</v>
      </c>
      <c r="V37" s="122">
        <v>0</v>
      </c>
      <c r="W37" s="122">
        <v>0</v>
      </c>
      <c r="X37" s="122">
        <v>0</v>
      </c>
      <c r="Y37" s="122">
        <v>0</v>
      </c>
      <c r="Z37" s="122">
        <v>0</v>
      </c>
      <c r="AA37" s="122">
        <v>0</v>
      </c>
      <c r="AB37" s="126">
        <f t="shared" si="5"/>
        <v>80</v>
      </c>
      <c r="AC37" s="126">
        <f t="shared" si="7"/>
        <v>0</v>
      </c>
    </row>
    <row r="38" spans="1:29" x14ac:dyDescent="0.25">
      <c r="A38" s="57" t="s">
        <v>154</v>
      </c>
      <c r="B38" s="56" t="s">
        <v>143</v>
      </c>
      <c r="C38" s="120">
        <v>0</v>
      </c>
      <c r="D38" s="120">
        <v>0</v>
      </c>
      <c r="E38" s="120">
        <v>0</v>
      </c>
      <c r="F38" s="120">
        <v>0</v>
      </c>
      <c r="G38" s="122">
        <v>0</v>
      </c>
      <c r="H38" s="122">
        <v>0</v>
      </c>
      <c r="I38" s="122">
        <v>0</v>
      </c>
      <c r="J38" s="122">
        <v>0</v>
      </c>
      <c r="K38" s="122">
        <v>0</v>
      </c>
      <c r="L38" s="122">
        <v>0</v>
      </c>
      <c r="M38" s="122">
        <v>0</v>
      </c>
      <c r="N38" s="122">
        <v>0</v>
      </c>
      <c r="O38" s="122">
        <v>0</v>
      </c>
      <c r="P38" s="122">
        <f t="shared" si="10"/>
        <v>0</v>
      </c>
      <c r="Q38" s="122">
        <v>0</v>
      </c>
      <c r="R38" s="122">
        <v>0</v>
      </c>
      <c r="S38" s="122">
        <v>0</v>
      </c>
      <c r="T38" s="122">
        <v>0</v>
      </c>
      <c r="U38" s="122">
        <v>0</v>
      </c>
      <c r="V38" s="122">
        <v>0</v>
      </c>
      <c r="W38" s="122">
        <v>0</v>
      </c>
      <c r="X38" s="122">
        <v>0</v>
      </c>
      <c r="Y38" s="122">
        <v>0</v>
      </c>
      <c r="Z38" s="122">
        <v>0</v>
      </c>
      <c r="AA38" s="122">
        <v>0</v>
      </c>
      <c r="AB38" s="126">
        <f t="shared" si="5"/>
        <v>0</v>
      </c>
      <c r="AC38" s="126">
        <f t="shared" si="7"/>
        <v>0</v>
      </c>
    </row>
    <row r="39" spans="1:29" ht="31.5" x14ac:dyDescent="0.25">
      <c r="A39" s="57" t="s">
        <v>153</v>
      </c>
      <c r="B39" s="33" t="s">
        <v>141</v>
      </c>
      <c r="C39" s="120">
        <v>0</v>
      </c>
      <c r="D39" s="120">
        <v>0</v>
      </c>
      <c r="E39" s="120">
        <v>0</v>
      </c>
      <c r="F39" s="120">
        <v>0</v>
      </c>
      <c r="G39" s="122">
        <v>0</v>
      </c>
      <c r="H39" s="122">
        <v>0</v>
      </c>
      <c r="I39" s="122">
        <v>0</v>
      </c>
      <c r="J39" s="122">
        <v>0</v>
      </c>
      <c r="K39" s="122">
        <v>0</v>
      </c>
      <c r="L39" s="122">
        <v>0</v>
      </c>
      <c r="M39" s="122">
        <v>0</v>
      </c>
      <c r="N39" s="122">
        <v>0</v>
      </c>
      <c r="O39" s="122">
        <v>0</v>
      </c>
      <c r="P39" s="122">
        <f t="shared" si="10"/>
        <v>0</v>
      </c>
      <c r="Q39" s="122">
        <v>0</v>
      </c>
      <c r="R39" s="122">
        <v>0</v>
      </c>
      <c r="S39" s="122">
        <v>0</v>
      </c>
      <c r="T39" s="122">
        <v>0</v>
      </c>
      <c r="U39" s="122">
        <v>0</v>
      </c>
      <c r="V39" s="122">
        <v>0</v>
      </c>
      <c r="W39" s="122">
        <v>0</v>
      </c>
      <c r="X39" s="122">
        <v>0</v>
      </c>
      <c r="Y39" s="122">
        <v>0</v>
      </c>
      <c r="Z39" s="122">
        <v>0</v>
      </c>
      <c r="AA39" s="122">
        <v>0</v>
      </c>
      <c r="AB39" s="126">
        <f t="shared" si="5"/>
        <v>0</v>
      </c>
      <c r="AC39" s="126">
        <f t="shared" si="7"/>
        <v>0</v>
      </c>
    </row>
    <row r="40" spans="1:29" ht="31.5" x14ac:dyDescent="0.25">
      <c r="A40" s="57" t="s">
        <v>152</v>
      </c>
      <c r="B40" s="33" t="s">
        <v>139</v>
      </c>
      <c r="C40" s="120">
        <v>0</v>
      </c>
      <c r="D40" s="120">
        <v>0</v>
      </c>
      <c r="E40" s="120">
        <v>0</v>
      </c>
      <c r="F40" s="120">
        <v>0</v>
      </c>
      <c r="G40" s="122">
        <v>0</v>
      </c>
      <c r="H40" s="122">
        <v>0</v>
      </c>
      <c r="I40" s="122">
        <v>0</v>
      </c>
      <c r="J40" s="122">
        <v>0</v>
      </c>
      <c r="K40" s="122">
        <v>0</v>
      </c>
      <c r="L40" s="122">
        <v>0</v>
      </c>
      <c r="M40" s="122">
        <v>0</v>
      </c>
      <c r="N40" s="122">
        <v>0</v>
      </c>
      <c r="O40" s="122">
        <v>0</v>
      </c>
      <c r="P40" s="122">
        <f t="shared" si="10"/>
        <v>0</v>
      </c>
      <c r="Q40" s="122">
        <v>0</v>
      </c>
      <c r="R40" s="122">
        <v>0</v>
      </c>
      <c r="S40" s="122">
        <v>0</v>
      </c>
      <c r="T40" s="122">
        <v>0</v>
      </c>
      <c r="U40" s="122">
        <v>0</v>
      </c>
      <c r="V40" s="122">
        <v>0</v>
      </c>
      <c r="W40" s="122">
        <v>0</v>
      </c>
      <c r="X40" s="122">
        <v>0</v>
      </c>
      <c r="Y40" s="122">
        <v>0</v>
      </c>
      <c r="Z40" s="122">
        <v>0</v>
      </c>
      <c r="AA40" s="122">
        <v>0</v>
      </c>
      <c r="AB40" s="126">
        <f t="shared" si="5"/>
        <v>0</v>
      </c>
      <c r="AC40" s="126">
        <f t="shared" si="7"/>
        <v>0</v>
      </c>
    </row>
    <row r="41" spans="1:29" x14ac:dyDescent="0.25">
      <c r="A41" s="57" t="s">
        <v>151</v>
      </c>
      <c r="B41" s="33" t="s">
        <v>137</v>
      </c>
      <c r="C41" s="120">
        <v>0</v>
      </c>
      <c r="D41" s="120">
        <v>0</v>
      </c>
      <c r="E41" s="120">
        <v>0</v>
      </c>
      <c r="F41" s="120">
        <v>0</v>
      </c>
      <c r="G41" s="122">
        <v>0</v>
      </c>
      <c r="H41" s="122">
        <v>0</v>
      </c>
      <c r="I41" s="122">
        <v>0</v>
      </c>
      <c r="J41" s="122">
        <v>0</v>
      </c>
      <c r="K41" s="122">
        <v>0</v>
      </c>
      <c r="L41" s="122">
        <v>0</v>
      </c>
      <c r="M41" s="122">
        <v>0</v>
      </c>
      <c r="N41" s="122">
        <v>0</v>
      </c>
      <c r="O41" s="122">
        <v>0</v>
      </c>
      <c r="P41" s="122">
        <f t="shared" si="10"/>
        <v>0</v>
      </c>
      <c r="Q41" s="122">
        <v>0</v>
      </c>
      <c r="R41" s="122">
        <v>0</v>
      </c>
      <c r="S41" s="122">
        <v>0</v>
      </c>
      <c r="T41" s="122">
        <v>0</v>
      </c>
      <c r="U41" s="122">
        <v>0</v>
      </c>
      <c r="V41" s="122">
        <v>0</v>
      </c>
      <c r="W41" s="122">
        <v>0</v>
      </c>
      <c r="X41" s="122">
        <v>0</v>
      </c>
      <c r="Y41" s="122">
        <v>0</v>
      </c>
      <c r="Z41" s="122">
        <v>0</v>
      </c>
      <c r="AA41" s="122">
        <v>0</v>
      </c>
      <c r="AB41" s="126">
        <f t="shared" si="5"/>
        <v>0</v>
      </c>
      <c r="AC41" s="126">
        <f t="shared" si="7"/>
        <v>0</v>
      </c>
    </row>
    <row r="42" spans="1:29" ht="18.75" x14ac:dyDescent="0.25">
      <c r="A42" s="57" t="s">
        <v>150</v>
      </c>
      <c r="B42" s="56" t="s">
        <v>533</v>
      </c>
      <c r="C42" s="120">
        <v>34</v>
      </c>
      <c r="D42" s="120">
        <v>0</v>
      </c>
      <c r="E42" s="120">
        <v>34</v>
      </c>
      <c r="F42" s="120">
        <v>34</v>
      </c>
      <c r="G42" s="122">
        <v>0</v>
      </c>
      <c r="H42" s="122">
        <v>0</v>
      </c>
      <c r="I42" s="122">
        <v>0</v>
      </c>
      <c r="J42" s="122">
        <v>0</v>
      </c>
      <c r="K42" s="122">
        <v>0</v>
      </c>
      <c r="L42" s="122">
        <v>0</v>
      </c>
      <c r="M42" s="122">
        <v>0</v>
      </c>
      <c r="N42" s="122">
        <v>0</v>
      </c>
      <c r="O42" s="122">
        <v>0</v>
      </c>
      <c r="P42" s="122">
        <f t="shared" si="10"/>
        <v>34</v>
      </c>
      <c r="Q42" s="122">
        <v>0</v>
      </c>
      <c r="R42" s="122">
        <v>0</v>
      </c>
      <c r="S42" s="122">
        <v>0</v>
      </c>
      <c r="T42" s="122">
        <v>0</v>
      </c>
      <c r="U42" s="122">
        <v>0</v>
      </c>
      <c r="V42" s="122">
        <v>0</v>
      </c>
      <c r="W42" s="122">
        <v>0</v>
      </c>
      <c r="X42" s="122">
        <v>0</v>
      </c>
      <c r="Y42" s="122">
        <v>0</v>
      </c>
      <c r="Z42" s="122">
        <v>0</v>
      </c>
      <c r="AA42" s="122">
        <v>0</v>
      </c>
      <c r="AB42" s="126">
        <f t="shared" si="5"/>
        <v>34</v>
      </c>
      <c r="AC42" s="126">
        <f t="shared" si="7"/>
        <v>0</v>
      </c>
    </row>
    <row r="43" spans="1:29" x14ac:dyDescent="0.25">
      <c r="A43" s="60" t="s">
        <v>59</v>
      </c>
      <c r="B43" s="59" t="s">
        <v>149</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6">
        <f t="shared" si="5"/>
        <v>0</v>
      </c>
      <c r="AC43" s="126">
        <f t="shared" si="7"/>
        <v>0</v>
      </c>
    </row>
    <row r="44" spans="1:29" x14ac:dyDescent="0.25">
      <c r="A44" s="57" t="s">
        <v>148</v>
      </c>
      <c r="B44" s="33" t="s">
        <v>147</v>
      </c>
      <c r="C44" s="120">
        <v>0</v>
      </c>
      <c r="D44" s="120">
        <v>0</v>
      </c>
      <c r="E44" s="120">
        <v>0</v>
      </c>
      <c r="F44" s="120">
        <v>0</v>
      </c>
      <c r="G44" s="122">
        <v>0</v>
      </c>
      <c r="H44" s="122">
        <v>0</v>
      </c>
      <c r="I44" s="122">
        <v>0</v>
      </c>
      <c r="J44" s="122">
        <v>0</v>
      </c>
      <c r="K44" s="122">
        <v>0</v>
      </c>
      <c r="L44" s="122">
        <v>0</v>
      </c>
      <c r="M44" s="122">
        <v>0</v>
      </c>
      <c r="N44" s="122">
        <v>0</v>
      </c>
      <c r="O44" s="122">
        <v>0</v>
      </c>
      <c r="P44" s="122">
        <f t="shared" ref="P44:P50" si="11">F44</f>
        <v>0</v>
      </c>
      <c r="Q44" s="122">
        <v>0</v>
      </c>
      <c r="R44" s="122">
        <v>0</v>
      </c>
      <c r="S44" s="122">
        <v>0</v>
      </c>
      <c r="T44" s="122">
        <v>0</v>
      </c>
      <c r="U44" s="122">
        <v>0</v>
      </c>
      <c r="V44" s="122">
        <v>0</v>
      </c>
      <c r="W44" s="122">
        <v>0</v>
      </c>
      <c r="X44" s="122">
        <v>0</v>
      </c>
      <c r="Y44" s="122">
        <v>0</v>
      </c>
      <c r="Z44" s="122">
        <v>0</v>
      </c>
      <c r="AA44" s="122">
        <v>0</v>
      </c>
      <c r="AB44" s="126">
        <f t="shared" si="5"/>
        <v>0</v>
      </c>
      <c r="AC44" s="126">
        <f t="shared" si="7"/>
        <v>0</v>
      </c>
    </row>
    <row r="45" spans="1:29" x14ac:dyDescent="0.25">
      <c r="A45" s="57" t="s">
        <v>146</v>
      </c>
      <c r="B45" s="33" t="s">
        <v>145</v>
      </c>
      <c r="C45" s="120">
        <f>C37</f>
        <v>80</v>
      </c>
      <c r="D45" s="120">
        <v>0</v>
      </c>
      <c r="E45" s="120">
        <f>C45</f>
        <v>80</v>
      </c>
      <c r="F45" s="120">
        <f>E45-G45-H45</f>
        <v>80</v>
      </c>
      <c r="G45" s="122">
        <v>0</v>
      </c>
      <c r="H45" s="122">
        <v>0</v>
      </c>
      <c r="I45" s="122">
        <v>0</v>
      </c>
      <c r="J45" s="122">
        <v>0</v>
      </c>
      <c r="K45" s="122">
        <v>0</v>
      </c>
      <c r="L45" s="122">
        <v>0</v>
      </c>
      <c r="M45" s="122">
        <v>0</v>
      </c>
      <c r="N45" s="122">
        <v>0</v>
      </c>
      <c r="O45" s="122">
        <v>0</v>
      </c>
      <c r="P45" s="122">
        <f t="shared" si="11"/>
        <v>80</v>
      </c>
      <c r="Q45" s="122">
        <v>0</v>
      </c>
      <c r="R45" s="122">
        <v>0</v>
      </c>
      <c r="S45" s="122">
        <v>0</v>
      </c>
      <c r="T45" s="122">
        <v>0</v>
      </c>
      <c r="U45" s="122">
        <v>0</v>
      </c>
      <c r="V45" s="122">
        <v>0</v>
      </c>
      <c r="W45" s="122">
        <v>0</v>
      </c>
      <c r="X45" s="122">
        <v>0</v>
      </c>
      <c r="Y45" s="122">
        <v>0</v>
      </c>
      <c r="Z45" s="122">
        <v>0</v>
      </c>
      <c r="AA45" s="122">
        <v>0</v>
      </c>
      <c r="AB45" s="126">
        <f t="shared" si="5"/>
        <v>80</v>
      </c>
      <c r="AC45" s="126">
        <f t="shared" si="7"/>
        <v>0</v>
      </c>
    </row>
    <row r="46" spans="1:29" x14ac:dyDescent="0.25">
      <c r="A46" s="57" t="s">
        <v>144</v>
      </c>
      <c r="B46" s="33" t="s">
        <v>143</v>
      </c>
      <c r="C46" s="120">
        <v>0</v>
      </c>
      <c r="D46" s="120">
        <v>0</v>
      </c>
      <c r="E46" s="120">
        <v>0</v>
      </c>
      <c r="F46" s="120">
        <v>0</v>
      </c>
      <c r="G46" s="122">
        <v>0</v>
      </c>
      <c r="H46" s="122">
        <v>0</v>
      </c>
      <c r="I46" s="122">
        <v>0</v>
      </c>
      <c r="J46" s="122">
        <v>0</v>
      </c>
      <c r="K46" s="122">
        <v>0</v>
      </c>
      <c r="L46" s="122">
        <v>0</v>
      </c>
      <c r="M46" s="122">
        <v>0</v>
      </c>
      <c r="N46" s="122">
        <v>0</v>
      </c>
      <c r="O46" s="122">
        <v>0</v>
      </c>
      <c r="P46" s="122">
        <f t="shared" si="11"/>
        <v>0</v>
      </c>
      <c r="Q46" s="122">
        <v>0</v>
      </c>
      <c r="R46" s="122">
        <v>0</v>
      </c>
      <c r="S46" s="122">
        <v>0</v>
      </c>
      <c r="T46" s="122">
        <v>0</v>
      </c>
      <c r="U46" s="122">
        <v>0</v>
      </c>
      <c r="V46" s="122">
        <v>0</v>
      </c>
      <c r="W46" s="122">
        <v>0</v>
      </c>
      <c r="X46" s="122">
        <v>0</v>
      </c>
      <c r="Y46" s="122">
        <v>0</v>
      </c>
      <c r="Z46" s="122">
        <v>0</v>
      </c>
      <c r="AA46" s="122">
        <v>0</v>
      </c>
      <c r="AB46" s="126">
        <f t="shared" si="5"/>
        <v>0</v>
      </c>
      <c r="AC46" s="126">
        <f t="shared" si="7"/>
        <v>0</v>
      </c>
    </row>
    <row r="47" spans="1:29" ht="31.5" x14ac:dyDescent="0.25">
      <c r="A47" s="57" t="s">
        <v>142</v>
      </c>
      <c r="B47" s="33" t="s">
        <v>141</v>
      </c>
      <c r="C47" s="120">
        <v>0</v>
      </c>
      <c r="D47" s="120">
        <v>0</v>
      </c>
      <c r="E47" s="120">
        <v>0</v>
      </c>
      <c r="F47" s="120">
        <v>0</v>
      </c>
      <c r="G47" s="122">
        <v>0</v>
      </c>
      <c r="H47" s="122">
        <v>0</v>
      </c>
      <c r="I47" s="122">
        <v>0</v>
      </c>
      <c r="J47" s="122">
        <v>0</v>
      </c>
      <c r="K47" s="122">
        <v>0</v>
      </c>
      <c r="L47" s="122">
        <v>0</v>
      </c>
      <c r="M47" s="122">
        <v>0</v>
      </c>
      <c r="N47" s="122">
        <v>0</v>
      </c>
      <c r="O47" s="122">
        <v>0</v>
      </c>
      <c r="P47" s="122">
        <f t="shared" si="11"/>
        <v>0</v>
      </c>
      <c r="Q47" s="122">
        <v>0</v>
      </c>
      <c r="R47" s="122">
        <v>0</v>
      </c>
      <c r="S47" s="122">
        <v>0</v>
      </c>
      <c r="T47" s="122">
        <v>0</v>
      </c>
      <c r="U47" s="122">
        <v>0</v>
      </c>
      <c r="V47" s="122">
        <v>0</v>
      </c>
      <c r="W47" s="122">
        <v>0</v>
      </c>
      <c r="X47" s="122">
        <v>0</v>
      </c>
      <c r="Y47" s="122">
        <v>0</v>
      </c>
      <c r="Z47" s="122">
        <v>0</v>
      </c>
      <c r="AA47" s="122">
        <v>0</v>
      </c>
      <c r="AB47" s="126">
        <f t="shared" si="5"/>
        <v>0</v>
      </c>
      <c r="AC47" s="126">
        <f t="shared" si="7"/>
        <v>0</v>
      </c>
    </row>
    <row r="48" spans="1:29" ht="31.5" x14ac:dyDescent="0.25">
      <c r="A48" s="57" t="s">
        <v>140</v>
      </c>
      <c r="B48" s="33" t="s">
        <v>139</v>
      </c>
      <c r="C48" s="120">
        <v>0</v>
      </c>
      <c r="D48" s="120">
        <v>0</v>
      </c>
      <c r="E48" s="120">
        <v>0</v>
      </c>
      <c r="F48" s="120">
        <v>0</v>
      </c>
      <c r="G48" s="122">
        <v>0</v>
      </c>
      <c r="H48" s="122">
        <v>0</v>
      </c>
      <c r="I48" s="122">
        <v>0</v>
      </c>
      <c r="J48" s="122">
        <v>0</v>
      </c>
      <c r="K48" s="122">
        <v>0</v>
      </c>
      <c r="L48" s="122">
        <v>0</v>
      </c>
      <c r="M48" s="122">
        <v>0</v>
      </c>
      <c r="N48" s="122">
        <v>0</v>
      </c>
      <c r="O48" s="122">
        <v>0</v>
      </c>
      <c r="P48" s="122">
        <f t="shared" si="11"/>
        <v>0</v>
      </c>
      <c r="Q48" s="122">
        <v>0</v>
      </c>
      <c r="R48" s="122">
        <v>0</v>
      </c>
      <c r="S48" s="122">
        <v>0</v>
      </c>
      <c r="T48" s="122">
        <v>0</v>
      </c>
      <c r="U48" s="122">
        <v>0</v>
      </c>
      <c r="V48" s="122">
        <v>0</v>
      </c>
      <c r="W48" s="122">
        <v>0</v>
      </c>
      <c r="X48" s="122">
        <v>0</v>
      </c>
      <c r="Y48" s="122">
        <v>0</v>
      </c>
      <c r="Z48" s="122">
        <v>0</v>
      </c>
      <c r="AA48" s="122">
        <v>0</v>
      </c>
      <c r="AB48" s="126">
        <f t="shared" si="5"/>
        <v>0</v>
      </c>
      <c r="AC48" s="126">
        <f t="shared" si="7"/>
        <v>0</v>
      </c>
    </row>
    <row r="49" spans="1:29" x14ac:dyDescent="0.25">
      <c r="A49" s="57" t="s">
        <v>138</v>
      </c>
      <c r="B49" s="33" t="s">
        <v>137</v>
      </c>
      <c r="C49" s="120">
        <v>0</v>
      </c>
      <c r="D49" s="120">
        <v>0</v>
      </c>
      <c r="E49" s="120">
        <v>0</v>
      </c>
      <c r="F49" s="120">
        <v>0</v>
      </c>
      <c r="G49" s="122">
        <v>0</v>
      </c>
      <c r="H49" s="122">
        <v>0</v>
      </c>
      <c r="I49" s="122">
        <v>0</v>
      </c>
      <c r="J49" s="122">
        <v>0</v>
      </c>
      <c r="K49" s="122">
        <v>0</v>
      </c>
      <c r="L49" s="122">
        <v>0</v>
      </c>
      <c r="M49" s="122">
        <v>0</v>
      </c>
      <c r="N49" s="122">
        <v>0</v>
      </c>
      <c r="O49" s="122">
        <v>0</v>
      </c>
      <c r="P49" s="122">
        <f t="shared" si="11"/>
        <v>0</v>
      </c>
      <c r="Q49" s="122">
        <v>0</v>
      </c>
      <c r="R49" s="122">
        <v>0</v>
      </c>
      <c r="S49" s="122">
        <v>0</v>
      </c>
      <c r="T49" s="122">
        <v>0</v>
      </c>
      <c r="U49" s="122">
        <v>0</v>
      </c>
      <c r="V49" s="122">
        <v>0</v>
      </c>
      <c r="W49" s="122">
        <v>0</v>
      </c>
      <c r="X49" s="122">
        <v>0</v>
      </c>
      <c r="Y49" s="122">
        <v>0</v>
      </c>
      <c r="Z49" s="122">
        <v>0</v>
      </c>
      <c r="AA49" s="122">
        <v>0</v>
      </c>
      <c r="AB49" s="126">
        <f t="shared" si="5"/>
        <v>0</v>
      </c>
      <c r="AC49" s="126">
        <f t="shared" si="7"/>
        <v>0</v>
      </c>
    </row>
    <row r="50" spans="1:29" ht="18.75" x14ac:dyDescent="0.25">
      <c r="A50" s="57" t="s">
        <v>136</v>
      </c>
      <c r="B50" s="56" t="s">
        <v>533</v>
      </c>
      <c r="C50" s="120">
        <v>34</v>
      </c>
      <c r="D50" s="120">
        <v>0</v>
      </c>
      <c r="E50" s="120">
        <v>34</v>
      </c>
      <c r="F50" s="120">
        <v>34</v>
      </c>
      <c r="G50" s="122">
        <v>0</v>
      </c>
      <c r="H50" s="122">
        <v>0</v>
      </c>
      <c r="I50" s="122">
        <v>0</v>
      </c>
      <c r="J50" s="122">
        <v>0</v>
      </c>
      <c r="K50" s="122">
        <v>0</v>
      </c>
      <c r="L50" s="122">
        <v>0</v>
      </c>
      <c r="M50" s="122">
        <v>0</v>
      </c>
      <c r="N50" s="122">
        <v>0</v>
      </c>
      <c r="O50" s="122">
        <v>0</v>
      </c>
      <c r="P50" s="122">
        <f t="shared" si="11"/>
        <v>34</v>
      </c>
      <c r="Q50" s="122">
        <v>0</v>
      </c>
      <c r="R50" s="122">
        <v>0</v>
      </c>
      <c r="S50" s="122">
        <v>0</v>
      </c>
      <c r="T50" s="122">
        <v>0</v>
      </c>
      <c r="U50" s="122">
        <v>0</v>
      </c>
      <c r="V50" s="122">
        <v>0</v>
      </c>
      <c r="W50" s="122">
        <v>0</v>
      </c>
      <c r="X50" s="122">
        <v>0</v>
      </c>
      <c r="Y50" s="122">
        <v>0</v>
      </c>
      <c r="Z50" s="122">
        <v>0</v>
      </c>
      <c r="AA50" s="122">
        <v>0</v>
      </c>
      <c r="AB50" s="126">
        <f t="shared" si="5"/>
        <v>34</v>
      </c>
      <c r="AC50" s="126">
        <f t="shared" si="7"/>
        <v>0</v>
      </c>
    </row>
    <row r="51" spans="1:29" ht="35.25" customHeight="1" x14ac:dyDescent="0.25">
      <c r="A51" s="60" t="s">
        <v>57</v>
      </c>
      <c r="B51" s="59" t="s">
        <v>135</v>
      </c>
      <c r="C51" s="120">
        <v>0</v>
      </c>
      <c r="D51" s="120">
        <v>0</v>
      </c>
      <c r="E51" s="120">
        <v>0</v>
      </c>
      <c r="F51" s="120">
        <v>0</v>
      </c>
      <c r="G51" s="120">
        <v>0</v>
      </c>
      <c r="H51" s="120">
        <v>0</v>
      </c>
      <c r="I51" s="120">
        <v>0</v>
      </c>
      <c r="J51" s="120">
        <v>0</v>
      </c>
      <c r="K51" s="120">
        <v>0</v>
      </c>
      <c r="L51" s="120">
        <v>0</v>
      </c>
      <c r="M51" s="120">
        <v>0</v>
      </c>
      <c r="N51" s="120">
        <v>0</v>
      </c>
      <c r="O51" s="120">
        <v>0</v>
      </c>
      <c r="P51" s="120">
        <v>0</v>
      </c>
      <c r="Q51" s="120">
        <v>0</v>
      </c>
      <c r="R51" s="120">
        <v>0</v>
      </c>
      <c r="S51" s="120">
        <v>0</v>
      </c>
      <c r="T51" s="120">
        <v>0</v>
      </c>
      <c r="U51" s="120">
        <v>0</v>
      </c>
      <c r="V51" s="120">
        <v>0</v>
      </c>
      <c r="W51" s="120">
        <v>0</v>
      </c>
      <c r="X51" s="120">
        <v>0</v>
      </c>
      <c r="Y51" s="120">
        <v>0</v>
      </c>
      <c r="Z51" s="120">
        <v>0</v>
      </c>
      <c r="AA51" s="120">
        <v>0</v>
      </c>
      <c r="AB51" s="126">
        <f t="shared" si="5"/>
        <v>0</v>
      </c>
      <c r="AC51" s="126">
        <f t="shared" si="7"/>
        <v>0</v>
      </c>
    </row>
    <row r="52" spans="1:29" x14ac:dyDescent="0.25">
      <c r="A52" s="57" t="s">
        <v>134</v>
      </c>
      <c r="B52" s="33" t="s">
        <v>133</v>
      </c>
      <c r="C52" s="120">
        <f>C30</f>
        <v>249.60219762390051</v>
      </c>
      <c r="D52" s="120">
        <v>0</v>
      </c>
      <c r="E52" s="120">
        <f>C52</f>
        <v>249.60219762390051</v>
      </c>
      <c r="F52" s="120">
        <f>E52-G52-H52</f>
        <v>249.60219762390051</v>
      </c>
      <c r="G52" s="122">
        <v>0</v>
      </c>
      <c r="H52" s="122">
        <v>0</v>
      </c>
      <c r="I52" s="122">
        <v>0</v>
      </c>
      <c r="J52" s="122">
        <v>0</v>
      </c>
      <c r="K52" s="122">
        <v>0</v>
      </c>
      <c r="L52" s="122">
        <v>0</v>
      </c>
      <c r="M52" s="122">
        <v>0</v>
      </c>
      <c r="N52" s="122">
        <v>0</v>
      </c>
      <c r="O52" s="122">
        <v>0</v>
      </c>
      <c r="P52" s="122">
        <f t="shared" ref="P52:P57" si="12">F52</f>
        <v>249.60219762390051</v>
      </c>
      <c r="Q52" s="122">
        <v>0</v>
      </c>
      <c r="R52" s="122">
        <v>0</v>
      </c>
      <c r="S52" s="122">
        <v>0</v>
      </c>
      <c r="T52" s="122">
        <v>0</v>
      </c>
      <c r="U52" s="122">
        <v>0</v>
      </c>
      <c r="V52" s="122">
        <v>0</v>
      </c>
      <c r="W52" s="122">
        <v>0</v>
      </c>
      <c r="X52" s="122">
        <v>0</v>
      </c>
      <c r="Y52" s="122">
        <v>0</v>
      </c>
      <c r="Z52" s="122">
        <v>0</v>
      </c>
      <c r="AA52" s="122">
        <v>0</v>
      </c>
      <c r="AB52" s="126">
        <f t="shared" si="5"/>
        <v>249.60219762390051</v>
      </c>
      <c r="AC52" s="126">
        <f t="shared" si="7"/>
        <v>0</v>
      </c>
    </row>
    <row r="53" spans="1:29" x14ac:dyDescent="0.25">
      <c r="A53" s="57" t="s">
        <v>132</v>
      </c>
      <c r="B53" s="33" t="s">
        <v>126</v>
      </c>
      <c r="C53" s="120">
        <v>0</v>
      </c>
      <c r="D53" s="120">
        <v>0</v>
      </c>
      <c r="E53" s="120">
        <f>C53</f>
        <v>0</v>
      </c>
      <c r="F53" s="120">
        <f>E53-G53-H53</f>
        <v>0</v>
      </c>
      <c r="G53" s="122">
        <v>0</v>
      </c>
      <c r="H53" s="122">
        <v>0</v>
      </c>
      <c r="I53" s="122">
        <v>0</v>
      </c>
      <c r="J53" s="122">
        <v>0</v>
      </c>
      <c r="K53" s="122">
        <v>0</v>
      </c>
      <c r="L53" s="122">
        <v>0</v>
      </c>
      <c r="M53" s="122">
        <v>0</v>
      </c>
      <c r="N53" s="122">
        <v>0</v>
      </c>
      <c r="O53" s="122">
        <v>0</v>
      </c>
      <c r="P53" s="122">
        <f t="shared" si="12"/>
        <v>0</v>
      </c>
      <c r="Q53" s="122">
        <v>0</v>
      </c>
      <c r="R53" s="122">
        <v>0</v>
      </c>
      <c r="S53" s="122">
        <v>0</v>
      </c>
      <c r="T53" s="122">
        <v>0</v>
      </c>
      <c r="U53" s="122">
        <v>0</v>
      </c>
      <c r="V53" s="122">
        <v>0</v>
      </c>
      <c r="W53" s="122">
        <v>0</v>
      </c>
      <c r="X53" s="122">
        <v>0</v>
      </c>
      <c r="Y53" s="122">
        <v>0</v>
      </c>
      <c r="Z53" s="122">
        <v>0</v>
      </c>
      <c r="AA53" s="122">
        <v>0</v>
      </c>
      <c r="AB53" s="126">
        <f t="shared" si="5"/>
        <v>0</v>
      </c>
      <c r="AC53" s="126">
        <f t="shared" si="7"/>
        <v>0</v>
      </c>
    </row>
    <row r="54" spans="1:29" x14ac:dyDescent="0.25">
      <c r="A54" s="57" t="s">
        <v>131</v>
      </c>
      <c r="B54" s="56" t="s">
        <v>125</v>
      </c>
      <c r="C54" s="120">
        <f>C45</f>
        <v>80</v>
      </c>
      <c r="D54" s="120">
        <v>0</v>
      </c>
      <c r="E54" s="120">
        <f>C54</f>
        <v>80</v>
      </c>
      <c r="F54" s="120">
        <f>E54-G54-H54</f>
        <v>80</v>
      </c>
      <c r="G54" s="122">
        <v>0</v>
      </c>
      <c r="H54" s="122">
        <v>0</v>
      </c>
      <c r="I54" s="122">
        <v>0</v>
      </c>
      <c r="J54" s="122">
        <v>0</v>
      </c>
      <c r="K54" s="122">
        <v>0</v>
      </c>
      <c r="L54" s="122">
        <v>0</v>
      </c>
      <c r="M54" s="122">
        <v>0</v>
      </c>
      <c r="N54" s="122">
        <v>0</v>
      </c>
      <c r="O54" s="122">
        <v>0</v>
      </c>
      <c r="P54" s="122">
        <f t="shared" si="12"/>
        <v>80</v>
      </c>
      <c r="Q54" s="122">
        <v>0</v>
      </c>
      <c r="R54" s="122">
        <v>0</v>
      </c>
      <c r="S54" s="122">
        <v>0</v>
      </c>
      <c r="T54" s="122">
        <v>0</v>
      </c>
      <c r="U54" s="122">
        <v>0</v>
      </c>
      <c r="V54" s="122">
        <v>0</v>
      </c>
      <c r="W54" s="122">
        <v>0</v>
      </c>
      <c r="X54" s="122">
        <v>0</v>
      </c>
      <c r="Y54" s="122">
        <v>0</v>
      </c>
      <c r="Z54" s="122">
        <v>0</v>
      </c>
      <c r="AA54" s="122">
        <v>0</v>
      </c>
      <c r="AB54" s="126">
        <f t="shared" si="5"/>
        <v>80</v>
      </c>
      <c r="AC54" s="126">
        <f t="shared" si="7"/>
        <v>0</v>
      </c>
    </row>
    <row r="55" spans="1:29" x14ac:dyDescent="0.25">
      <c r="A55" s="57" t="s">
        <v>130</v>
      </c>
      <c r="B55" s="56" t="s">
        <v>124</v>
      </c>
      <c r="C55" s="120">
        <v>0</v>
      </c>
      <c r="D55" s="120">
        <v>0</v>
      </c>
      <c r="E55" s="120">
        <v>0</v>
      </c>
      <c r="F55" s="120">
        <v>0</v>
      </c>
      <c r="G55" s="122">
        <v>0</v>
      </c>
      <c r="H55" s="122">
        <v>0</v>
      </c>
      <c r="I55" s="122">
        <v>0</v>
      </c>
      <c r="J55" s="122">
        <v>0</v>
      </c>
      <c r="K55" s="122">
        <v>0</v>
      </c>
      <c r="L55" s="122">
        <v>0</v>
      </c>
      <c r="M55" s="122">
        <v>0</v>
      </c>
      <c r="N55" s="122">
        <v>0</v>
      </c>
      <c r="O55" s="122">
        <v>0</v>
      </c>
      <c r="P55" s="122">
        <f t="shared" si="12"/>
        <v>0</v>
      </c>
      <c r="Q55" s="122">
        <v>0</v>
      </c>
      <c r="R55" s="122">
        <v>0</v>
      </c>
      <c r="S55" s="122">
        <v>0</v>
      </c>
      <c r="T55" s="122">
        <v>0</v>
      </c>
      <c r="U55" s="122">
        <v>0</v>
      </c>
      <c r="V55" s="122">
        <v>0</v>
      </c>
      <c r="W55" s="122">
        <v>0</v>
      </c>
      <c r="X55" s="122">
        <v>0</v>
      </c>
      <c r="Y55" s="122">
        <v>0</v>
      </c>
      <c r="Z55" s="122">
        <v>0</v>
      </c>
      <c r="AA55" s="122">
        <v>0</v>
      </c>
      <c r="AB55" s="126">
        <f t="shared" si="5"/>
        <v>0</v>
      </c>
      <c r="AC55" s="126">
        <f t="shared" si="7"/>
        <v>0</v>
      </c>
    </row>
    <row r="56" spans="1:29" x14ac:dyDescent="0.25">
      <c r="A56" s="57" t="s">
        <v>129</v>
      </c>
      <c r="B56" s="56" t="s">
        <v>123</v>
      </c>
      <c r="C56" s="120">
        <v>0</v>
      </c>
      <c r="D56" s="120">
        <v>0</v>
      </c>
      <c r="E56" s="120">
        <v>0</v>
      </c>
      <c r="F56" s="120">
        <v>0</v>
      </c>
      <c r="G56" s="122">
        <v>0</v>
      </c>
      <c r="H56" s="122">
        <v>0</v>
      </c>
      <c r="I56" s="122">
        <v>0</v>
      </c>
      <c r="J56" s="122">
        <v>0</v>
      </c>
      <c r="K56" s="122">
        <v>0</v>
      </c>
      <c r="L56" s="122">
        <v>0</v>
      </c>
      <c r="M56" s="122">
        <v>0</v>
      </c>
      <c r="N56" s="122">
        <v>0</v>
      </c>
      <c r="O56" s="122">
        <v>0</v>
      </c>
      <c r="P56" s="122">
        <f t="shared" si="12"/>
        <v>0</v>
      </c>
      <c r="Q56" s="122">
        <v>0</v>
      </c>
      <c r="R56" s="122">
        <v>0</v>
      </c>
      <c r="S56" s="122">
        <v>0</v>
      </c>
      <c r="T56" s="122">
        <v>0</v>
      </c>
      <c r="U56" s="122">
        <v>0</v>
      </c>
      <c r="V56" s="122">
        <v>0</v>
      </c>
      <c r="W56" s="122">
        <v>0</v>
      </c>
      <c r="X56" s="122">
        <v>0</v>
      </c>
      <c r="Y56" s="122">
        <v>0</v>
      </c>
      <c r="Z56" s="122">
        <v>0</v>
      </c>
      <c r="AA56" s="122">
        <v>0</v>
      </c>
      <c r="AB56" s="126">
        <f t="shared" si="5"/>
        <v>0</v>
      </c>
      <c r="AC56" s="126">
        <f t="shared" si="7"/>
        <v>0</v>
      </c>
    </row>
    <row r="57" spans="1:29" ht="18.75" x14ac:dyDescent="0.25">
      <c r="A57" s="57" t="s">
        <v>128</v>
      </c>
      <c r="B57" s="56" t="s">
        <v>533</v>
      </c>
      <c r="C57" s="120">
        <v>34</v>
      </c>
      <c r="D57" s="120">
        <v>0</v>
      </c>
      <c r="E57" s="120">
        <v>34</v>
      </c>
      <c r="F57" s="120">
        <v>34</v>
      </c>
      <c r="G57" s="122">
        <v>0</v>
      </c>
      <c r="H57" s="122">
        <v>0</v>
      </c>
      <c r="I57" s="122">
        <v>0</v>
      </c>
      <c r="J57" s="122">
        <v>0</v>
      </c>
      <c r="K57" s="122">
        <v>0</v>
      </c>
      <c r="L57" s="122">
        <v>0</v>
      </c>
      <c r="M57" s="122">
        <v>0</v>
      </c>
      <c r="N57" s="122">
        <v>0</v>
      </c>
      <c r="O57" s="122">
        <v>0</v>
      </c>
      <c r="P57" s="122">
        <f t="shared" si="12"/>
        <v>34</v>
      </c>
      <c r="Q57" s="122">
        <v>0</v>
      </c>
      <c r="R57" s="122">
        <v>0</v>
      </c>
      <c r="S57" s="122">
        <v>0</v>
      </c>
      <c r="T57" s="122">
        <v>0</v>
      </c>
      <c r="U57" s="122">
        <v>0</v>
      </c>
      <c r="V57" s="122">
        <v>0</v>
      </c>
      <c r="W57" s="122">
        <v>0</v>
      </c>
      <c r="X57" s="122">
        <v>0</v>
      </c>
      <c r="Y57" s="122">
        <v>0</v>
      </c>
      <c r="Z57" s="122">
        <v>0</v>
      </c>
      <c r="AA57" s="122">
        <v>0</v>
      </c>
      <c r="AB57" s="126">
        <f t="shared" si="5"/>
        <v>34</v>
      </c>
      <c r="AC57" s="126">
        <f t="shared" si="7"/>
        <v>0</v>
      </c>
    </row>
    <row r="58" spans="1:29" ht="36.75" customHeight="1" x14ac:dyDescent="0.25">
      <c r="A58" s="60" t="s">
        <v>56</v>
      </c>
      <c r="B58" s="71" t="s">
        <v>207</v>
      </c>
      <c r="C58" s="120">
        <v>0</v>
      </c>
      <c r="D58" s="120">
        <v>0</v>
      </c>
      <c r="E58" s="120">
        <v>0</v>
      </c>
      <c r="F58" s="120">
        <v>0</v>
      </c>
      <c r="G58" s="120">
        <v>0</v>
      </c>
      <c r="H58" s="120">
        <v>0</v>
      </c>
      <c r="I58" s="120">
        <v>0</v>
      </c>
      <c r="J58" s="120">
        <v>0</v>
      </c>
      <c r="K58" s="120">
        <v>0</v>
      </c>
      <c r="L58" s="120">
        <v>0</v>
      </c>
      <c r="M58" s="120">
        <v>0</v>
      </c>
      <c r="N58" s="120">
        <v>0</v>
      </c>
      <c r="O58" s="120">
        <v>0</v>
      </c>
      <c r="P58" s="120">
        <v>0</v>
      </c>
      <c r="Q58" s="120">
        <v>0</v>
      </c>
      <c r="R58" s="120">
        <v>0</v>
      </c>
      <c r="S58" s="120">
        <v>0</v>
      </c>
      <c r="T58" s="120">
        <v>0</v>
      </c>
      <c r="U58" s="120">
        <v>0</v>
      </c>
      <c r="V58" s="120">
        <v>0</v>
      </c>
      <c r="W58" s="120">
        <v>0</v>
      </c>
      <c r="X58" s="120">
        <v>0</v>
      </c>
      <c r="Y58" s="120">
        <v>0</v>
      </c>
      <c r="Z58" s="120">
        <v>0</v>
      </c>
      <c r="AA58" s="120">
        <v>0</v>
      </c>
      <c r="AB58" s="126">
        <f t="shared" si="5"/>
        <v>0</v>
      </c>
      <c r="AC58" s="126">
        <f t="shared" si="7"/>
        <v>0</v>
      </c>
    </row>
    <row r="59" spans="1:29" x14ac:dyDescent="0.25">
      <c r="A59" s="60" t="s">
        <v>54</v>
      </c>
      <c r="B59" s="59" t="s">
        <v>127</v>
      </c>
      <c r="C59" s="120">
        <v>0</v>
      </c>
      <c r="D59" s="120">
        <v>0</v>
      </c>
      <c r="E59" s="120">
        <v>0</v>
      </c>
      <c r="F59" s="120">
        <v>0</v>
      </c>
      <c r="G59" s="120">
        <v>0</v>
      </c>
      <c r="H59" s="120">
        <v>0</v>
      </c>
      <c r="I59" s="120">
        <v>0</v>
      </c>
      <c r="J59" s="120">
        <v>0</v>
      </c>
      <c r="K59" s="120">
        <v>0</v>
      </c>
      <c r="L59" s="120">
        <v>0</v>
      </c>
      <c r="M59" s="120">
        <v>0</v>
      </c>
      <c r="N59" s="120">
        <v>0</v>
      </c>
      <c r="O59" s="120">
        <v>0</v>
      </c>
      <c r="P59" s="120">
        <v>0</v>
      </c>
      <c r="Q59" s="120">
        <v>0</v>
      </c>
      <c r="R59" s="120">
        <v>0</v>
      </c>
      <c r="S59" s="120">
        <v>0</v>
      </c>
      <c r="T59" s="120">
        <v>0</v>
      </c>
      <c r="U59" s="120">
        <v>0</v>
      </c>
      <c r="V59" s="120">
        <v>0</v>
      </c>
      <c r="W59" s="120">
        <v>0</v>
      </c>
      <c r="X59" s="120">
        <v>0</v>
      </c>
      <c r="Y59" s="120">
        <v>0</v>
      </c>
      <c r="Z59" s="120">
        <v>0</v>
      </c>
      <c r="AA59" s="120">
        <v>0</v>
      </c>
      <c r="AB59" s="126">
        <f t="shared" si="5"/>
        <v>0</v>
      </c>
      <c r="AC59" s="126">
        <f t="shared" si="7"/>
        <v>0</v>
      </c>
    </row>
    <row r="60" spans="1:29" x14ac:dyDescent="0.25">
      <c r="A60" s="57" t="s">
        <v>201</v>
      </c>
      <c r="B60" s="58" t="s">
        <v>147</v>
      </c>
      <c r="C60" s="120">
        <v>0</v>
      </c>
      <c r="D60" s="120">
        <v>0</v>
      </c>
      <c r="E60" s="120">
        <v>0</v>
      </c>
      <c r="F60" s="120">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6">
        <f t="shared" si="5"/>
        <v>0</v>
      </c>
      <c r="AC60" s="126">
        <f t="shared" si="7"/>
        <v>0</v>
      </c>
    </row>
    <row r="61" spans="1:29" x14ac:dyDescent="0.25">
      <c r="A61" s="57" t="s">
        <v>202</v>
      </c>
      <c r="B61" s="58" t="s">
        <v>145</v>
      </c>
      <c r="C61" s="120">
        <v>0</v>
      </c>
      <c r="D61" s="120">
        <v>0</v>
      </c>
      <c r="E61" s="120">
        <v>0</v>
      </c>
      <c r="F61" s="120">
        <v>0</v>
      </c>
      <c r="G61" s="122">
        <v>0</v>
      </c>
      <c r="H61" s="122">
        <v>0</v>
      </c>
      <c r="I61" s="122">
        <v>0</v>
      </c>
      <c r="J61" s="122">
        <v>0</v>
      </c>
      <c r="K61" s="122">
        <v>0</v>
      </c>
      <c r="L61" s="122">
        <v>0</v>
      </c>
      <c r="M61" s="122">
        <v>0</v>
      </c>
      <c r="N61" s="122">
        <v>0</v>
      </c>
      <c r="O61" s="122">
        <v>0</v>
      </c>
      <c r="P61" s="122">
        <v>0</v>
      </c>
      <c r="Q61" s="122">
        <v>0</v>
      </c>
      <c r="R61" s="122">
        <v>0</v>
      </c>
      <c r="S61" s="122">
        <v>0</v>
      </c>
      <c r="T61" s="122">
        <v>0</v>
      </c>
      <c r="U61" s="122">
        <v>0</v>
      </c>
      <c r="V61" s="122">
        <v>0</v>
      </c>
      <c r="W61" s="122">
        <v>0</v>
      </c>
      <c r="X61" s="122">
        <v>0</v>
      </c>
      <c r="Y61" s="122">
        <v>0</v>
      </c>
      <c r="Z61" s="122">
        <v>0</v>
      </c>
      <c r="AA61" s="122">
        <v>0</v>
      </c>
      <c r="AB61" s="126">
        <f t="shared" si="5"/>
        <v>0</v>
      </c>
      <c r="AC61" s="126">
        <f t="shared" si="7"/>
        <v>0</v>
      </c>
    </row>
    <row r="62" spans="1:29" x14ac:dyDescent="0.25">
      <c r="A62" s="57" t="s">
        <v>203</v>
      </c>
      <c r="B62" s="58" t="s">
        <v>143</v>
      </c>
      <c r="C62" s="120">
        <v>0</v>
      </c>
      <c r="D62" s="120">
        <v>0</v>
      </c>
      <c r="E62" s="120">
        <v>0</v>
      </c>
      <c r="F62" s="120">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6">
        <f t="shared" si="5"/>
        <v>0</v>
      </c>
      <c r="AC62" s="126">
        <f t="shared" si="7"/>
        <v>0</v>
      </c>
    </row>
    <row r="63" spans="1:29" x14ac:dyDescent="0.25">
      <c r="A63" s="57" t="s">
        <v>204</v>
      </c>
      <c r="B63" s="58" t="s">
        <v>206</v>
      </c>
      <c r="C63" s="120">
        <v>0</v>
      </c>
      <c r="D63" s="120">
        <v>0</v>
      </c>
      <c r="E63" s="120">
        <v>0</v>
      </c>
      <c r="F63" s="120">
        <v>0</v>
      </c>
      <c r="G63" s="122">
        <v>0</v>
      </c>
      <c r="H63" s="122">
        <v>0</v>
      </c>
      <c r="I63" s="122">
        <v>0</v>
      </c>
      <c r="J63" s="122">
        <v>0</v>
      </c>
      <c r="K63" s="122">
        <v>0</v>
      </c>
      <c r="L63" s="122">
        <v>0</v>
      </c>
      <c r="M63" s="122">
        <v>0</v>
      </c>
      <c r="N63" s="122">
        <v>0</v>
      </c>
      <c r="O63" s="122">
        <v>0</v>
      </c>
      <c r="P63" s="122">
        <v>0</v>
      </c>
      <c r="Q63" s="122">
        <v>0</v>
      </c>
      <c r="R63" s="122">
        <v>0</v>
      </c>
      <c r="S63" s="122">
        <v>0</v>
      </c>
      <c r="T63" s="122">
        <v>0</v>
      </c>
      <c r="U63" s="122">
        <v>0</v>
      </c>
      <c r="V63" s="122">
        <v>0</v>
      </c>
      <c r="W63" s="122">
        <v>0</v>
      </c>
      <c r="X63" s="122">
        <v>0</v>
      </c>
      <c r="Y63" s="122">
        <v>0</v>
      </c>
      <c r="Z63" s="122">
        <v>0</v>
      </c>
      <c r="AA63" s="122">
        <v>0</v>
      </c>
      <c r="AB63" s="126">
        <f t="shared" si="5"/>
        <v>0</v>
      </c>
      <c r="AC63" s="126">
        <f t="shared" si="7"/>
        <v>0</v>
      </c>
    </row>
    <row r="64" spans="1:29" ht="18.75" x14ac:dyDescent="0.25">
      <c r="A64" s="57" t="s">
        <v>205</v>
      </c>
      <c r="B64" s="56" t="s">
        <v>122</v>
      </c>
      <c r="C64" s="120">
        <v>0</v>
      </c>
      <c r="D64" s="120">
        <v>0</v>
      </c>
      <c r="E64" s="120">
        <v>0</v>
      </c>
      <c r="F64" s="120">
        <v>0</v>
      </c>
      <c r="G64" s="122">
        <v>0</v>
      </c>
      <c r="H64" s="122">
        <v>0</v>
      </c>
      <c r="I64" s="122">
        <v>0</v>
      </c>
      <c r="J64" s="122">
        <v>0</v>
      </c>
      <c r="K64" s="122">
        <v>0</v>
      </c>
      <c r="L64" s="122">
        <v>0</v>
      </c>
      <c r="M64" s="122">
        <v>0</v>
      </c>
      <c r="N64" s="122">
        <v>0</v>
      </c>
      <c r="O64" s="122">
        <v>0</v>
      </c>
      <c r="P64" s="122">
        <v>0</v>
      </c>
      <c r="Q64" s="122">
        <v>0</v>
      </c>
      <c r="R64" s="122">
        <v>0</v>
      </c>
      <c r="S64" s="122">
        <v>0</v>
      </c>
      <c r="T64" s="122">
        <v>0</v>
      </c>
      <c r="U64" s="122">
        <v>0</v>
      </c>
      <c r="V64" s="122">
        <v>0</v>
      </c>
      <c r="W64" s="122">
        <v>0</v>
      </c>
      <c r="X64" s="122">
        <v>0</v>
      </c>
      <c r="Y64" s="122">
        <v>0</v>
      </c>
      <c r="Z64" s="122">
        <v>0</v>
      </c>
      <c r="AA64" s="122">
        <v>0</v>
      </c>
      <c r="AB64" s="126">
        <f t="shared" si="5"/>
        <v>0</v>
      </c>
      <c r="AC64" s="126">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66"/>
      <c r="C66" s="466"/>
      <c r="D66" s="466"/>
      <c r="E66" s="466"/>
      <c r="F66" s="466"/>
      <c r="G66" s="466"/>
      <c r="H66" s="466"/>
      <c r="I66" s="466"/>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67"/>
      <c r="C68" s="467"/>
      <c r="D68" s="467"/>
      <c r="E68" s="467"/>
      <c r="F68" s="467"/>
      <c r="G68" s="467"/>
      <c r="H68" s="467"/>
      <c r="I68" s="467"/>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66"/>
      <c r="C70" s="466"/>
      <c r="D70" s="466"/>
      <c r="E70" s="466"/>
      <c r="F70" s="466"/>
      <c r="G70" s="466"/>
      <c r="H70" s="466"/>
      <c r="I70" s="466"/>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66"/>
      <c r="C72" s="466"/>
      <c r="D72" s="466"/>
      <c r="E72" s="466"/>
      <c r="F72" s="466"/>
      <c r="G72" s="466"/>
      <c r="H72" s="466"/>
      <c r="I72" s="466"/>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67"/>
      <c r="C73" s="467"/>
      <c r="D73" s="467"/>
      <c r="E73" s="467"/>
      <c r="F73" s="467"/>
      <c r="G73" s="467"/>
      <c r="H73" s="467"/>
      <c r="I73" s="467"/>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66"/>
      <c r="C74" s="466"/>
      <c r="D74" s="466"/>
      <c r="E74" s="466"/>
      <c r="F74" s="466"/>
      <c r="G74" s="466"/>
      <c r="H74" s="466"/>
      <c r="I74" s="466"/>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74"/>
      <c r="C75" s="474"/>
      <c r="D75" s="474"/>
      <c r="E75" s="474"/>
      <c r="F75" s="474"/>
      <c r="G75" s="474"/>
      <c r="H75" s="474"/>
      <c r="I75" s="474"/>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65"/>
      <c r="C77" s="465"/>
      <c r="D77" s="465"/>
      <c r="E77" s="465"/>
      <c r="F77" s="465"/>
      <c r="G77" s="465"/>
      <c r="H77" s="465"/>
      <c r="I77" s="465"/>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40" priority="26" operator="notEqual">
      <formula>0</formula>
    </cfRule>
  </conditionalFormatting>
  <conditionalFormatting sqref="AB24:AB64">
    <cfRule type="cellIs" dxfId="39" priority="25" operator="notEqual">
      <formula>0</formula>
    </cfRule>
  </conditionalFormatting>
  <conditionalFormatting sqref="I34 K25:M29 K46:K49 K55:K56 K51:M51 K58:M64 Q44:Q50 M46:M50 L45:L50 Q52:Q57 L52:M57 O52:O57 O35:Q43 O44:O50 O58:Q64 O51:Q51 O25:Q29 P31:Q34 K31:M44">
    <cfRule type="cellIs" dxfId="38" priority="24" operator="notEqual">
      <formula>0</formula>
    </cfRule>
  </conditionalFormatting>
  <conditionalFormatting sqref="G30:I30 K30:M30 O30:Y30">
    <cfRule type="cellIs" dxfId="37" priority="23" operator="notEqual">
      <formula>0</formula>
    </cfRule>
  </conditionalFormatting>
  <conditionalFormatting sqref="E45:I45">
    <cfRule type="cellIs" dxfId="36" priority="22" operator="notEqual">
      <formula>0</formula>
    </cfRule>
  </conditionalFormatting>
  <conditionalFormatting sqref="K45 M45">
    <cfRule type="cellIs" dxfId="35" priority="21" operator="notEqual">
      <formula>0</formula>
    </cfRule>
  </conditionalFormatting>
  <conditionalFormatting sqref="E52:I54">
    <cfRule type="cellIs" dxfId="34" priority="20" operator="notEqual">
      <formula>0</formula>
    </cfRule>
  </conditionalFormatting>
  <conditionalFormatting sqref="K52:K54">
    <cfRule type="cellIs" dxfId="33" priority="19" operator="notEqual">
      <formula>0</formula>
    </cfRule>
  </conditionalFormatting>
  <conditionalFormatting sqref="K50">
    <cfRule type="cellIs" dxfId="32" priority="17" operator="notEqual">
      <formula>0</formula>
    </cfRule>
  </conditionalFormatting>
  <conditionalFormatting sqref="K57">
    <cfRule type="cellIs" dxfId="31" priority="15" operator="notEqual">
      <formula>0</formula>
    </cfRule>
  </conditionalFormatting>
  <conditionalFormatting sqref="P44:P50">
    <cfRule type="cellIs" dxfId="30" priority="14" operator="notEqual">
      <formula>0</formula>
    </cfRule>
  </conditionalFormatting>
  <conditionalFormatting sqref="P52:P57">
    <cfRule type="cellIs" dxfId="29" priority="13" operator="notEqual">
      <formula>0</formula>
    </cfRule>
  </conditionalFormatting>
  <conditionalFormatting sqref="D24:D64">
    <cfRule type="cellIs" dxfId="28" priority="12" operator="notEqual">
      <formula>0</formula>
    </cfRule>
  </conditionalFormatting>
  <conditionalFormatting sqref="Z31:AA64 Z24:AA29">
    <cfRule type="cellIs" dxfId="27" priority="11" operator="notEqual">
      <formula>0</formula>
    </cfRule>
  </conditionalFormatting>
  <conditionalFormatting sqref="Z30:AA30">
    <cfRule type="cellIs" dxfId="26" priority="10" operator="notEqual">
      <formula>0</formula>
    </cfRule>
  </conditionalFormatting>
  <conditionalFormatting sqref="J55:J64 J46:J51 J31:J44 J24:J29">
    <cfRule type="cellIs" dxfId="25" priority="9" operator="notEqual">
      <formula>0</formula>
    </cfRule>
  </conditionalFormatting>
  <conditionalFormatting sqref="J30">
    <cfRule type="cellIs" dxfId="24" priority="8" operator="notEqual">
      <formula>0</formula>
    </cfRule>
  </conditionalFormatting>
  <conditionalFormatting sqref="J45">
    <cfRule type="cellIs" dxfId="23" priority="7" operator="notEqual">
      <formula>0</formula>
    </cfRule>
  </conditionalFormatting>
  <conditionalFormatting sqref="J52:J54">
    <cfRule type="cellIs" dxfId="22" priority="6" operator="notEqual">
      <formula>0</formula>
    </cfRule>
  </conditionalFormatting>
  <conditionalFormatting sqref="AC24:AC64">
    <cfRule type="cellIs" dxfId="21" priority="5" operator="notEqual">
      <formula>0</formula>
    </cfRule>
  </conditionalFormatting>
  <conditionalFormatting sqref="N24">
    <cfRule type="cellIs" dxfId="20" priority="4" operator="notEqual">
      <formula>0</formula>
    </cfRule>
  </conditionalFormatting>
  <conditionalFormatting sqref="N25:N29 N31:N64">
    <cfRule type="cellIs" dxfId="19" priority="3" operator="notEqual">
      <formula>0</formula>
    </cfRule>
  </conditionalFormatting>
  <conditionalFormatting sqref="N30">
    <cfRule type="cellIs" dxfId="18" priority="2" operator="notEqual">
      <formula>0</formula>
    </cfRule>
  </conditionalFormatting>
  <conditionalFormatting sqref="O31:O34">
    <cfRule type="cellIs" dxfId="17"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AAF3D-6395-40C2-BCA2-9E5E5066E0AE}">
  <dimension ref="A1:BS182"/>
  <sheetViews>
    <sheetView workbookViewId="0">
      <selection activeCell="E48" sqref="E48"/>
    </sheetView>
  </sheetViews>
  <sheetFormatPr defaultRowHeight="15" x14ac:dyDescent="0.25"/>
  <cols>
    <col min="1" max="1" width="35.42578125" customWidth="1"/>
    <col min="2" max="2" width="22" customWidth="1"/>
    <col min="3" max="5" width="17.140625" customWidth="1"/>
    <col min="6" max="12" width="13.5703125" customWidth="1"/>
    <col min="13" max="13" width="13.5703125" hidden="1" customWidth="1"/>
    <col min="14" max="32" width="15.7109375" hidden="1" customWidth="1"/>
    <col min="33" max="33" width="15.7109375" customWidth="1"/>
  </cols>
  <sheetData>
    <row r="1" spans="1:45" s="311" customFormat="1" ht="12.75" x14ac:dyDescent="0.2">
      <c r="A1" s="308"/>
      <c r="B1" s="309"/>
      <c r="C1" s="309"/>
      <c r="D1" s="309"/>
      <c r="E1" s="309"/>
      <c r="F1" s="309"/>
      <c r="G1" s="309"/>
      <c r="H1" s="309"/>
      <c r="I1" s="309"/>
      <c r="J1" s="309"/>
      <c r="K1" s="310"/>
      <c r="L1" s="309"/>
      <c r="M1" s="309"/>
      <c r="N1" s="309"/>
      <c r="O1" s="309"/>
      <c r="P1" s="310" t="s">
        <v>66</v>
      </c>
      <c r="Q1" s="309"/>
      <c r="R1" s="309"/>
      <c r="S1" s="309"/>
      <c r="T1" s="309"/>
      <c r="U1" s="309"/>
      <c r="V1" s="309"/>
      <c r="W1" s="309"/>
      <c r="X1" s="309"/>
      <c r="Y1" s="309"/>
      <c r="Z1" s="309"/>
      <c r="AA1" s="309"/>
      <c r="AB1" s="309"/>
      <c r="AC1" s="309"/>
      <c r="AD1" s="309"/>
      <c r="AE1" s="309"/>
      <c r="AF1" s="309"/>
      <c r="AG1" s="309"/>
      <c r="AH1" s="309"/>
      <c r="AI1" s="309"/>
      <c r="AJ1" s="309"/>
      <c r="AK1" s="309"/>
      <c r="AL1" s="309"/>
      <c r="AM1" s="309"/>
      <c r="AN1" s="309"/>
      <c r="AP1" s="312"/>
      <c r="AQ1" s="312"/>
      <c r="AR1" s="313"/>
      <c r="AS1" s="313"/>
    </row>
    <row r="2" spans="1:45" s="311" customFormat="1" ht="12.75" x14ac:dyDescent="0.2">
      <c r="A2" s="308"/>
      <c r="B2" s="309"/>
      <c r="C2" s="309"/>
      <c r="D2" s="309"/>
      <c r="E2" s="309"/>
      <c r="F2" s="309"/>
      <c r="G2" s="309"/>
      <c r="H2" s="309"/>
      <c r="I2" s="309"/>
      <c r="J2" s="309"/>
      <c r="K2" s="314"/>
      <c r="L2" s="309"/>
      <c r="M2" s="309"/>
      <c r="N2" s="309"/>
      <c r="O2" s="309"/>
      <c r="P2" s="314" t="s">
        <v>8</v>
      </c>
      <c r="Q2" s="309"/>
      <c r="R2" s="309"/>
      <c r="S2" s="309"/>
      <c r="T2" s="309"/>
      <c r="U2" s="309"/>
      <c r="V2" s="309"/>
      <c r="W2" s="309"/>
      <c r="X2" s="309"/>
      <c r="Y2" s="309"/>
      <c r="Z2" s="309"/>
      <c r="AA2" s="309"/>
      <c r="AB2" s="309"/>
      <c r="AC2" s="309"/>
      <c r="AD2" s="309"/>
      <c r="AE2" s="309"/>
      <c r="AF2" s="309"/>
      <c r="AG2" s="309"/>
      <c r="AH2" s="309"/>
      <c r="AI2" s="309"/>
      <c r="AJ2" s="309"/>
      <c r="AK2" s="309"/>
      <c r="AL2" s="309"/>
      <c r="AM2" s="309"/>
      <c r="AN2" s="309"/>
      <c r="AP2" s="312"/>
      <c r="AQ2" s="312"/>
      <c r="AR2" s="313"/>
      <c r="AS2" s="313"/>
    </row>
    <row r="3" spans="1:45" s="311" customFormat="1" ht="12.75" x14ac:dyDescent="0.2">
      <c r="A3" s="315"/>
      <c r="B3" s="309"/>
      <c r="C3" s="309"/>
      <c r="D3" s="309"/>
      <c r="E3" s="309"/>
      <c r="F3" s="309"/>
      <c r="G3" s="309"/>
      <c r="H3" s="309"/>
      <c r="I3" s="309"/>
      <c r="J3" s="309"/>
      <c r="K3" s="314"/>
      <c r="L3" s="309"/>
      <c r="M3" s="309"/>
      <c r="N3" s="309"/>
      <c r="O3" s="309"/>
      <c r="P3" s="314" t="s">
        <v>443</v>
      </c>
      <c r="Q3" s="309"/>
      <c r="R3" s="309"/>
      <c r="S3" s="309"/>
      <c r="T3" s="309"/>
      <c r="U3" s="309"/>
      <c r="V3" s="309"/>
      <c r="W3" s="309"/>
      <c r="X3" s="309"/>
      <c r="Y3" s="309"/>
      <c r="Z3" s="309"/>
      <c r="AA3" s="309"/>
      <c r="AB3" s="309"/>
      <c r="AC3" s="309"/>
      <c r="AD3" s="309"/>
      <c r="AE3" s="309"/>
      <c r="AF3" s="309"/>
      <c r="AG3" s="309"/>
      <c r="AH3" s="309"/>
      <c r="AI3" s="309"/>
      <c r="AJ3" s="309"/>
      <c r="AK3" s="309"/>
      <c r="AL3" s="309"/>
      <c r="AM3" s="309"/>
      <c r="AN3" s="309"/>
      <c r="AP3" s="312"/>
      <c r="AQ3" s="312"/>
      <c r="AR3" s="313"/>
      <c r="AS3" s="313"/>
    </row>
    <row r="4" spans="1:45" s="311" customFormat="1" ht="12.75" x14ac:dyDescent="0.2">
      <c r="A4" s="316"/>
      <c r="B4" s="308"/>
      <c r="C4" s="308"/>
      <c r="D4" s="308"/>
      <c r="E4" s="308"/>
      <c r="F4" s="308"/>
      <c r="G4" s="308"/>
      <c r="H4" s="308"/>
      <c r="I4" s="308"/>
      <c r="J4" s="308"/>
      <c r="K4" s="314"/>
      <c r="L4" s="308"/>
      <c r="M4" s="308"/>
      <c r="N4" s="308"/>
      <c r="O4" s="308"/>
      <c r="P4" s="308"/>
      <c r="Q4" s="309"/>
      <c r="R4" s="309"/>
      <c r="S4" s="309"/>
      <c r="T4" s="309"/>
      <c r="U4" s="309"/>
      <c r="V4" s="309"/>
      <c r="W4" s="309"/>
      <c r="X4" s="309"/>
      <c r="Y4" s="309"/>
      <c r="Z4" s="309"/>
      <c r="AA4" s="309"/>
      <c r="AB4" s="309"/>
      <c r="AC4" s="309"/>
      <c r="AD4" s="309"/>
      <c r="AE4" s="309"/>
      <c r="AF4" s="309"/>
      <c r="AG4" s="309"/>
      <c r="AH4" s="309"/>
      <c r="AI4" s="309"/>
      <c r="AJ4" s="309"/>
      <c r="AK4" s="309"/>
      <c r="AL4" s="309"/>
      <c r="AM4" s="309"/>
      <c r="AN4" s="309"/>
      <c r="AO4" s="309"/>
      <c r="AP4" s="312"/>
      <c r="AQ4" s="312"/>
      <c r="AR4" s="313"/>
      <c r="AS4" s="313"/>
    </row>
    <row r="5" spans="1:45" s="311" customFormat="1" ht="12.75" x14ac:dyDescent="0.2">
      <c r="A5" s="483" t="str">
        <f>'1. паспорт местоположение'!A5:C5</f>
        <v>Год раскрытия информации: 2022 год</v>
      </c>
      <c r="B5" s="483"/>
      <c r="C5" s="483"/>
      <c r="D5" s="483"/>
      <c r="E5" s="483"/>
      <c r="F5" s="483"/>
      <c r="G5" s="483"/>
      <c r="H5" s="483"/>
      <c r="I5" s="483"/>
      <c r="J5" s="483"/>
      <c r="K5" s="483"/>
      <c r="L5" s="483"/>
      <c r="M5" s="483"/>
      <c r="N5" s="483"/>
      <c r="O5" s="483"/>
      <c r="P5" s="483"/>
      <c r="Q5" s="317"/>
      <c r="R5" s="317"/>
      <c r="S5" s="317"/>
      <c r="T5" s="317"/>
      <c r="U5" s="317"/>
      <c r="V5" s="317"/>
      <c r="W5" s="317"/>
      <c r="X5" s="317"/>
      <c r="Y5" s="317"/>
      <c r="Z5" s="317"/>
      <c r="AA5" s="317"/>
      <c r="AB5" s="317"/>
      <c r="AC5" s="317"/>
      <c r="AD5" s="317"/>
      <c r="AE5" s="317"/>
      <c r="AF5" s="317"/>
      <c r="AG5" s="317"/>
      <c r="AH5" s="317"/>
      <c r="AI5" s="317"/>
      <c r="AJ5" s="317"/>
      <c r="AK5" s="317"/>
      <c r="AL5" s="317"/>
      <c r="AM5" s="317"/>
      <c r="AN5" s="317"/>
      <c r="AO5" s="317"/>
      <c r="AP5" s="312"/>
      <c r="AQ5" s="312"/>
      <c r="AR5" s="313"/>
      <c r="AS5" s="313"/>
    </row>
    <row r="6" spans="1:45" s="311" customFormat="1" ht="12.75" x14ac:dyDescent="0.2">
      <c r="A6" s="316"/>
      <c r="B6" s="308"/>
      <c r="C6" s="308"/>
      <c r="D6" s="308"/>
      <c r="E6" s="308"/>
      <c r="F6" s="308"/>
      <c r="G6" s="308"/>
      <c r="H6" s="308"/>
      <c r="I6" s="308"/>
      <c r="J6" s="308"/>
      <c r="K6" s="314"/>
      <c r="L6" s="308"/>
      <c r="M6" s="308"/>
      <c r="N6" s="308"/>
      <c r="O6" s="308"/>
      <c r="P6" s="308"/>
      <c r="Q6" s="309"/>
      <c r="R6" s="309"/>
      <c r="S6" s="309"/>
      <c r="T6" s="309"/>
      <c r="U6" s="309"/>
      <c r="V6" s="309"/>
      <c r="W6" s="309"/>
      <c r="X6" s="309"/>
      <c r="Y6" s="309"/>
      <c r="Z6" s="309"/>
      <c r="AA6" s="309"/>
      <c r="AB6" s="309"/>
      <c r="AC6" s="309"/>
      <c r="AD6" s="309"/>
      <c r="AE6" s="309"/>
      <c r="AF6" s="309"/>
      <c r="AG6" s="309"/>
      <c r="AH6" s="309"/>
      <c r="AI6" s="309"/>
      <c r="AJ6" s="309"/>
      <c r="AK6" s="309"/>
      <c r="AL6" s="309"/>
      <c r="AM6" s="309"/>
      <c r="AN6" s="309"/>
      <c r="AO6" s="309"/>
      <c r="AP6" s="312"/>
      <c r="AQ6" s="312"/>
      <c r="AR6" s="313"/>
      <c r="AS6" s="313"/>
    </row>
    <row r="7" spans="1:45" s="311" customFormat="1" ht="12.75" x14ac:dyDescent="0.2">
      <c r="A7" s="483" t="s">
        <v>7</v>
      </c>
      <c r="B7" s="483"/>
      <c r="C7" s="483"/>
      <c r="D7" s="483"/>
      <c r="E7" s="483"/>
      <c r="F7" s="483"/>
      <c r="G7" s="483"/>
      <c r="H7" s="483"/>
      <c r="I7" s="483"/>
      <c r="J7" s="483"/>
      <c r="K7" s="483"/>
      <c r="L7" s="483"/>
      <c r="M7" s="483"/>
      <c r="N7" s="483"/>
      <c r="O7" s="483"/>
      <c r="P7" s="483"/>
      <c r="Q7" s="318"/>
      <c r="R7" s="318"/>
      <c r="S7" s="318"/>
      <c r="T7" s="318"/>
      <c r="U7" s="318"/>
      <c r="V7" s="318"/>
      <c r="W7" s="318"/>
      <c r="X7" s="318"/>
      <c r="Y7" s="318"/>
      <c r="Z7" s="318"/>
      <c r="AA7" s="318"/>
      <c r="AB7" s="318"/>
      <c r="AC7" s="318"/>
      <c r="AD7" s="318"/>
      <c r="AE7" s="318"/>
      <c r="AF7" s="318"/>
      <c r="AG7" s="318"/>
      <c r="AH7" s="318"/>
      <c r="AI7" s="318"/>
      <c r="AJ7" s="318"/>
      <c r="AK7" s="318"/>
      <c r="AL7" s="318"/>
      <c r="AM7" s="318"/>
      <c r="AN7" s="318"/>
      <c r="AO7" s="318"/>
      <c r="AP7" s="312"/>
      <c r="AQ7" s="312"/>
      <c r="AR7" s="313"/>
      <c r="AS7" s="313"/>
    </row>
    <row r="8" spans="1:45" s="311" customFormat="1" ht="12.75" x14ac:dyDescent="0.2">
      <c r="A8" s="319"/>
      <c r="B8" s="319"/>
      <c r="C8" s="319"/>
      <c r="D8" s="319"/>
      <c r="E8" s="319"/>
      <c r="F8" s="319"/>
      <c r="G8" s="319"/>
      <c r="H8" s="319"/>
      <c r="I8" s="319"/>
      <c r="J8" s="319"/>
      <c r="K8" s="319"/>
      <c r="L8" s="317"/>
      <c r="M8" s="317"/>
      <c r="N8" s="317"/>
      <c r="O8" s="317"/>
      <c r="P8" s="317"/>
      <c r="Q8" s="318"/>
      <c r="R8" s="318"/>
      <c r="S8" s="318"/>
      <c r="T8" s="318"/>
      <c r="U8" s="318"/>
      <c r="V8" s="318"/>
      <c r="W8" s="318"/>
      <c r="X8" s="318"/>
      <c r="Y8" s="318"/>
      <c r="Z8" s="309"/>
      <c r="AA8" s="309"/>
      <c r="AB8" s="309"/>
      <c r="AC8" s="309"/>
      <c r="AD8" s="309"/>
      <c r="AE8" s="309"/>
      <c r="AF8" s="309"/>
      <c r="AG8" s="309"/>
      <c r="AH8" s="309"/>
      <c r="AI8" s="309"/>
      <c r="AJ8" s="309"/>
      <c r="AK8" s="309"/>
      <c r="AL8" s="309"/>
      <c r="AM8" s="309"/>
      <c r="AN8" s="309"/>
      <c r="AO8" s="309"/>
      <c r="AP8" s="312"/>
      <c r="AQ8" s="312"/>
      <c r="AR8" s="313"/>
      <c r="AS8" s="313"/>
    </row>
    <row r="9" spans="1:45" s="311" customFormat="1" ht="12.75" x14ac:dyDescent="0.2">
      <c r="A9" s="484" t="str">
        <f>'1. паспорт местоположение'!A9:C9</f>
        <v xml:space="preserve">Акционерное общество "Западная энергетическая компания" </v>
      </c>
      <c r="B9" s="484"/>
      <c r="C9" s="484"/>
      <c r="D9" s="484"/>
      <c r="E9" s="484"/>
      <c r="F9" s="484"/>
      <c r="G9" s="484"/>
      <c r="H9" s="484"/>
      <c r="I9" s="484"/>
      <c r="J9" s="484"/>
      <c r="K9" s="484"/>
      <c r="L9" s="484"/>
      <c r="M9" s="484"/>
      <c r="N9" s="484"/>
      <c r="O9" s="484"/>
      <c r="P9" s="484"/>
      <c r="Q9" s="320"/>
      <c r="R9" s="320"/>
      <c r="S9" s="320"/>
      <c r="T9" s="320"/>
      <c r="U9" s="320"/>
      <c r="V9" s="320"/>
      <c r="W9" s="320"/>
      <c r="X9" s="320"/>
      <c r="Y9" s="320"/>
      <c r="Z9" s="320"/>
      <c r="AA9" s="320"/>
      <c r="AB9" s="320"/>
      <c r="AC9" s="320"/>
      <c r="AD9" s="320"/>
      <c r="AE9" s="320"/>
      <c r="AF9" s="320"/>
      <c r="AG9" s="320"/>
      <c r="AH9" s="320"/>
      <c r="AI9" s="320"/>
      <c r="AJ9" s="320"/>
      <c r="AK9" s="320"/>
      <c r="AL9" s="320"/>
      <c r="AM9" s="320"/>
      <c r="AN9" s="320"/>
      <c r="AO9" s="320"/>
      <c r="AP9" s="312"/>
      <c r="AQ9" s="312"/>
      <c r="AR9" s="313"/>
      <c r="AS9" s="313"/>
    </row>
    <row r="10" spans="1:45" s="311" customFormat="1" ht="12.75" x14ac:dyDescent="0.2">
      <c r="A10" s="482" t="s">
        <v>6</v>
      </c>
      <c r="B10" s="482"/>
      <c r="C10" s="482"/>
      <c r="D10" s="482"/>
      <c r="E10" s="482"/>
      <c r="F10" s="482"/>
      <c r="G10" s="482"/>
      <c r="H10" s="482"/>
      <c r="I10" s="482"/>
      <c r="J10" s="482"/>
      <c r="K10" s="482"/>
      <c r="L10" s="482"/>
      <c r="M10" s="482"/>
      <c r="N10" s="482"/>
      <c r="O10" s="482"/>
      <c r="P10" s="482"/>
      <c r="Q10" s="321"/>
      <c r="R10" s="321"/>
      <c r="S10" s="321"/>
      <c r="T10" s="321"/>
      <c r="U10" s="321"/>
      <c r="V10" s="321"/>
      <c r="W10" s="321"/>
      <c r="X10" s="321"/>
      <c r="Y10" s="321"/>
      <c r="Z10" s="321"/>
      <c r="AA10" s="321"/>
      <c r="AB10" s="321"/>
      <c r="AC10" s="321"/>
      <c r="AD10" s="321"/>
      <c r="AE10" s="321"/>
      <c r="AF10" s="321"/>
      <c r="AG10" s="321"/>
      <c r="AH10" s="321"/>
      <c r="AI10" s="321"/>
      <c r="AJ10" s="321"/>
      <c r="AK10" s="321"/>
      <c r="AL10" s="321"/>
      <c r="AM10" s="321"/>
      <c r="AN10" s="321"/>
      <c r="AO10" s="321"/>
      <c r="AP10" s="312"/>
      <c r="AQ10" s="312"/>
      <c r="AR10" s="313"/>
      <c r="AS10" s="313"/>
    </row>
    <row r="11" spans="1:45" s="311" customFormat="1" ht="12.75" x14ac:dyDescent="0.2">
      <c r="A11" s="319"/>
      <c r="B11" s="319"/>
      <c r="C11" s="319"/>
      <c r="D11" s="319"/>
      <c r="E11" s="319"/>
      <c r="F11" s="319"/>
      <c r="G11" s="319"/>
      <c r="H11" s="319"/>
      <c r="I11" s="319"/>
      <c r="J11" s="319"/>
      <c r="K11" s="319"/>
      <c r="L11" s="317"/>
      <c r="M11" s="317"/>
      <c r="N11" s="317"/>
      <c r="O11" s="317"/>
      <c r="P11" s="317"/>
      <c r="Q11" s="318"/>
      <c r="R11" s="318"/>
      <c r="S11" s="318"/>
      <c r="T11" s="318"/>
      <c r="U11" s="318"/>
      <c r="V11" s="318"/>
      <c r="W11" s="318"/>
      <c r="X11" s="318"/>
      <c r="Y11" s="318"/>
      <c r="Z11" s="309"/>
      <c r="AA11" s="309"/>
      <c r="AB11" s="309"/>
      <c r="AC11" s="309"/>
      <c r="AD11" s="309"/>
      <c r="AE11" s="309"/>
      <c r="AF11" s="309"/>
      <c r="AG11" s="309"/>
      <c r="AH11" s="309"/>
      <c r="AI11" s="309"/>
      <c r="AJ11" s="309"/>
      <c r="AK11" s="309"/>
      <c r="AL11" s="309"/>
      <c r="AM11" s="309"/>
      <c r="AN11" s="309"/>
      <c r="AO11" s="309"/>
      <c r="AP11" s="312"/>
      <c r="AQ11" s="312"/>
      <c r="AR11" s="313"/>
      <c r="AS11" s="313"/>
    </row>
    <row r="12" spans="1:45" s="311" customFormat="1" ht="12.75" x14ac:dyDescent="0.2">
      <c r="A12" s="484" t="str">
        <f>'1. паспорт местоположение'!A12:C12</f>
        <v>J 19-02</v>
      </c>
      <c r="B12" s="484"/>
      <c r="C12" s="484"/>
      <c r="D12" s="484"/>
      <c r="E12" s="484"/>
      <c r="F12" s="484"/>
      <c r="G12" s="484"/>
      <c r="H12" s="484"/>
      <c r="I12" s="484"/>
      <c r="J12" s="484"/>
      <c r="K12" s="484"/>
      <c r="L12" s="484"/>
      <c r="M12" s="484"/>
      <c r="N12" s="484"/>
      <c r="O12" s="484"/>
      <c r="P12" s="484"/>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12"/>
      <c r="AQ12" s="312"/>
      <c r="AR12" s="313"/>
      <c r="AS12" s="313"/>
    </row>
    <row r="13" spans="1:45" s="311" customFormat="1" ht="12.75" x14ac:dyDescent="0.2">
      <c r="A13" s="482" t="s">
        <v>5</v>
      </c>
      <c r="B13" s="482"/>
      <c r="C13" s="482"/>
      <c r="D13" s="482"/>
      <c r="E13" s="482"/>
      <c r="F13" s="482"/>
      <c r="G13" s="482"/>
      <c r="H13" s="482"/>
      <c r="I13" s="482"/>
      <c r="J13" s="482"/>
      <c r="K13" s="482"/>
      <c r="L13" s="482"/>
      <c r="M13" s="482"/>
      <c r="N13" s="482"/>
      <c r="O13" s="482"/>
      <c r="P13" s="482"/>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c r="AP13" s="312"/>
      <c r="AQ13" s="312"/>
      <c r="AR13" s="313"/>
      <c r="AS13" s="313"/>
    </row>
    <row r="14" spans="1:45" s="311" customFormat="1" ht="12.75" x14ac:dyDescent="0.2">
      <c r="A14" s="322"/>
      <c r="B14" s="322"/>
      <c r="C14" s="322"/>
      <c r="D14" s="322"/>
      <c r="E14" s="322"/>
      <c r="F14" s="322"/>
      <c r="G14" s="322"/>
      <c r="H14" s="322"/>
      <c r="I14" s="322"/>
      <c r="J14" s="322"/>
      <c r="K14" s="322"/>
      <c r="L14" s="322"/>
      <c r="M14" s="322"/>
      <c r="N14" s="322"/>
      <c r="O14" s="322"/>
      <c r="P14" s="322"/>
      <c r="Q14" s="323"/>
      <c r="R14" s="323"/>
      <c r="S14" s="323"/>
      <c r="T14" s="323"/>
      <c r="U14" s="323"/>
      <c r="V14" s="323"/>
      <c r="W14" s="323"/>
      <c r="X14" s="323"/>
      <c r="Y14" s="323"/>
      <c r="Z14" s="309"/>
      <c r="AA14" s="309"/>
      <c r="AB14" s="309"/>
      <c r="AC14" s="309"/>
      <c r="AD14" s="309"/>
      <c r="AE14" s="309"/>
      <c r="AF14" s="309"/>
      <c r="AG14" s="309"/>
      <c r="AH14" s="309"/>
      <c r="AI14" s="309"/>
      <c r="AJ14" s="309"/>
      <c r="AK14" s="309"/>
      <c r="AL14" s="309"/>
      <c r="AM14" s="309"/>
      <c r="AN14" s="309"/>
      <c r="AO14" s="309"/>
      <c r="AP14" s="312"/>
      <c r="AQ14" s="312"/>
      <c r="AR14" s="313"/>
      <c r="AS14" s="313"/>
    </row>
    <row r="15" spans="1:45" s="311" customFormat="1" ht="12.75" x14ac:dyDescent="0.2">
      <c r="A15" s="487"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87"/>
      <c r="C15" s="487"/>
      <c r="D15" s="487"/>
      <c r="E15" s="487"/>
      <c r="F15" s="487"/>
      <c r="G15" s="487"/>
      <c r="H15" s="487"/>
      <c r="I15" s="487"/>
      <c r="J15" s="487"/>
      <c r="K15" s="487"/>
      <c r="L15" s="487"/>
      <c r="M15" s="487"/>
      <c r="N15" s="487"/>
      <c r="O15" s="487"/>
      <c r="P15" s="487"/>
      <c r="Q15" s="324"/>
      <c r="R15" s="324"/>
      <c r="S15" s="324"/>
      <c r="T15" s="324"/>
      <c r="U15" s="324"/>
      <c r="V15" s="324"/>
      <c r="W15" s="324"/>
      <c r="X15" s="324"/>
      <c r="Y15" s="324"/>
      <c r="Z15" s="324"/>
      <c r="AA15" s="324"/>
      <c r="AB15" s="324"/>
      <c r="AC15" s="324"/>
      <c r="AD15" s="324"/>
      <c r="AE15" s="324"/>
      <c r="AF15" s="324"/>
      <c r="AG15" s="324"/>
      <c r="AH15" s="324"/>
      <c r="AI15" s="324"/>
      <c r="AJ15" s="324"/>
      <c r="AK15" s="324"/>
      <c r="AL15" s="324"/>
      <c r="AM15" s="324"/>
      <c r="AN15" s="324"/>
      <c r="AO15" s="324"/>
      <c r="AP15" s="312"/>
      <c r="AQ15" s="312"/>
      <c r="AR15" s="313"/>
      <c r="AS15" s="313"/>
    </row>
    <row r="16" spans="1:45" s="311" customFormat="1" ht="12.75" x14ac:dyDescent="0.2">
      <c r="A16" s="488" t="s">
        <v>4</v>
      </c>
      <c r="B16" s="488"/>
      <c r="C16" s="488"/>
      <c r="D16" s="488"/>
      <c r="E16" s="488"/>
      <c r="F16" s="488"/>
      <c r="G16" s="488"/>
      <c r="H16" s="488"/>
      <c r="I16" s="488"/>
      <c r="J16" s="488"/>
      <c r="K16" s="488"/>
      <c r="L16" s="488"/>
      <c r="M16" s="488"/>
      <c r="N16" s="488"/>
      <c r="O16" s="488"/>
      <c r="P16" s="488"/>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AN16" s="321"/>
      <c r="AO16" s="321"/>
      <c r="AP16" s="312"/>
      <c r="AQ16" s="312"/>
      <c r="AR16" s="313"/>
      <c r="AS16" s="313"/>
    </row>
    <row r="17" spans="1:45" s="311" customFormat="1" ht="12.75" x14ac:dyDescent="0.2">
      <c r="A17" s="323"/>
      <c r="B17" s="323"/>
      <c r="C17" s="323"/>
      <c r="D17" s="323"/>
      <c r="E17" s="323"/>
      <c r="F17" s="323"/>
      <c r="G17" s="323"/>
      <c r="H17" s="323"/>
      <c r="I17" s="323"/>
      <c r="J17" s="323"/>
      <c r="K17" s="323"/>
      <c r="L17" s="323"/>
      <c r="M17" s="323"/>
      <c r="N17" s="323"/>
      <c r="O17" s="323"/>
      <c r="P17" s="323"/>
      <c r="Q17" s="323"/>
      <c r="R17" s="323"/>
      <c r="S17" s="323"/>
      <c r="T17" s="323"/>
      <c r="U17" s="323"/>
      <c r="V17" s="323"/>
      <c r="W17" s="325"/>
      <c r="X17" s="325"/>
      <c r="Y17" s="325"/>
      <c r="Z17" s="325"/>
      <c r="AA17" s="325"/>
      <c r="AB17" s="325"/>
      <c r="AC17" s="325"/>
      <c r="AD17" s="325"/>
      <c r="AE17" s="325"/>
      <c r="AF17" s="325"/>
      <c r="AG17" s="325"/>
      <c r="AH17" s="325"/>
      <c r="AI17" s="325"/>
      <c r="AJ17" s="325"/>
      <c r="AK17" s="325"/>
      <c r="AL17" s="325"/>
      <c r="AM17" s="325"/>
      <c r="AN17" s="325"/>
      <c r="AO17" s="325"/>
      <c r="AP17" s="312"/>
      <c r="AQ17" s="312"/>
      <c r="AR17" s="313"/>
      <c r="AS17" s="313"/>
    </row>
    <row r="18" spans="1:45" s="311" customFormat="1" ht="12.75" x14ac:dyDescent="0.2">
      <c r="A18" s="489" t="s">
        <v>390</v>
      </c>
      <c r="B18" s="489"/>
      <c r="C18" s="489"/>
      <c r="D18" s="489"/>
      <c r="E18" s="489"/>
      <c r="F18" s="489"/>
      <c r="G18" s="489"/>
      <c r="H18" s="489"/>
      <c r="I18" s="489"/>
      <c r="J18" s="489"/>
      <c r="K18" s="489"/>
      <c r="L18" s="489"/>
      <c r="M18" s="489"/>
      <c r="N18" s="489"/>
      <c r="O18" s="489"/>
      <c r="P18" s="489"/>
      <c r="Q18" s="320"/>
      <c r="R18" s="320"/>
      <c r="S18" s="320"/>
      <c r="T18" s="320"/>
      <c r="U18" s="320"/>
      <c r="V18" s="320"/>
      <c r="W18" s="320"/>
      <c r="X18" s="320"/>
      <c r="Y18" s="320"/>
      <c r="Z18" s="320"/>
      <c r="AA18" s="320"/>
      <c r="AB18" s="320"/>
      <c r="AC18" s="320"/>
      <c r="AD18" s="320"/>
      <c r="AE18" s="320"/>
      <c r="AF18" s="320"/>
      <c r="AG18" s="320"/>
      <c r="AH18" s="320"/>
      <c r="AI18" s="320"/>
      <c r="AJ18" s="320"/>
      <c r="AK18" s="320"/>
      <c r="AL18" s="320"/>
      <c r="AM18" s="320"/>
      <c r="AN18" s="320"/>
      <c r="AO18" s="320"/>
      <c r="AP18" s="312"/>
      <c r="AQ18" s="312"/>
      <c r="AR18" s="313"/>
      <c r="AS18" s="313"/>
    </row>
    <row r="19" spans="1:45" s="311" customFormat="1" ht="12.75" x14ac:dyDescent="0.2">
      <c r="A19" s="326"/>
      <c r="B19" s="326"/>
      <c r="C19" s="326"/>
      <c r="D19" s="326"/>
      <c r="E19" s="326"/>
      <c r="F19" s="326"/>
      <c r="G19" s="326"/>
      <c r="H19" s="326"/>
      <c r="I19" s="326"/>
      <c r="J19" s="326"/>
      <c r="K19" s="326"/>
      <c r="L19" s="326"/>
      <c r="M19" s="326"/>
      <c r="N19" s="326"/>
      <c r="O19" s="326"/>
      <c r="P19" s="326"/>
      <c r="Q19" s="320"/>
      <c r="R19" s="320"/>
      <c r="S19" s="320"/>
      <c r="T19" s="320"/>
      <c r="U19" s="320"/>
      <c r="V19" s="320"/>
      <c r="W19" s="320"/>
      <c r="X19" s="320"/>
      <c r="Y19" s="320"/>
      <c r="Z19" s="320"/>
      <c r="AA19" s="320"/>
      <c r="AB19" s="320"/>
      <c r="AC19" s="320"/>
      <c r="AD19" s="320"/>
      <c r="AE19" s="320"/>
      <c r="AF19" s="320"/>
      <c r="AG19" s="320"/>
      <c r="AH19" s="320"/>
      <c r="AI19" s="320"/>
      <c r="AJ19" s="320"/>
      <c r="AK19" s="320"/>
      <c r="AL19" s="320"/>
      <c r="AM19" s="320"/>
      <c r="AN19" s="320"/>
      <c r="AO19" s="320"/>
      <c r="AP19" s="312"/>
      <c r="AQ19" s="312"/>
      <c r="AR19" s="313"/>
      <c r="AS19" s="313"/>
    </row>
    <row r="20" spans="1:45" s="311" customFormat="1" ht="12.75" x14ac:dyDescent="0.2">
      <c r="A20" s="326"/>
      <c r="B20" s="326"/>
      <c r="C20" s="326"/>
      <c r="D20" s="326"/>
      <c r="E20" s="326"/>
      <c r="F20" s="326"/>
      <c r="G20" s="326"/>
      <c r="H20" s="326"/>
      <c r="I20" s="326"/>
      <c r="J20" s="326"/>
      <c r="K20" s="326"/>
      <c r="L20" s="326"/>
      <c r="M20" s="326"/>
      <c r="N20" s="326"/>
      <c r="O20" s="326"/>
      <c r="P20" s="326"/>
      <c r="Q20" s="320"/>
      <c r="R20" s="320"/>
      <c r="S20" s="320"/>
      <c r="T20" s="320"/>
      <c r="U20" s="320"/>
      <c r="V20" s="320"/>
      <c r="W20" s="320"/>
      <c r="X20" s="320"/>
      <c r="Y20" s="320"/>
      <c r="Z20" s="320"/>
      <c r="AA20" s="320"/>
      <c r="AB20" s="320"/>
      <c r="AC20" s="320"/>
      <c r="AD20" s="320"/>
      <c r="AE20" s="320"/>
      <c r="AF20" s="320"/>
      <c r="AG20" s="320"/>
      <c r="AH20" s="320"/>
      <c r="AI20" s="320"/>
      <c r="AJ20" s="320"/>
      <c r="AK20" s="320"/>
      <c r="AL20" s="320"/>
      <c r="AM20" s="320"/>
      <c r="AN20" s="320"/>
      <c r="AO20" s="320"/>
      <c r="AP20" s="312"/>
      <c r="AQ20" s="312"/>
      <c r="AR20" s="313"/>
      <c r="AS20" s="313"/>
    </row>
    <row r="21" spans="1:45" s="311" customFormat="1" ht="12.75" x14ac:dyDescent="0.2">
      <c r="A21" s="327"/>
      <c r="B21" s="321"/>
      <c r="C21" s="321"/>
      <c r="D21" s="321"/>
      <c r="E21" s="321"/>
      <c r="F21" s="321"/>
      <c r="G21" s="321"/>
      <c r="H21" s="321"/>
      <c r="I21" s="321"/>
      <c r="J21" s="321"/>
      <c r="K21" s="321"/>
      <c r="L21" s="321"/>
      <c r="M21" s="321"/>
      <c r="N21" s="321"/>
      <c r="O21" s="321"/>
      <c r="P21" s="321"/>
      <c r="Q21" s="321"/>
      <c r="R21" s="321"/>
      <c r="S21" s="321"/>
      <c r="T21" s="321"/>
      <c r="U21" s="321"/>
      <c r="V21" s="321"/>
      <c r="W21" s="321"/>
      <c r="X21" s="321"/>
      <c r="Y21" s="321"/>
      <c r="Z21" s="321"/>
      <c r="AA21" s="321"/>
      <c r="AB21" s="321"/>
      <c r="AC21" s="321"/>
      <c r="AP21" s="312"/>
      <c r="AQ21" s="312"/>
      <c r="AR21" s="313"/>
      <c r="AS21" s="313"/>
    </row>
    <row r="22" spans="1:45" s="311" customFormat="1" ht="12.75" x14ac:dyDescent="0.2">
      <c r="A22" s="318"/>
      <c r="B22" s="321"/>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321"/>
      <c r="AB22" s="321"/>
      <c r="AC22" s="321"/>
      <c r="AP22" s="312"/>
      <c r="AQ22" s="312"/>
      <c r="AR22" s="313"/>
      <c r="AS22" s="313"/>
    </row>
    <row r="23" spans="1:45" s="311" customFormat="1" ht="13.5" thickBot="1" x14ac:dyDescent="0.25">
      <c r="A23" s="328" t="s">
        <v>288</v>
      </c>
      <c r="B23" s="328" t="s">
        <v>1</v>
      </c>
      <c r="C23" s="321"/>
      <c r="D23" s="329"/>
      <c r="E23" s="321"/>
      <c r="F23" s="321"/>
      <c r="G23" s="321"/>
      <c r="H23" s="321"/>
      <c r="I23" s="321"/>
      <c r="J23" s="321"/>
      <c r="K23" s="321"/>
      <c r="L23" s="321"/>
      <c r="M23" s="321"/>
      <c r="N23" s="321"/>
      <c r="O23" s="321"/>
      <c r="P23" s="321"/>
      <c r="Q23" s="321"/>
      <c r="R23" s="321"/>
      <c r="S23" s="321"/>
      <c r="T23" s="321"/>
      <c r="U23" s="321"/>
      <c r="V23" s="321"/>
      <c r="W23" s="321"/>
      <c r="X23" s="321"/>
      <c r="Y23" s="321"/>
      <c r="Z23" s="321"/>
      <c r="AA23" s="321"/>
      <c r="AB23" s="321"/>
      <c r="AC23" s="321"/>
    </row>
    <row r="24" spans="1:45" s="311" customFormat="1" x14ac:dyDescent="0.2">
      <c r="A24" s="330" t="s">
        <v>427</v>
      </c>
      <c r="B24" s="252">
        <v>278463232.87828702</v>
      </c>
      <c r="C24" s="321"/>
      <c r="D24" s="321"/>
      <c r="E24" s="321"/>
      <c r="F24" s="321"/>
      <c r="G24" s="321"/>
      <c r="H24" s="321"/>
      <c r="I24" s="321"/>
      <c r="J24" s="321"/>
      <c r="K24" s="321"/>
      <c r="L24" s="321"/>
      <c r="M24" s="321"/>
      <c r="N24" s="321"/>
      <c r="O24" s="321"/>
      <c r="P24" s="321"/>
      <c r="Q24" s="321"/>
      <c r="R24" s="321"/>
      <c r="S24" s="321"/>
      <c r="T24" s="321"/>
      <c r="U24" s="321"/>
      <c r="V24" s="321"/>
      <c r="W24" s="321"/>
      <c r="X24" s="321"/>
      <c r="Y24" s="321"/>
      <c r="Z24" s="321"/>
      <c r="AA24" s="321"/>
      <c r="AB24" s="321"/>
      <c r="AC24" s="321"/>
    </row>
    <row r="25" spans="1:45" s="311" customFormat="1" ht="12.75" x14ac:dyDescent="0.2">
      <c r="A25" s="331" t="s">
        <v>286</v>
      </c>
      <c r="B25" s="332">
        <v>0</v>
      </c>
      <c r="C25" s="321"/>
      <c r="D25" s="321"/>
      <c r="E25" s="321"/>
      <c r="F25" s="321"/>
      <c r="G25" s="321"/>
      <c r="H25" s="321"/>
      <c r="I25" s="321"/>
      <c r="J25" s="321"/>
      <c r="K25" s="321"/>
      <c r="L25" s="321"/>
      <c r="M25" s="321"/>
      <c r="N25" s="321"/>
      <c r="O25" s="321"/>
      <c r="P25" s="321"/>
      <c r="Q25" s="321"/>
      <c r="R25" s="321"/>
      <c r="S25" s="321"/>
      <c r="T25" s="321"/>
      <c r="U25" s="321"/>
      <c r="V25" s="321"/>
      <c r="W25" s="321"/>
      <c r="X25" s="321"/>
      <c r="Y25" s="321"/>
      <c r="Z25" s="321"/>
      <c r="AA25" s="321"/>
      <c r="AB25" s="321"/>
      <c r="AC25" s="321"/>
    </row>
    <row r="26" spans="1:45" s="311" customFormat="1" ht="12.75" x14ac:dyDescent="0.2">
      <c r="A26" s="331" t="s">
        <v>284</v>
      </c>
      <c r="B26" s="332">
        <v>30</v>
      </c>
      <c r="C26" s="321"/>
      <c r="D26" s="318" t="s">
        <v>287</v>
      </c>
      <c r="E26" s="321"/>
      <c r="F26" s="321"/>
      <c r="G26" s="321"/>
      <c r="H26" s="321"/>
      <c r="I26" s="321"/>
      <c r="J26" s="321"/>
      <c r="K26" s="321"/>
      <c r="L26" s="321"/>
      <c r="M26" s="321"/>
      <c r="N26" s="321"/>
      <c r="O26" s="321"/>
      <c r="P26" s="321"/>
      <c r="Q26" s="321"/>
      <c r="R26" s="321"/>
      <c r="S26" s="321"/>
      <c r="T26" s="321"/>
      <c r="U26" s="321"/>
      <c r="V26" s="321"/>
      <c r="W26" s="321"/>
      <c r="X26" s="321"/>
      <c r="Y26" s="321"/>
      <c r="Z26" s="321"/>
      <c r="AA26" s="321"/>
      <c r="AB26" s="321"/>
      <c r="AC26" s="321"/>
    </row>
    <row r="27" spans="1:45" s="311" customFormat="1" ht="13.5" thickBot="1" x14ac:dyDescent="0.25">
      <c r="A27" s="333" t="s">
        <v>282</v>
      </c>
      <c r="B27" s="334">
        <v>1</v>
      </c>
      <c r="C27" s="321"/>
      <c r="D27" s="490" t="s">
        <v>285</v>
      </c>
      <c r="E27" s="491"/>
      <c r="F27" s="492"/>
      <c r="G27" s="335">
        <f>IF(SUM(B89:AG89)=0,"не окупается",SUM(B89:AG89))</f>
        <v>10.875573873217943</v>
      </c>
      <c r="H27" s="336"/>
      <c r="I27" s="321"/>
      <c r="J27" s="321"/>
      <c r="K27" s="321"/>
      <c r="L27" s="321"/>
      <c r="M27" s="321"/>
      <c r="N27" s="321"/>
      <c r="O27" s="321"/>
      <c r="P27" s="321"/>
      <c r="Q27" s="321"/>
      <c r="R27" s="321"/>
      <c r="S27" s="321"/>
      <c r="T27" s="321"/>
      <c r="U27" s="321"/>
      <c r="V27" s="321"/>
      <c r="W27" s="321"/>
      <c r="X27" s="321"/>
      <c r="Y27" s="321"/>
      <c r="Z27" s="321"/>
      <c r="AA27" s="321"/>
      <c r="AB27" s="321"/>
      <c r="AC27" s="321"/>
    </row>
    <row r="28" spans="1:45" s="311" customFormat="1" x14ac:dyDescent="0.2">
      <c r="A28" s="330" t="s">
        <v>281</v>
      </c>
      <c r="B28" s="252">
        <f>B24*0.001</f>
        <v>278463.23287828703</v>
      </c>
      <c r="C28" s="321"/>
      <c r="D28" s="490" t="s">
        <v>283</v>
      </c>
      <c r="E28" s="491"/>
      <c r="F28" s="492"/>
      <c r="G28" s="335">
        <f>IF(SUM(B90:AG90)=0,"не окупается",SUM(B90:AG90))</f>
        <v>15.866844323987586</v>
      </c>
      <c r="H28" s="336"/>
      <c r="I28" s="321"/>
      <c r="J28" s="321"/>
      <c r="K28" s="321"/>
      <c r="L28" s="321"/>
      <c r="M28" s="321"/>
      <c r="N28" s="321"/>
      <c r="O28" s="321"/>
      <c r="P28" s="321"/>
      <c r="Q28" s="321"/>
      <c r="R28" s="321"/>
      <c r="S28" s="321"/>
      <c r="T28" s="321"/>
      <c r="U28" s="321"/>
      <c r="V28" s="321"/>
      <c r="W28" s="321"/>
      <c r="X28" s="321"/>
      <c r="Y28" s="321"/>
      <c r="Z28" s="321"/>
      <c r="AA28" s="321"/>
      <c r="AB28" s="321"/>
      <c r="AC28" s="321"/>
    </row>
    <row r="29" spans="1:45" s="311" customFormat="1" ht="12.75" x14ac:dyDescent="0.2">
      <c r="A29" s="331" t="s">
        <v>428</v>
      </c>
      <c r="B29" s="332">
        <v>6</v>
      </c>
      <c r="C29" s="321"/>
      <c r="D29" s="490" t="s">
        <v>640</v>
      </c>
      <c r="E29" s="491"/>
      <c r="F29" s="492"/>
      <c r="G29" s="337">
        <f>L87</f>
        <v>-105102532.56943153</v>
      </c>
      <c r="H29" s="338"/>
      <c r="I29" s="321"/>
      <c r="J29" s="321"/>
      <c r="K29" s="321"/>
      <c r="L29" s="321"/>
      <c r="M29" s="321"/>
      <c r="N29" s="321"/>
      <c r="O29" s="321"/>
      <c r="P29" s="321"/>
      <c r="Q29" s="321"/>
      <c r="R29" s="321"/>
      <c r="S29" s="321"/>
      <c r="T29" s="321"/>
      <c r="U29" s="321"/>
      <c r="V29" s="321"/>
      <c r="W29" s="321"/>
      <c r="X29" s="321"/>
      <c r="Y29" s="321"/>
      <c r="Z29" s="321"/>
      <c r="AA29" s="321"/>
      <c r="AB29" s="321"/>
      <c r="AC29" s="321"/>
    </row>
    <row r="30" spans="1:45" s="311" customFormat="1" ht="12.75" x14ac:dyDescent="0.2">
      <c r="A30" s="331" t="s">
        <v>280</v>
      </c>
      <c r="B30" s="332">
        <v>6</v>
      </c>
      <c r="C30" s="321"/>
      <c r="D30" s="490"/>
      <c r="E30" s="491"/>
      <c r="F30" s="492"/>
      <c r="G30" s="339"/>
      <c r="H30" s="340"/>
      <c r="I30" s="321"/>
      <c r="J30" s="321"/>
      <c r="K30" s="321"/>
      <c r="L30" s="321"/>
      <c r="M30" s="321"/>
      <c r="N30" s="321"/>
      <c r="O30" s="321"/>
      <c r="P30" s="321"/>
      <c r="Q30" s="321"/>
      <c r="R30" s="321"/>
      <c r="S30" s="321"/>
      <c r="T30" s="321"/>
      <c r="U30" s="321"/>
      <c r="V30" s="321"/>
      <c r="W30" s="321"/>
      <c r="X30" s="321"/>
      <c r="Y30" s="321"/>
      <c r="Z30" s="321"/>
      <c r="AA30" s="321"/>
      <c r="AB30" s="321"/>
      <c r="AC30" s="321"/>
    </row>
    <row r="31" spans="1:45" s="311" customFormat="1" ht="12.75" x14ac:dyDescent="0.2">
      <c r="A31" s="331" t="s">
        <v>259</v>
      </c>
      <c r="B31" s="332">
        <v>0</v>
      </c>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1"/>
      <c r="AB31" s="321"/>
      <c r="AC31" s="321"/>
    </row>
    <row r="32" spans="1:45" s="311" customFormat="1" ht="12.75" x14ac:dyDescent="0.2">
      <c r="A32" s="331" t="s">
        <v>279</v>
      </c>
      <c r="B32" s="332">
        <v>1</v>
      </c>
      <c r="C32" s="321"/>
      <c r="D32" s="321"/>
      <c r="E32" s="321"/>
      <c r="F32" s="321"/>
      <c r="G32" s="321"/>
      <c r="H32" s="321"/>
      <c r="I32" s="321"/>
      <c r="J32" s="321"/>
      <c r="K32" s="321"/>
      <c r="L32" s="321"/>
      <c r="M32" s="321"/>
      <c r="N32" s="321"/>
      <c r="O32" s="321"/>
      <c r="P32" s="321"/>
      <c r="Q32" s="321"/>
      <c r="R32" s="321"/>
      <c r="S32" s="321"/>
      <c r="T32" s="321"/>
      <c r="U32" s="321"/>
      <c r="V32" s="321"/>
      <c r="W32" s="321"/>
      <c r="X32" s="321"/>
      <c r="Y32" s="321"/>
      <c r="Z32" s="321"/>
      <c r="AA32" s="321"/>
      <c r="AB32" s="321"/>
      <c r="AC32" s="321"/>
    </row>
    <row r="33" spans="1:31" s="311" customFormat="1" ht="12.75" x14ac:dyDescent="0.2">
      <c r="A33" s="331" t="s">
        <v>278</v>
      </c>
      <c r="B33" s="332">
        <v>1</v>
      </c>
      <c r="C33" s="321"/>
      <c r="D33" s="321"/>
      <c r="E33" s="321"/>
      <c r="F33" s="321"/>
      <c r="G33" s="321"/>
      <c r="H33" s="321"/>
      <c r="I33" s="321"/>
      <c r="J33" s="321"/>
      <c r="K33" s="321"/>
      <c r="L33" s="321"/>
      <c r="M33" s="321"/>
      <c r="N33" s="321"/>
      <c r="O33" s="321"/>
      <c r="P33" s="321"/>
      <c r="Q33" s="321"/>
      <c r="R33" s="321"/>
      <c r="S33" s="321"/>
      <c r="T33" s="321"/>
      <c r="U33" s="321"/>
      <c r="V33" s="321"/>
      <c r="W33" s="321"/>
      <c r="X33" s="321"/>
      <c r="Y33" s="321"/>
      <c r="Z33" s="321"/>
      <c r="AA33" s="321"/>
      <c r="AB33" s="321"/>
      <c r="AC33" s="321"/>
    </row>
    <row r="34" spans="1:31" s="311" customFormat="1" ht="12.75" x14ac:dyDescent="0.2">
      <c r="A34" s="341" t="s">
        <v>641</v>
      </c>
      <c r="B34" s="332">
        <f>B24*0.03</f>
        <v>8353896.9863486104</v>
      </c>
      <c r="C34" s="321"/>
      <c r="D34" s="321"/>
      <c r="E34" s="321"/>
      <c r="F34" s="321"/>
      <c r="G34" s="321"/>
      <c r="H34" s="321"/>
      <c r="I34" s="321"/>
      <c r="J34" s="321"/>
      <c r="K34" s="321"/>
      <c r="L34" s="321"/>
      <c r="M34" s="321"/>
      <c r="N34" s="321"/>
      <c r="O34" s="321"/>
      <c r="P34" s="321"/>
      <c r="Q34" s="321"/>
      <c r="R34" s="321"/>
      <c r="S34" s="321"/>
      <c r="T34" s="321"/>
      <c r="U34" s="321"/>
      <c r="V34" s="321"/>
      <c r="W34" s="321"/>
      <c r="X34" s="321"/>
      <c r="Y34" s="321"/>
      <c r="Z34" s="321"/>
      <c r="AA34" s="321"/>
      <c r="AB34" s="321"/>
      <c r="AC34" s="321"/>
    </row>
    <row r="35" spans="1:31" s="311" customFormat="1" ht="13.5" thickBot="1" x14ac:dyDescent="0.25">
      <c r="A35" s="333" t="s">
        <v>253</v>
      </c>
      <c r="B35" s="342">
        <v>0.2</v>
      </c>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1"/>
      <c r="AB35" s="321"/>
      <c r="AC35" s="321"/>
    </row>
    <row r="36" spans="1:31" s="311" customFormat="1" ht="12.75" x14ac:dyDescent="0.2">
      <c r="A36" s="330" t="s">
        <v>429</v>
      </c>
      <c r="B36" s="343">
        <v>0</v>
      </c>
      <c r="C36" s="321"/>
      <c r="D36" s="321"/>
      <c r="E36" s="321"/>
      <c r="F36" s="321"/>
      <c r="G36" s="321"/>
      <c r="H36" s="321"/>
      <c r="I36" s="321"/>
      <c r="J36" s="321"/>
      <c r="K36" s="321"/>
      <c r="L36" s="321"/>
      <c r="M36" s="321"/>
      <c r="N36" s="321"/>
      <c r="O36" s="321"/>
      <c r="P36" s="321"/>
      <c r="Q36" s="321"/>
      <c r="R36" s="321"/>
      <c r="S36" s="321"/>
      <c r="T36" s="321"/>
      <c r="U36" s="321"/>
      <c r="V36" s="321"/>
      <c r="W36" s="321"/>
      <c r="X36" s="321"/>
      <c r="Y36" s="321"/>
      <c r="Z36" s="321"/>
      <c r="AA36" s="321"/>
      <c r="AB36" s="321"/>
      <c r="AC36" s="321"/>
    </row>
    <row r="37" spans="1:31" s="311" customFormat="1" ht="12.75" x14ac:dyDescent="0.2">
      <c r="A37" s="331" t="s">
        <v>277</v>
      </c>
      <c r="B37" s="332"/>
      <c r="C37" s="321"/>
      <c r="D37" s="321"/>
      <c r="E37" s="321"/>
      <c r="F37" s="321"/>
      <c r="G37" s="321"/>
      <c r="H37" s="321"/>
      <c r="I37" s="321"/>
      <c r="J37" s="321"/>
      <c r="K37" s="321"/>
      <c r="L37" s="321"/>
      <c r="M37" s="321"/>
      <c r="N37" s="321"/>
      <c r="O37" s="321"/>
      <c r="P37" s="321"/>
      <c r="Q37" s="321"/>
      <c r="R37" s="321"/>
      <c r="S37" s="321"/>
      <c r="T37" s="321"/>
      <c r="U37" s="321"/>
      <c r="V37" s="321"/>
      <c r="W37" s="321"/>
      <c r="X37" s="321"/>
      <c r="Y37" s="321"/>
      <c r="Z37" s="321"/>
      <c r="AA37" s="321"/>
      <c r="AB37" s="321"/>
      <c r="AC37" s="321"/>
    </row>
    <row r="38" spans="1:31" s="311" customFormat="1" ht="13.5" thickBot="1" x14ac:dyDescent="0.25">
      <c r="A38" s="341" t="s">
        <v>276</v>
      </c>
      <c r="B38" s="344"/>
      <c r="C38" s="321"/>
      <c r="D38" s="321"/>
      <c r="E38" s="321"/>
      <c r="F38" s="321"/>
      <c r="G38" s="321"/>
      <c r="H38" s="321"/>
      <c r="I38" s="321"/>
      <c r="J38" s="321"/>
      <c r="K38" s="321"/>
      <c r="L38" s="321"/>
      <c r="M38" s="321"/>
      <c r="N38" s="321"/>
      <c r="O38" s="321"/>
      <c r="P38" s="321"/>
      <c r="Q38" s="321"/>
      <c r="R38" s="321"/>
      <c r="S38" s="321"/>
      <c r="T38" s="321"/>
      <c r="U38" s="321"/>
      <c r="V38" s="321"/>
      <c r="W38" s="321"/>
      <c r="X38" s="321"/>
      <c r="Y38" s="321"/>
      <c r="Z38" s="321"/>
      <c r="AA38" s="321"/>
      <c r="AB38" s="321"/>
      <c r="AC38" s="321"/>
    </row>
    <row r="39" spans="1:31" s="311" customFormat="1" ht="12.75" x14ac:dyDescent="0.2">
      <c r="A39" s="345" t="s">
        <v>430</v>
      </c>
      <c r="B39" s="346">
        <v>1</v>
      </c>
      <c r="C39" s="321"/>
      <c r="D39" s="321"/>
      <c r="E39" s="321"/>
      <c r="F39" s="321"/>
      <c r="G39" s="321"/>
      <c r="H39" s="321"/>
      <c r="I39" s="321"/>
      <c r="J39" s="321"/>
      <c r="K39" s="321"/>
      <c r="L39" s="321"/>
      <c r="M39" s="321"/>
      <c r="N39" s="321"/>
      <c r="O39" s="321"/>
      <c r="P39" s="321"/>
      <c r="Q39" s="321"/>
      <c r="R39" s="321"/>
      <c r="S39" s="321"/>
      <c r="T39" s="321"/>
      <c r="U39" s="321"/>
      <c r="V39" s="321"/>
      <c r="W39" s="321"/>
      <c r="X39" s="321"/>
      <c r="Y39" s="321"/>
      <c r="Z39" s="321"/>
      <c r="AA39" s="321"/>
      <c r="AB39" s="321"/>
      <c r="AC39" s="321"/>
    </row>
    <row r="40" spans="1:31" s="311" customFormat="1" ht="12.75" x14ac:dyDescent="0.2">
      <c r="A40" s="347" t="s">
        <v>275</v>
      </c>
      <c r="B40" s="348"/>
      <c r="C40" s="321"/>
      <c r="D40" s="321"/>
      <c r="E40" s="321"/>
      <c r="F40" s="321"/>
      <c r="G40" s="321"/>
      <c r="H40" s="321"/>
      <c r="I40" s="321"/>
      <c r="J40" s="321"/>
      <c r="K40" s="321"/>
      <c r="L40" s="321"/>
      <c r="M40" s="321"/>
      <c r="N40" s="321"/>
      <c r="O40" s="321"/>
      <c r="P40" s="321"/>
      <c r="Q40" s="321"/>
      <c r="R40" s="321"/>
      <c r="S40" s="321"/>
      <c r="T40" s="321"/>
      <c r="U40" s="321"/>
      <c r="V40" s="321"/>
      <c r="W40" s="321"/>
      <c r="X40" s="321"/>
      <c r="Y40" s="321"/>
      <c r="Z40" s="321"/>
      <c r="AA40" s="321"/>
      <c r="AB40" s="321"/>
      <c r="AC40" s="321"/>
    </row>
    <row r="41" spans="1:31" s="311" customFormat="1" ht="12.75" x14ac:dyDescent="0.2">
      <c r="A41" s="347" t="s">
        <v>274</v>
      </c>
      <c r="B41" s="349"/>
      <c r="C41" s="321"/>
      <c r="D41" s="321"/>
      <c r="E41" s="321"/>
      <c r="F41" s="321"/>
      <c r="G41" s="321"/>
      <c r="H41" s="321"/>
      <c r="I41" s="321"/>
      <c r="J41" s="321"/>
      <c r="K41" s="321"/>
      <c r="L41" s="321"/>
      <c r="M41" s="321"/>
      <c r="N41" s="321"/>
      <c r="O41" s="321"/>
      <c r="P41" s="321"/>
      <c r="Q41" s="321"/>
      <c r="R41" s="321"/>
      <c r="S41" s="321"/>
      <c r="T41" s="321"/>
      <c r="U41" s="321"/>
      <c r="V41" s="321"/>
      <c r="W41" s="321"/>
      <c r="X41" s="321"/>
      <c r="Y41" s="321"/>
      <c r="Z41" s="321"/>
      <c r="AA41" s="321"/>
      <c r="AB41" s="321"/>
      <c r="AC41" s="321"/>
    </row>
    <row r="42" spans="1:31" s="311" customFormat="1" ht="12.75" x14ac:dyDescent="0.2">
      <c r="A42" s="347" t="s">
        <v>273</v>
      </c>
      <c r="B42" s="349">
        <v>0</v>
      </c>
      <c r="C42" s="321"/>
      <c r="D42" s="321"/>
      <c r="E42" s="321"/>
      <c r="F42" s="321"/>
      <c r="G42" s="321"/>
      <c r="H42" s="321"/>
      <c r="I42" s="321"/>
      <c r="J42" s="321"/>
      <c r="K42" s="321"/>
      <c r="L42" s="321"/>
      <c r="M42" s="321"/>
      <c r="N42" s="321"/>
      <c r="O42" s="321"/>
      <c r="P42" s="321"/>
      <c r="Q42" s="321"/>
      <c r="R42" s="321"/>
      <c r="S42" s="321"/>
      <c r="T42" s="321"/>
      <c r="U42" s="321"/>
      <c r="V42" s="321"/>
      <c r="W42" s="321"/>
      <c r="X42" s="321"/>
      <c r="Y42" s="321"/>
      <c r="Z42" s="321"/>
      <c r="AA42" s="321"/>
      <c r="AB42" s="321"/>
      <c r="AC42" s="321"/>
    </row>
    <row r="43" spans="1:31" s="311" customFormat="1" ht="12.75" x14ac:dyDescent="0.2">
      <c r="A43" s="347" t="s">
        <v>272</v>
      </c>
      <c r="B43" s="350">
        <v>9.8699999999999996E-2</v>
      </c>
      <c r="C43" s="321"/>
      <c r="D43" s="321"/>
      <c r="E43" s="321"/>
      <c r="F43" s="321"/>
      <c r="G43" s="321"/>
      <c r="H43" s="321"/>
      <c r="I43" s="321"/>
      <c r="J43" s="321"/>
      <c r="K43" s="321"/>
      <c r="L43" s="321"/>
      <c r="M43" s="321"/>
      <c r="N43" s="321"/>
      <c r="O43" s="321"/>
      <c r="P43" s="321"/>
      <c r="Q43" s="321"/>
      <c r="R43" s="321"/>
      <c r="S43" s="321"/>
      <c r="T43" s="321"/>
      <c r="U43" s="321"/>
      <c r="V43" s="321"/>
      <c r="W43" s="321"/>
      <c r="X43" s="321"/>
      <c r="Y43" s="321"/>
      <c r="Z43" s="321"/>
      <c r="AA43" s="321"/>
      <c r="AB43" s="321"/>
      <c r="AC43" s="321"/>
    </row>
    <row r="44" spans="1:31" s="311" customFormat="1" ht="12.75" x14ac:dyDescent="0.2">
      <c r="A44" s="347" t="s">
        <v>271</v>
      </c>
      <c r="B44" s="351">
        <v>1</v>
      </c>
      <c r="C44" s="321"/>
      <c r="D44" s="321"/>
      <c r="E44" s="321"/>
      <c r="F44" s="321"/>
      <c r="G44" s="321"/>
      <c r="H44" s="321"/>
      <c r="I44" s="321"/>
      <c r="J44" s="321"/>
      <c r="K44" s="321"/>
      <c r="L44" s="321"/>
      <c r="M44" s="321"/>
      <c r="N44" s="321"/>
      <c r="O44" s="321"/>
      <c r="P44" s="321"/>
      <c r="Q44" s="321"/>
      <c r="R44" s="321"/>
      <c r="S44" s="321"/>
      <c r="T44" s="321"/>
      <c r="U44" s="321"/>
      <c r="V44" s="321"/>
      <c r="W44" s="321"/>
      <c r="X44" s="321"/>
      <c r="Y44" s="321"/>
      <c r="Z44" s="321"/>
      <c r="AA44" s="321"/>
      <c r="AB44" s="321"/>
      <c r="AC44" s="321"/>
    </row>
    <row r="45" spans="1:31" s="311" customFormat="1" ht="13.5" thickBot="1" x14ac:dyDescent="0.25">
      <c r="A45" s="352" t="s">
        <v>642</v>
      </c>
      <c r="B45" s="351">
        <f>B44*B43+B42*B41*(1-B35)</f>
        <v>9.8699999999999996E-2</v>
      </c>
      <c r="C45" s="353"/>
      <c r="D45" s="321"/>
      <c r="E45" s="321"/>
      <c r="F45" s="321"/>
      <c r="G45" s="321"/>
      <c r="H45" s="321"/>
      <c r="I45" s="321"/>
      <c r="J45" s="321"/>
      <c r="K45" s="321"/>
      <c r="L45" s="321"/>
      <c r="M45" s="321"/>
      <c r="N45" s="321"/>
      <c r="O45" s="321"/>
      <c r="P45" s="321"/>
      <c r="Q45" s="321"/>
      <c r="R45" s="321"/>
      <c r="S45" s="321"/>
      <c r="T45" s="321"/>
      <c r="U45" s="321"/>
      <c r="V45" s="321"/>
      <c r="W45" s="321"/>
      <c r="X45" s="321"/>
      <c r="Y45" s="321"/>
      <c r="Z45" s="321"/>
      <c r="AA45" s="321"/>
      <c r="AB45" s="321"/>
      <c r="AC45" s="321"/>
    </row>
    <row r="46" spans="1:31" s="311" customFormat="1" ht="12.75" x14ac:dyDescent="0.2">
      <c r="A46" s="354" t="s">
        <v>270</v>
      </c>
      <c r="B46" s="355">
        <v>1</v>
      </c>
      <c r="C46" s="355">
        <v>2</v>
      </c>
      <c r="D46" s="355">
        <v>3</v>
      </c>
      <c r="E46" s="355">
        <v>4</v>
      </c>
      <c r="F46" s="355">
        <v>5</v>
      </c>
      <c r="G46" s="355">
        <v>6</v>
      </c>
      <c r="H46" s="355">
        <v>7</v>
      </c>
      <c r="I46" s="355">
        <v>8</v>
      </c>
      <c r="J46" s="355">
        <v>9</v>
      </c>
      <c r="K46" s="355">
        <v>10</v>
      </c>
      <c r="L46" s="355">
        <v>11</v>
      </c>
      <c r="M46" s="355">
        <v>12</v>
      </c>
      <c r="N46" s="355">
        <v>13</v>
      </c>
      <c r="O46" s="355">
        <v>14</v>
      </c>
      <c r="P46" s="355">
        <v>15</v>
      </c>
      <c r="Q46" s="355">
        <v>16</v>
      </c>
      <c r="R46" s="355">
        <v>17</v>
      </c>
      <c r="S46" s="355">
        <v>18</v>
      </c>
      <c r="T46" s="355">
        <v>19</v>
      </c>
      <c r="U46" s="355">
        <v>20</v>
      </c>
      <c r="V46" s="355">
        <v>21</v>
      </c>
      <c r="W46" s="355">
        <v>22</v>
      </c>
      <c r="X46" s="355">
        <v>23</v>
      </c>
      <c r="Y46" s="355">
        <v>24</v>
      </c>
      <c r="Z46" s="355">
        <v>25</v>
      </c>
      <c r="AA46" s="355">
        <v>26</v>
      </c>
      <c r="AB46" s="355">
        <v>27</v>
      </c>
      <c r="AC46" s="356">
        <v>28</v>
      </c>
      <c r="AD46" s="356">
        <v>29</v>
      </c>
      <c r="AE46" s="356">
        <v>30</v>
      </c>
    </row>
    <row r="47" spans="1:31" s="311" customFormat="1" ht="12.75" x14ac:dyDescent="0.2">
      <c r="A47" s="357" t="s">
        <v>269</v>
      </c>
      <c r="B47" s="254">
        <v>5.3999999999999999E-2</v>
      </c>
      <c r="C47" s="254">
        <v>5.0999999999999997E-2</v>
      </c>
      <c r="D47" s="254">
        <v>4.9000000000000002E-2</v>
      </c>
      <c r="E47" s="254">
        <v>4.7E-2</v>
      </c>
      <c r="F47" s="255">
        <v>4.7E-2</v>
      </c>
      <c r="G47" s="255">
        <v>4.7E-2</v>
      </c>
      <c r="H47" s="255">
        <v>4.7E-2</v>
      </c>
      <c r="I47" s="255">
        <v>4.7E-2</v>
      </c>
      <c r="J47" s="255">
        <v>4.7E-2</v>
      </c>
      <c r="K47" s="255">
        <v>4.7E-2</v>
      </c>
      <c r="L47" s="255">
        <v>4.7E-2</v>
      </c>
      <c r="M47" s="255">
        <v>4.7E-2</v>
      </c>
      <c r="N47" s="255">
        <v>4.7E-2</v>
      </c>
      <c r="O47" s="255">
        <v>4.7E-2</v>
      </c>
      <c r="P47" s="255">
        <v>4.7E-2</v>
      </c>
      <c r="Q47" s="255">
        <v>4.7E-2</v>
      </c>
      <c r="R47" s="255">
        <v>4.7E-2</v>
      </c>
      <c r="S47" s="255">
        <v>4.7E-2</v>
      </c>
      <c r="T47" s="255">
        <v>4.7E-2</v>
      </c>
      <c r="U47" s="255">
        <v>4.7E-2</v>
      </c>
      <c r="V47" s="255">
        <v>4.7E-2</v>
      </c>
      <c r="W47" s="255">
        <v>4.7E-2</v>
      </c>
      <c r="X47" s="255">
        <v>4.7E-2</v>
      </c>
      <c r="Y47" s="255">
        <v>4.7E-2</v>
      </c>
      <c r="Z47" s="255">
        <v>4.7E-2</v>
      </c>
      <c r="AA47" s="255">
        <v>4.7E-2</v>
      </c>
      <c r="AB47" s="255">
        <v>4.7E-2</v>
      </c>
      <c r="AC47" s="255">
        <v>4.7E-2</v>
      </c>
      <c r="AD47" s="255">
        <v>4.7E-2</v>
      </c>
      <c r="AE47" s="255">
        <v>4.7E-2</v>
      </c>
    </row>
    <row r="48" spans="1:31" s="311" customFormat="1" ht="12.75" x14ac:dyDescent="0.2">
      <c r="A48" s="357" t="s">
        <v>268</v>
      </c>
      <c r="B48" s="255">
        <f>B47</f>
        <v>5.3999999999999999E-2</v>
      </c>
      <c r="C48" s="255">
        <f t="shared" ref="C48:AE48" si="0">(1+B48)*(1+C47)-1</f>
        <v>0.10775399999999991</v>
      </c>
      <c r="D48" s="255">
        <f t="shared" si="0"/>
        <v>0.16203394599999976</v>
      </c>
      <c r="E48" s="255">
        <f t="shared" si="0"/>
        <v>0.21664954146199977</v>
      </c>
      <c r="F48" s="255">
        <f>(1+E48)*(1+F47)-1</f>
        <v>0.27383206991071374</v>
      </c>
      <c r="G48" s="255">
        <f t="shared" si="0"/>
        <v>0.33370217719651718</v>
      </c>
      <c r="H48" s="255">
        <f t="shared" si="0"/>
        <v>0.39638617952475341</v>
      </c>
      <c r="I48" s="255">
        <f t="shared" si="0"/>
        <v>0.46201632996241671</v>
      </c>
      <c r="J48" s="255">
        <f t="shared" si="0"/>
        <v>0.53073109747065028</v>
      </c>
      <c r="K48" s="255">
        <f t="shared" si="0"/>
        <v>0.60267545905177067</v>
      </c>
      <c r="L48" s="255">
        <f t="shared" si="0"/>
        <v>0.67800120562720378</v>
      </c>
      <c r="M48" s="255">
        <f t="shared" si="0"/>
        <v>0.75686726229168233</v>
      </c>
      <c r="N48" s="255">
        <f t="shared" si="0"/>
        <v>0.8394400236193913</v>
      </c>
      <c r="O48" s="255">
        <f t="shared" si="0"/>
        <v>0.92589370472950261</v>
      </c>
      <c r="P48" s="255">
        <f t="shared" si="0"/>
        <v>1.0164107088517893</v>
      </c>
      <c r="Q48" s="255">
        <f t="shared" si="0"/>
        <v>1.1111820121678231</v>
      </c>
      <c r="R48" s="255">
        <f t="shared" si="0"/>
        <v>1.2104075667397107</v>
      </c>
      <c r="S48" s="255">
        <f t="shared" si="0"/>
        <v>1.314296722376477</v>
      </c>
      <c r="T48" s="255">
        <f t="shared" si="0"/>
        <v>1.4230686683281712</v>
      </c>
      <c r="U48" s="255">
        <f t="shared" si="0"/>
        <v>1.5369528957395953</v>
      </c>
      <c r="V48" s="255">
        <f t="shared" si="0"/>
        <v>1.656189681839356</v>
      </c>
      <c r="W48" s="255">
        <f t="shared" si="0"/>
        <v>1.7810305968858056</v>
      </c>
      <c r="X48" s="255">
        <f t="shared" si="0"/>
        <v>1.9117390349394383</v>
      </c>
      <c r="Y48" s="255">
        <f t="shared" si="0"/>
        <v>2.0485907695815917</v>
      </c>
      <c r="Z48" s="255">
        <f t="shared" si="0"/>
        <v>2.1918745357519263</v>
      </c>
      <c r="AA48" s="255">
        <f t="shared" si="0"/>
        <v>2.3418926389322667</v>
      </c>
      <c r="AB48" s="255">
        <f t="shared" si="0"/>
        <v>2.498961592962083</v>
      </c>
      <c r="AC48" s="255">
        <f t="shared" si="0"/>
        <v>2.6634127878313008</v>
      </c>
      <c r="AD48" s="255">
        <f t="shared" si="0"/>
        <v>2.8355931888593715</v>
      </c>
      <c r="AE48" s="255">
        <f t="shared" si="0"/>
        <v>3.0158660687357619</v>
      </c>
    </row>
    <row r="49" spans="1:31" s="311" customFormat="1" ht="15.75" thickBot="1" x14ac:dyDescent="0.25">
      <c r="A49" s="358" t="s">
        <v>431</v>
      </c>
      <c r="B49" s="359">
        <f>B24*1.2/2*0</f>
        <v>0</v>
      </c>
      <c r="C49" s="359">
        <v>0</v>
      </c>
      <c r="D49" s="359">
        <v>0</v>
      </c>
      <c r="E49" s="359">
        <v>0</v>
      </c>
      <c r="F49" s="256">
        <f>J106*(1+F48)</f>
        <v>43253153.252945952</v>
      </c>
      <c r="G49" s="256">
        <f t="shared" ref="G49:AE49" si="1">K106*(1+G48)</f>
        <v>54990205.339227498</v>
      </c>
      <c r="H49" s="256">
        <f t="shared" si="1"/>
        <v>60961494.695475362</v>
      </c>
      <c r="I49" s="256">
        <f t="shared" si="1"/>
        <v>67372611.887616187</v>
      </c>
      <c r="J49" s="256">
        <f>N106*(1+J48)</f>
        <v>71281641.747874498</v>
      </c>
      <c r="K49" s="256">
        <f t="shared" si="1"/>
        <v>75409294.31533733</v>
      </c>
      <c r="L49" s="256">
        <f t="shared" si="1"/>
        <v>79767485.077520654</v>
      </c>
      <c r="M49" s="256">
        <f t="shared" si="1"/>
        <v>87777605.696376562</v>
      </c>
      <c r="N49" s="256">
        <f t="shared" si="1"/>
        <v>96364471.27886872</v>
      </c>
      <c r="O49" s="256">
        <f t="shared" si="1"/>
        <v>100893601.42897554</v>
      </c>
      <c r="P49" s="256">
        <f t="shared" si="1"/>
        <v>105635600.6961374</v>
      </c>
      <c r="Q49" s="256">
        <f t="shared" si="1"/>
        <v>110600473.92885584</v>
      </c>
      <c r="R49" s="256">
        <f t="shared" si="1"/>
        <v>115798696.20351206</v>
      </c>
      <c r="S49" s="256">
        <f t="shared" si="1"/>
        <v>121241234.92507711</v>
      </c>
      <c r="T49" s="256">
        <f t="shared" si="1"/>
        <v>126939572.96655573</v>
      </c>
      <c r="U49" s="256">
        <f t="shared" si="1"/>
        <v>132905732.89598384</v>
      </c>
      <c r="V49" s="256">
        <f t="shared" si="1"/>
        <v>139152302.34209508</v>
      </c>
      <c r="W49" s="256">
        <f t="shared" si="1"/>
        <v>145692460.55217353</v>
      </c>
      <c r="X49" s="256">
        <f t="shared" si="1"/>
        <v>152540006.19812569</v>
      </c>
      <c r="Y49" s="256">
        <f t="shared" si="1"/>
        <v>159709386.48943758</v>
      </c>
      <c r="Z49" s="256">
        <f t="shared" si="1"/>
        <v>167215727.65444115</v>
      </c>
      <c r="AA49" s="256">
        <f t="shared" si="1"/>
        <v>175074866.85419986</v>
      </c>
      <c r="AB49" s="256">
        <f t="shared" si="1"/>
        <v>185000639.16668385</v>
      </c>
      <c r="AC49" s="256">
        <f t="shared" si="1"/>
        <v>195472693.69566032</v>
      </c>
      <c r="AD49" s="256">
        <f t="shared" si="1"/>
        <v>204659910.29935634</v>
      </c>
      <c r="AE49" s="256">
        <f t="shared" si="1"/>
        <v>214278926.08342609</v>
      </c>
    </row>
    <row r="50" spans="1:31" s="311" customFormat="1" ht="13.5" thickBot="1" x14ac:dyDescent="0.25">
      <c r="A50" s="360"/>
      <c r="B50" s="321"/>
      <c r="C50" s="321"/>
      <c r="D50" s="321"/>
      <c r="E50" s="321"/>
      <c r="F50" s="321"/>
      <c r="G50" s="321"/>
      <c r="H50" s="321"/>
      <c r="I50" s="321"/>
      <c r="J50" s="321"/>
      <c r="K50" s="321"/>
      <c r="L50" s="321"/>
      <c r="M50" s="321"/>
      <c r="N50" s="321"/>
      <c r="O50" s="321"/>
      <c r="P50" s="321"/>
      <c r="Q50" s="321"/>
      <c r="R50" s="321"/>
      <c r="S50" s="321"/>
      <c r="T50" s="321"/>
      <c r="U50" s="321"/>
      <c r="V50" s="321"/>
      <c r="W50" s="321"/>
      <c r="X50" s="321"/>
      <c r="Y50" s="321"/>
      <c r="Z50" s="321"/>
      <c r="AA50" s="321"/>
      <c r="AB50" s="321"/>
      <c r="AC50" s="361"/>
      <c r="AD50" s="361"/>
      <c r="AE50" s="361"/>
    </row>
    <row r="51" spans="1:31" s="311" customFormat="1" ht="12.75" x14ac:dyDescent="0.2">
      <c r="A51" s="362" t="s">
        <v>267</v>
      </c>
      <c r="B51" s="355">
        <v>1</v>
      </c>
      <c r="C51" s="355">
        <v>2</v>
      </c>
      <c r="D51" s="355">
        <v>3</v>
      </c>
      <c r="E51" s="355">
        <v>4</v>
      </c>
      <c r="F51" s="355">
        <v>5</v>
      </c>
      <c r="G51" s="355">
        <v>6</v>
      </c>
      <c r="H51" s="355">
        <v>7</v>
      </c>
      <c r="I51" s="355">
        <v>8</v>
      </c>
      <c r="J51" s="355">
        <v>9</v>
      </c>
      <c r="K51" s="355">
        <v>10</v>
      </c>
      <c r="L51" s="355">
        <v>11</v>
      </c>
      <c r="M51" s="355">
        <v>12</v>
      </c>
      <c r="N51" s="355">
        <v>13</v>
      </c>
      <c r="O51" s="355">
        <v>14</v>
      </c>
      <c r="P51" s="355">
        <v>15</v>
      </c>
      <c r="Q51" s="355">
        <v>16</v>
      </c>
      <c r="R51" s="355">
        <v>17</v>
      </c>
      <c r="S51" s="355">
        <v>18</v>
      </c>
      <c r="T51" s="355">
        <v>19</v>
      </c>
      <c r="U51" s="355">
        <v>20</v>
      </c>
      <c r="V51" s="355">
        <v>21</v>
      </c>
      <c r="W51" s="355">
        <v>22</v>
      </c>
      <c r="X51" s="355">
        <v>23</v>
      </c>
      <c r="Y51" s="355">
        <v>24</v>
      </c>
      <c r="Z51" s="355">
        <v>25</v>
      </c>
      <c r="AA51" s="355">
        <v>26</v>
      </c>
      <c r="AB51" s="355">
        <v>27</v>
      </c>
      <c r="AC51" s="355">
        <v>28</v>
      </c>
      <c r="AD51" s="355">
        <v>29</v>
      </c>
      <c r="AE51" s="355">
        <v>30</v>
      </c>
    </row>
    <row r="52" spans="1:31" s="311" customFormat="1" ht="12.75" x14ac:dyDescent="0.2">
      <c r="A52" s="357" t="s">
        <v>266</v>
      </c>
      <c r="B52" s="363">
        <v>0</v>
      </c>
      <c r="C52" s="363">
        <v>0</v>
      </c>
      <c r="D52" s="363">
        <v>0</v>
      </c>
      <c r="E52" s="363">
        <v>0</v>
      </c>
      <c r="F52" s="363">
        <v>0</v>
      </c>
      <c r="G52" s="363">
        <v>0</v>
      </c>
      <c r="H52" s="363">
        <v>0</v>
      </c>
      <c r="I52" s="363">
        <v>0</v>
      </c>
      <c r="J52" s="363">
        <v>0</v>
      </c>
      <c r="K52" s="363">
        <v>0</v>
      </c>
      <c r="L52" s="363">
        <v>0</v>
      </c>
      <c r="M52" s="363">
        <v>0</v>
      </c>
      <c r="N52" s="363">
        <v>0</v>
      </c>
      <c r="O52" s="363">
        <v>0</v>
      </c>
      <c r="P52" s="363">
        <v>0</v>
      </c>
      <c r="Q52" s="363">
        <v>0</v>
      </c>
      <c r="R52" s="363">
        <v>0</v>
      </c>
      <c r="S52" s="363">
        <v>0</v>
      </c>
      <c r="T52" s="363">
        <v>0</v>
      </c>
      <c r="U52" s="363">
        <v>0</v>
      </c>
      <c r="V52" s="363">
        <v>0</v>
      </c>
      <c r="W52" s="363">
        <v>0</v>
      </c>
      <c r="X52" s="363">
        <v>0</v>
      </c>
      <c r="Y52" s="363">
        <v>0</v>
      </c>
      <c r="Z52" s="363">
        <v>0</v>
      </c>
      <c r="AA52" s="363">
        <v>0</v>
      </c>
      <c r="AB52" s="363">
        <v>0</v>
      </c>
      <c r="AC52" s="364">
        <v>0</v>
      </c>
      <c r="AD52" s="364">
        <v>0</v>
      </c>
      <c r="AE52" s="364">
        <v>0</v>
      </c>
    </row>
    <row r="53" spans="1:31" s="311" customFormat="1" ht="12.75" x14ac:dyDescent="0.2">
      <c r="A53" s="357" t="s">
        <v>265</v>
      </c>
      <c r="B53" s="363">
        <v>0</v>
      </c>
      <c r="C53" s="363">
        <v>0</v>
      </c>
      <c r="D53" s="363">
        <v>0</v>
      </c>
      <c r="E53" s="363">
        <v>0</v>
      </c>
      <c r="F53" s="363">
        <v>0</v>
      </c>
      <c r="G53" s="363">
        <v>0</v>
      </c>
      <c r="H53" s="363">
        <v>0</v>
      </c>
      <c r="I53" s="363">
        <v>0</v>
      </c>
      <c r="J53" s="363">
        <v>0</v>
      </c>
      <c r="K53" s="363">
        <v>0</v>
      </c>
      <c r="L53" s="363">
        <v>0</v>
      </c>
      <c r="M53" s="363">
        <v>0</v>
      </c>
      <c r="N53" s="363">
        <v>0</v>
      </c>
      <c r="O53" s="363">
        <v>0</v>
      </c>
      <c r="P53" s="363">
        <v>0</v>
      </c>
      <c r="Q53" s="363">
        <v>0</v>
      </c>
      <c r="R53" s="363">
        <v>0</v>
      </c>
      <c r="S53" s="363">
        <v>0</v>
      </c>
      <c r="T53" s="363">
        <v>0</v>
      </c>
      <c r="U53" s="363">
        <v>0</v>
      </c>
      <c r="V53" s="363">
        <v>0</v>
      </c>
      <c r="W53" s="363">
        <v>0</v>
      </c>
      <c r="X53" s="363">
        <v>0</v>
      </c>
      <c r="Y53" s="363">
        <v>0</v>
      </c>
      <c r="Z53" s="363">
        <v>0</v>
      </c>
      <c r="AA53" s="363">
        <v>0</v>
      </c>
      <c r="AB53" s="363">
        <v>0</v>
      </c>
      <c r="AC53" s="364">
        <v>0</v>
      </c>
      <c r="AD53" s="364">
        <v>0</v>
      </c>
      <c r="AE53" s="364">
        <v>0</v>
      </c>
    </row>
    <row r="54" spans="1:31" s="311" customFormat="1" ht="12.75" x14ac:dyDescent="0.2">
      <c r="A54" s="357" t="s">
        <v>264</v>
      </c>
      <c r="B54" s="363">
        <v>0</v>
      </c>
      <c r="C54" s="363">
        <v>0</v>
      </c>
      <c r="D54" s="363">
        <v>0</v>
      </c>
      <c r="E54" s="363">
        <v>0</v>
      </c>
      <c r="F54" s="363">
        <v>0</v>
      </c>
      <c r="G54" s="363">
        <v>0</v>
      </c>
      <c r="H54" s="363">
        <v>0</v>
      </c>
      <c r="I54" s="363">
        <v>0</v>
      </c>
      <c r="J54" s="363">
        <v>0</v>
      </c>
      <c r="K54" s="363">
        <v>0</v>
      </c>
      <c r="L54" s="363">
        <v>0</v>
      </c>
      <c r="M54" s="363">
        <v>0</v>
      </c>
      <c r="N54" s="363">
        <v>0</v>
      </c>
      <c r="O54" s="363">
        <v>0</v>
      </c>
      <c r="P54" s="363">
        <v>0</v>
      </c>
      <c r="Q54" s="363">
        <v>0</v>
      </c>
      <c r="R54" s="363">
        <v>0</v>
      </c>
      <c r="S54" s="363">
        <v>0</v>
      </c>
      <c r="T54" s="363">
        <v>0</v>
      </c>
      <c r="U54" s="363">
        <v>0</v>
      </c>
      <c r="V54" s="363">
        <v>0</v>
      </c>
      <c r="W54" s="363">
        <v>0</v>
      </c>
      <c r="X54" s="363">
        <v>0</v>
      </c>
      <c r="Y54" s="363">
        <v>0</v>
      </c>
      <c r="Z54" s="363">
        <v>0</v>
      </c>
      <c r="AA54" s="363">
        <v>0</v>
      </c>
      <c r="AB54" s="363">
        <v>0</v>
      </c>
      <c r="AC54" s="364">
        <v>0</v>
      </c>
      <c r="AD54" s="364">
        <v>0</v>
      </c>
      <c r="AE54" s="364">
        <v>0</v>
      </c>
    </row>
    <row r="55" spans="1:31" s="311" customFormat="1" ht="13.5" thickBot="1" x14ac:dyDescent="0.25">
      <c r="A55" s="358" t="s">
        <v>263</v>
      </c>
      <c r="B55" s="365">
        <v>0</v>
      </c>
      <c r="C55" s="365">
        <v>0</v>
      </c>
      <c r="D55" s="365">
        <v>0</v>
      </c>
      <c r="E55" s="365">
        <v>0</v>
      </c>
      <c r="F55" s="365">
        <v>0</v>
      </c>
      <c r="G55" s="365">
        <v>0</v>
      </c>
      <c r="H55" s="365">
        <v>0</v>
      </c>
      <c r="I55" s="365">
        <v>0</v>
      </c>
      <c r="J55" s="365">
        <v>0</v>
      </c>
      <c r="K55" s="365">
        <v>0</v>
      </c>
      <c r="L55" s="365">
        <v>0</v>
      </c>
      <c r="M55" s="365">
        <v>0</v>
      </c>
      <c r="N55" s="365">
        <v>0</v>
      </c>
      <c r="O55" s="365">
        <v>0</v>
      </c>
      <c r="P55" s="365">
        <v>0</v>
      </c>
      <c r="Q55" s="365">
        <v>0</v>
      </c>
      <c r="R55" s="365">
        <v>0</v>
      </c>
      <c r="S55" s="365">
        <v>0</v>
      </c>
      <c r="T55" s="365">
        <v>0</v>
      </c>
      <c r="U55" s="365">
        <v>0</v>
      </c>
      <c r="V55" s="365">
        <v>0</v>
      </c>
      <c r="W55" s="365">
        <v>0</v>
      </c>
      <c r="X55" s="365">
        <v>0</v>
      </c>
      <c r="Y55" s="365">
        <v>0</v>
      </c>
      <c r="Z55" s="365">
        <v>0</v>
      </c>
      <c r="AA55" s="365">
        <v>0</v>
      </c>
      <c r="AB55" s="365">
        <v>0</v>
      </c>
      <c r="AC55" s="366">
        <v>0</v>
      </c>
      <c r="AD55" s="366">
        <v>0</v>
      </c>
      <c r="AE55" s="366">
        <v>0</v>
      </c>
    </row>
    <row r="56" spans="1:31" s="311" customFormat="1" ht="13.5" thickBot="1" x14ac:dyDescent="0.25">
      <c r="A56" s="360"/>
      <c r="B56" s="367"/>
      <c r="C56" s="367"/>
      <c r="D56" s="367"/>
      <c r="E56" s="367"/>
      <c r="F56" s="367"/>
      <c r="G56" s="367"/>
      <c r="H56" s="367"/>
      <c r="I56" s="367"/>
      <c r="J56" s="367"/>
      <c r="K56" s="367"/>
      <c r="L56" s="367"/>
      <c r="M56" s="367"/>
      <c r="N56" s="367"/>
      <c r="O56" s="367"/>
      <c r="P56" s="367"/>
      <c r="Q56" s="367"/>
      <c r="R56" s="367"/>
      <c r="S56" s="367"/>
      <c r="T56" s="367"/>
      <c r="U56" s="367"/>
      <c r="V56" s="367"/>
      <c r="W56" s="367"/>
      <c r="X56" s="367"/>
      <c r="Y56" s="367"/>
      <c r="Z56" s="367"/>
      <c r="AA56" s="367"/>
      <c r="AB56" s="367"/>
      <c r="AC56" s="368"/>
      <c r="AD56" s="368"/>
      <c r="AE56" s="368"/>
    </row>
    <row r="57" spans="1:31" s="311" customFormat="1" ht="13.5" thickBot="1" x14ac:dyDescent="0.25">
      <c r="A57" s="362" t="s">
        <v>432</v>
      </c>
      <c r="B57" s="355">
        <v>1</v>
      </c>
      <c r="C57" s="355">
        <v>2</v>
      </c>
      <c r="D57" s="355">
        <v>3</v>
      </c>
      <c r="E57" s="355">
        <v>4</v>
      </c>
      <c r="F57" s="355">
        <v>5</v>
      </c>
      <c r="G57" s="355">
        <v>6</v>
      </c>
      <c r="H57" s="355">
        <v>7</v>
      </c>
      <c r="I57" s="355">
        <v>8</v>
      </c>
      <c r="J57" s="355">
        <v>9</v>
      </c>
      <c r="K57" s="355">
        <v>10</v>
      </c>
      <c r="L57" s="355">
        <v>11</v>
      </c>
      <c r="M57" s="355">
        <v>12</v>
      </c>
      <c r="N57" s="355">
        <v>13</v>
      </c>
      <c r="O57" s="355">
        <v>14</v>
      </c>
      <c r="P57" s="355">
        <v>15</v>
      </c>
      <c r="Q57" s="355">
        <v>16</v>
      </c>
      <c r="R57" s="355">
        <v>17</v>
      </c>
      <c r="S57" s="355">
        <v>18</v>
      </c>
      <c r="T57" s="355">
        <v>19</v>
      </c>
      <c r="U57" s="355">
        <v>20</v>
      </c>
      <c r="V57" s="355">
        <v>21</v>
      </c>
      <c r="W57" s="355">
        <v>22</v>
      </c>
      <c r="X57" s="355">
        <v>23</v>
      </c>
      <c r="Y57" s="355">
        <v>24</v>
      </c>
      <c r="Z57" s="355">
        <v>25</v>
      </c>
      <c r="AA57" s="355">
        <v>26</v>
      </c>
      <c r="AB57" s="355">
        <v>27</v>
      </c>
      <c r="AC57" s="355">
        <v>28</v>
      </c>
      <c r="AD57" s="355">
        <v>29</v>
      </c>
      <c r="AE57" s="355">
        <v>30</v>
      </c>
    </row>
    <row r="58" spans="1:31" s="311" customFormat="1" ht="12.75" x14ac:dyDescent="0.2">
      <c r="A58" s="362" t="s">
        <v>262</v>
      </c>
      <c r="B58" s="355">
        <f t="shared" ref="B58:AE58" si="2">B49*$B$27</f>
        <v>0</v>
      </c>
      <c r="C58" s="355">
        <f t="shared" si="2"/>
        <v>0</v>
      </c>
      <c r="D58" s="355">
        <f t="shared" si="2"/>
        <v>0</v>
      </c>
      <c r="E58" s="355">
        <f t="shared" si="2"/>
        <v>0</v>
      </c>
      <c r="F58" s="355">
        <f t="shared" si="2"/>
        <v>43253153.252945952</v>
      </c>
      <c r="G58" s="355">
        <f t="shared" si="2"/>
        <v>54990205.339227498</v>
      </c>
      <c r="H58" s="355">
        <f t="shared" si="2"/>
        <v>60961494.695475362</v>
      </c>
      <c r="I58" s="355">
        <f t="shared" si="2"/>
        <v>67372611.887616187</v>
      </c>
      <c r="J58" s="355">
        <f t="shared" si="2"/>
        <v>71281641.747874498</v>
      </c>
      <c r="K58" s="355">
        <f t="shared" si="2"/>
        <v>75409294.31533733</v>
      </c>
      <c r="L58" s="355">
        <f t="shared" si="2"/>
        <v>79767485.077520654</v>
      </c>
      <c r="M58" s="355">
        <f t="shared" si="2"/>
        <v>87777605.696376562</v>
      </c>
      <c r="N58" s="355">
        <f t="shared" si="2"/>
        <v>96364471.27886872</v>
      </c>
      <c r="O58" s="355">
        <f t="shared" si="2"/>
        <v>100893601.42897554</v>
      </c>
      <c r="P58" s="355">
        <f t="shared" si="2"/>
        <v>105635600.6961374</v>
      </c>
      <c r="Q58" s="355">
        <f t="shared" si="2"/>
        <v>110600473.92885584</v>
      </c>
      <c r="R58" s="355">
        <f t="shared" si="2"/>
        <v>115798696.20351206</v>
      </c>
      <c r="S58" s="355">
        <f t="shared" si="2"/>
        <v>121241234.92507711</v>
      </c>
      <c r="T58" s="355">
        <f t="shared" si="2"/>
        <v>126939572.96655573</v>
      </c>
      <c r="U58" s="355">
        <f t="shared" si="2"/>
        <v>132905732.89598384</v>
      </c>
      <c r="V58" s="355">
        <f t="shared" si="2"/>
        <v>139152302.34209508</v>
      </c>
      <c r="W58" s="355">
        <f t="shared" si="2"/>
        <v>145692460.55217353</v>
      </c>
      <c r="X58" s="355">
        <f t="shared" si="2"/>
        <v>152540006.19812569</v>
      </c>
      <c r="Y58" s="355">
        <f t="shared" si="2"/>
        <v>159709386.48943758</v>
      </c>
      <c r="Z58" s="355">
        <f t="shared" si="2"/>
        <v>167215727.65444115</v>
      </c>
      <c r="AA58" s="355">
        <f t="shared" si="2"/>
        <v>175074866.85419986</v>
      </c>
      <c r="AB58" s="355">
        <f t="shared" si="2"/>
        <v>185000639.16668385</v>
      </c>
      <c r="AC58" s="355">
        <f t="shared" si="2"/>
        <v>195472693.69566032</v>
      </c>
      <c r="AD58" s="355">
        <f t="shared" si="2"/>
        <v>204659910.29935634</v>
      </c>
      <c r="AE58" s="355">
        <f t="shared" si="2"/>
        <v>214278926.08342609</v>
      </c>
    </row>
    <row r="59" spans="1:31" s="311" customFormat="1" ht="12.75" x14ac:dyDescent="0.2">
      <c r="A59" s="357" t="s">
        <v>261</v>
      </c>
      <c r="B59" s="369">
        <f t="shared" ref="B59:U59" si="3">SUM(B60:B65)</f>
        <v>0</v>
      </c>
      <c r="C59" s="369">
        <f t="shared" si="3"/>
        <v>0</v>
      </c>
      <c r="D59" s="369">
        <f t="shared" si="3"/>
        <v>0</v>
      </c>
      <c r="E59" s="369">
        <f t="shared" si="3"/>
        <v>0</v>
      </c>
      <c r="F59" s="369">
        <f t="shared" si="3"/>
        <v>-5875643.4783894215</v>
      </c>
      <c r="G59" s="369">
        <f t="shared" si="3"/>
        <v>-5625095.8334565284</v>
      </c>
      <c r="H59" s="369">
        <f t="shared" si="3"/>
        <v>-5374548.1885236362</v>
      </c>
      <c r="I59" s="369">
        <f t="shared" si="3"/>
        <v>-5124000.5435907431</v>
      </c>
      <c r="J59" s="369">
        <f t="shared" si="3"/>
        <v>-4873452.8986578509</v>
      </c>
      <c r="K59" s="369">
        <f t="shared" si="3"/>
        <v>-4622905.2537249578</v>
      </c>
      <c r="L59" s="369">
        <f t="shared" si="3"/>
        <v>-4706513.4882460097</v>
      </c>
      <c r="M59" s="369">
        <f t="shared" si="3"/>
        <v>-4121809.9638591725</v>
      </c>
      <c r="N59" s="369">
        <f t="shared" si="3"/>
        <v>-13895938.702544613</v>
      </c>
      <c r="O59" s="369">
        <f t="shared" si="3"/>
        <v>-3620714.6739933873</v>
      </c>
      <c r="P59" s="369">
        <f t="shared" si="3"/>
        <v>-8882215.2175841331</v>
      </c>
      <c r="Q59" s="369">
        <f t="shared" si="3"/>
        <v>-3119619.384127602</v>
      </c>
      <c r="R59" s="369">
        <f t="shared" si="3"/>
        <v>-3203227.6186486534</v>
      </c>
      <c r="S59" s="369">
        <f t="shared" si="3"/>
        <v>-2618524.0942618167</v>
      </c>
      <c r="T59" s="369">
        <f t="shared" si="3"/>
        <v>-2367976.4493289241</v>
      </c>
      <c r="U59" s="369">
        <f t="shared" si="3"/>
        <v>-2117428.8043960314</v>
      </c>
      <c r="V59" s="369">
        <f t="shared" ref="V59:AE59" si="4">SUM(V60:V65)</f>
        <v>-11891557.543081472</v>
      </c>
      <c r="W59" s="369">
        <f t="shared" si="4"/>
        <v>-1616333.5145302461</v>
      </c>
      <c r="X59" s="369">
        <f t="shared" si="4"/>
        <v>-1699941.7490512975</v>
      </c>
      <c r="Y59" s="369">
        <f t="shared" si="4"/>
        <v>-1115238.2246644611</v>
      </c>
      <c r="Z59" s="369">
        <f t="shared" si="4"/>
        <v>-864690.57973156858</v>
      </c>
      <c r="AA59" s="369">
        <f t="shared" si="4"/>
        <v>-614142.93479867605</v>
      </c>
      <c r="AB59" s="369">
        <f t="shared" si="4"/>
        <v>-363595.28986578347</v>
      </c>
      <c r="AC59" s="369">
        <f t="shared" si="4"/>
        <v>0</v>
      </c>
      <c r="AD59" s="369">
        <f t="shared" si="4"/>
        <v>-10024676.383618332</v>
      </c>
      <c r="AE59" s="369">
        <f t="shared" si="4"/>
        <v>0</v>
      </c>
    </row>
    <row r="60" spans="1:31" s="311" customFormat="1" ht="12.75" x14ac:dyDescent="0.2">
      <c r="A60" s="370" t="s">
        <v>260</v>
      </c>
      <c r="B60" s="363"/>
      <c r="C60" s="363"/>
      <c r="D60" s="363"/>
      <c r="E60" s="363"/>
      <c r="F60" s="363"/>
      <c r="G60" s="363"/>
      <c r="H60" s="363"/>
      <c r="I60" s="363"/>
      <c r="J60" s="363"/>
      <c r="K60" s="363"/>
      <c r="L60" s="363">
        <f>-B28*1.2</f>
        <v>-334155.87945394445</v>
      </c>
      <c r="M60" s="363"/>
      <c r="N60" s="363"/>
      <c r="O60" s="363"/>
      <c r="P60" s="363"/>
      <c r="Q60" s="363"/>
      <c r="R60" s="363">
        <v>-334155.87945394398</v>
      </c>
      <c r="S60" s="363"/>
      <c r="T60" s="363"/>
      <c r="U60" s="363"/>
      <c r="V60" s="363"/>
      <c r="W60" s="363"/>
      <c r="X60" s="363">
        <v>-334155.87945394398</v>
      </c>
      <c r="Y60" s="363"/>
      <c r="Z60" s="363"/>
      <c r="AA60" s="363"/>
      <c r="AB60" s="363"/>
      <c r="AC60" s="363"/>
      <c r="AD60" s="363"/>
      <c r="AE60" s="363"/>
    </row>
    <row r="61" spans="1:31" s="311" customFormat="1" ht="12.75" x14ac:dyDescent="0.2">
      <c r="A61" s="370" t="s">
        <v>259</v>
      </c>
      <c r="B61" s="363"/>
      <c r="C61" s="363"/>
      <c r="D61" s="363"/>
      <c r="E61" s="363"/>
      <c r="F61" s="363"/>
      <c r="G61" s="363"/>
      <c r="H61" s="363"/>
      <c r="I61" s="363"/>
      <c r="J61" s="363"/>
      <c r="K61" s="363"/>
      <c r="L61" s="363"/>
      <c r="M61" s="363"/>
      <c r="N61" s="363"/>
      <c r="O61" s="363"/>
      <c r="P61" s="363"/>
      <c r="Q61" s="363"/>
      <c r="R61" s="363"/>
      <c r="S61" s="363"/>
      <c r="T61" s="363"/>
      <c r="U61" s="363"/>
      <c r="V61" s="363"/>
      <c r="W61" s="363"/>
      <c r="X61" s="363"/>
      <c r="Y61" s="363"/>
      <c r="Z61" s="363"/>
      <c r="AA61" s="363"/>
      <c r="AB61" s="363"/>
      <c r="AC61" s="363"/>
      <c r="AD61" s="363"/>
      <c r="AE61" s="363"/>
    </row>
    <row r="62" spans="1:31" s="311" customFormat="1" ht="12.75" x14ac:dyDescent="0.2">
      <c r="A62" s="370" t="s">
        <v>641</v>
      </c>
      <c r="B62" s="363"/>
      <c r="C62" s="363"/>
      <c r="D62" s="363"/>
      <c r="E62" s="363"/>
      <c r="F62" s="388"/>
      <c r="G62" s="363"/>
      <c r="H62" s="363"/>
      <c r="I62" s="363"/>
      <c r="J62" s="363"/>
      <c r="K62" s="363"/>
      <c r="L62" s="363"/>
      <c r="M62" s="363"/>
      <c r="N62" s="363">
        <f>-B34*1.2</f>
        <v>-10024676.383618332</v>
      </c>
      <c r="O62" s="363"/>
      <c r="P62" s="363"/>
      <c r="Q62" s="363"/>
      <c r="R62" s="363"/>
      <c r="S62" s="363"/>
      <c r="T62" s="363"/>
      <c r="U62" s="363"/>
      <c r="V62" s="363">
        <f>N62</f>
        <v>-10024676.383618332</v>
      </c>
      <c r="W62" s="363"/>
      <c r="X62" s="363"/>
      <c r="Y62" s="363"/>
      <c r="Z62" s="363"/>
      <c r="AA62" s="363"/>
      <c r="AB62" s="363"/>
      <c r="AC62" s="363"/>
      <c r="AD62" s="363">
        <f>V62</f>
        <v>-10024676.383618332</v>
      </c>
      <c r="AE62" s="363"/>
    </row>
    <row r="63" spans="1:31" s="311" customFormat="1" ht="12.75" x14ac:dyDescent="0.2">
      <c r="A63" s="370" t="s">
        <v>429</v>
      </c>
      <c r="B63" s="371">
        <v>0</v>
      </c>
      <c r="C63" s="371">
        <v>0</v>
      </c>
      <c r="D63" s="371">
        <v>0</v>
      </c>
      <c r="E63" s="371">
        <v>0</v>
      </c>
      <c r="F63" s="371">
        <v>0</v>
      </c>
      <c r="G63" s="371">
        <v>0</v>
      </c>
      <c r="H63" s="371">
        <v>0</v>
      </c>
      <c r="I63" s="371">
        <v>0</v>
      </c>
      <c r="J63" s="371">
        <v>0</v>
      </c>
      <c r="K63" s="371">
        <v>0</v>
      </c>
      <c r="L63" s="371">
        <v>0</v>
      </c>
      <c r="M63" s="371">
        <v>0</v>
      </c>
      <c r="N63" s="371">
        <v>0</v>
      </c>
      <c r="O63" s="371">
        <v>0</v>
      </c>
      <c r="P63" s="371">
        <v>0</v>
      </c>
      <c r="Q63" s="371">
        <v>0</v>
      </c>
      <c r="R63" s="371">
        <v>0</v>
      </c>
      <c r="S63" s="371">
        <v>0</v>
      </c>
      <c r="T63" s="371">
        <v>0</v>
      </c>
      <c r="U63" s="371">
        <v>0</v>
      </c>
      <c r="V63" s="371">
        <v>0</v>
      </c>
      <c r="W63" s="371">
        <v>0</v>
      </c>
      <c r="X63" s="371">
        <v>0</v>
      </c>
      <c r="Y63" s="371">
        <v>0</v>
      </c>
      <c r="Z63" s="371">
        <v>0</v>
      </c>
      <c r="AA63" s="371">
        <v>0</v>
      </c>
      <c r="AB63" s="371">
        <v>0</v>
      </c>
      <c r="AC63" s="371">
        <v>0</v>
      </c>
      <c r="AD63" s="371">
        <v>0</v>
      </c>
      <c r="AE63" s="371">
        <v>0</v>
      </c>
    </row>
    <row r="64" spans="1:31" s="311" customFormat="1" ht="12.75" x14ac:dyDescent="0.2">
      <c r="A64" s="370" t="s">
        <v>429</v>
      </c>
      <c r="B64" s="371">
        <v>0</v>
      </c>
      <c r="C64" s="371">
        <v>0</v>
      </c>
      <c r="D64" s="371">
        <v>0</v>
      </c>
      <c r="E64" s="371">
        <v>0</v>
      </c>
      <c r="F64" s="371">
        <v>0</v>
      </c>
      <c r="G64" s="371">
        <v>0</v>
      </c>
      <c r="H64" s="371">
        <v>0</v>
      </c>
      <c r="I64" s="371">
        <v>0</v>
      </c>
      <c r="J64" s="371">
        <v>0</v>
      </c>
      <c r="K64" s="371">
        <v>0</v>
      </c>
      <c r="L64" s="371">
        <v>0</v>
      </c>
      <c r="M64" s="371">
        <v>0</v>
      </c>
      <c r="N64" s="371">
        <v>0</v>
      </c>
      <c r="O64" s="371">
        <v>0</v>
      </c>
      <c r="P64" s="371">
        <v>0</v>
      </c>
      <c r="Q64" s="371">
        <v>0</v>
      </c>
      <c r="R64" s="371">
        <v>0</v>
      </c>
      <c r="S64" s="371">
        <v>0</v>
      </c>
      <c r="T64" s="371">
        <v>0</v>
      </c>
      <c r="U64" s="371">
        <v>0</v>
      </c>
      <c r="V64" s="371">
        <v>0</v>
      </c>
      <c r="W64" s="371">
        <v>0</v>
      </c>
      <c r="X64" s="371">
        <v>0</v>
      </c>
      <c r="Y64" s="371">
        <v>0</v>
      </c>
      <c r="Z64" s="371">
        <v>0</v>
      </c>
      <c r="AA64" s="371">
        <v>0</v>
      </c>
      <c r="AB64" s="371">
        <v>0</v>
      </c>
      <c r="AC64" s="371">
        <v>0</v>
      </c>
      <c r="AD64" s="371">
        <v>0</v>
      </c>
      <c r="AE64" s="371">
        <v>0</v>
      </c>
    </row>
    <row r="65" spans="1:34" s="311" customFormat="1" ht="12.75" x14ac:dyDescent="0.2">
      <c r="A65" s="370" t="s">
        <v>643</v>
      </c>
      <c r="B65" s="371">
        <v>0</v>
      </c>
      <c r="C65" s="371">
        <v>0</v>
      </c>
      <c r="D65" s="371">
        <v>0</v>
      </c>
      <c r="E65" s="371">
        <v>0</v>
      </c>
      <c r="F65" s="371">
        <f>-($B$24+F67)*0.022</f>
        <v>-5875643.4783894215</v>
      </c>
      <c r="G65" s="371">
        <f>-($B$24+G67+F67)*0.022</f>
        <v>-5625095.8334565284</v>
      </c>
      <c r="H65" s="375">
        <f>-($B$24+H67+F67+G67)*0.022</f>
        <v>-5374548.1885236362</v>
      </c>
      <c r="I65" s="375">
        <f>-($B$24+I67+G67+H67+F67)*0.022</f>
        <v>-5124000.5435907431</v>
      </c>
      <c r="J65" s="375">
        <f>-($B$24+J67+H67+I67+G67+F67)*0.022</f>
        <v>-4873452.8986578509</v>
      </c>
      <c r="K65" s="375">
        <f>-($B$24+K67+I67+J67+H67+F67+G67)*0.022</f>
        <v>-4622905.2537249578</v>
      </c>
      <c r="L65" s="375">
        <f>-($B$24+F67+L67+J67+K67+I67+G67+H67)*0.022</f>
        <v>-4372357.6087920656</v>
      </c>
      <c r="M65" s="375">
        <f>-($B$24+G67+M67+K67+L67+J67+H67+I67+F67)*0.022</f>
        <v>-4121809.9638591725</v>
      </c>
      <c r="N65" s="375">
        <f>-($B$24+H67+N67+L67+M67+K67+I67+J67+F67+G67)*0.022</f>
        <v>-3871262.3189262799</v>
      </c>
      <c r="O65" s="375">
        <f>-($B$24+I67+O67+M67+N67+L67+J67+K67+H67+G67+F67)*0.022</f>
        <v>-3620714.6739933873</v>
      </c>
      <c r="P65" s="375">
        <f>(-$B$24+J67+P67+N67+O67+M67+K67+L67+I67+H67+G67+F67)*0.022</f>
        <v>-8882215.2175841331</v>
      </c>
      <c r="Q65" s="375">
        <f>-($B$24+K67+Q67+O67+P67+N67+L67+M67+J67+I67+H67+F67+G67)*0.022</f>
        <v>-3119619.384127602</v>
      </c>
      <c r="R65" s="375">
        <f>-($B$24+L67+R67+P67+Q67+O67+M67+N67+K67+J67+I67+G67+F67+H67)*0.022</f>
        <v>-2869071.7391947093</v>
      </c>
      <c r="S65" s="375">
        <f>-($B$24+M67+S67+Q67+R67+P67+N67+O67+L67+K67+J67+H67+I67+F67+G67)*0.022</f>
        <v>-2618524.0942618167</v>
      </c>
      <c r="T65" s="375">
        <f>-($B$24+N67+T67+R67+S67+Q67+O67+P67+M67+L67+K67+I67+J67+G67+F67+H67)*0.022</f>
        <v>-2367976.4493289241</v>
      </c>
      <c r="U65" s="375">
        <f>-($B$24+O67+U67+S67+T67+R67+P67+Q67+N67+M67+L67+J67+K67+H67+G67+F67+I67)*0.022</f>
        <v>-2117428.8043960314</v>
      </c>
      <c r="V65" s="375">
        <f>-($B$24+P67+V67+T67+U67+S67+Q67+R67+O67+N67+M67+K67+L67+I67+H67+G67+F67+J67)*0.022</f>
        <v>-1866881.1594631388</v>
      </c>
      <c r="W65" s="375">
        <f>-($B$24+Q67+W67+U67+V67+T67+R67+S67+P67+O67+N67+L67+M67+J67+I67+H67+G67+F67+K67)*0.022</f>
        <v>-1616333.5145302461</v>
      </c>
      <c r="X65" s="375">
        <f>-($B$24+R67+X67+V67+W67+U67+S67+T67+Q67+P67+O67+M67+N67+K67+J67+I67+H67+F67+G67++L67)*0.022</f>
        <v>-1365785.8695973535</v>
      </c>
      <c r="Y65" s="375">
        <f>-($B$24+S67+Y67+W67+X67+V67+T67+U67+R67+Q67+P67+N67+O67+L67+K67+J67+I67+G67+H67+F67+M67)*0.022</f>
        <v>-1115238.2246644611</v>
      </c>
      <c r="Z65" s="375">
        <f>-($B$24+T67+Z67+X67+Y67+W67+U67+V67+S67+R67+Q67+O67+P67+M67+L67+K67+J67+H67+I67+G67+F67+N67)*0.022</f>
        <v>-864690.57973156858</v>
      </c>
      <c r="AA65" s="375">
        <f>-($B$24+U67+AA67+Y67+Z67+X67+V67+W67+T67+S67+R67+P67+Q67+N67+M67+L67+K67+I67+J67+H67+G67+F67+O67)*0.022</f>
        <v>-614142.93479867605</v>
      </c>
      <c r="AB65" s="375">
        <f>-($B$24+V67+AB67+Z67+AA67+Y67+W67+X67+U67+T67+S67+Q67+R67+O67+N67+M67+L67+J67+K67+I67+H67+G67+F67+P67)*0.022</f>
        <v>-363595.28986578347</v>
      </c>
      <c r="AC65" s="375">
        <v>0</v>
      </c>
      <c r="AD65" s="375">
        <v>0</v>
      </c>
      <c r="AE65" s="375">
        <v>0</v>
      </c>
      <c r="AF65" s="375"/>
      <c r="AG65" s="375"/>
      <c r="AH65" s="375"/>
    </row>
    <row r="66" spans="1:34" s="311" customFormat="1" ht="12.75" x14ac:dyDescent="0.2">
      <c r="A66" s="372" t="s">
        <v>644</v>
      </c>
      <c r="B66" s="373">
        <f t="shared" ref="B66:AE66" si="5">B58+B59</f>
        <v>0</v>
      </c>
      <c r="C66" s="373">
        <f t="shared" si="5"/>
        <v>0</v>
      </c>
      <c r="D66" s="373">
        <f t="shared" si="5"/>
        <v>0</v>
      </c>
      <c r="E66" s="373">
        <f t="shared" si="5"/>
        <v>0</v>
      </c>
      <c r="F66" s="373">
        <f t="shared" si="5"/>
        <v>37377509.774556533</v>
      </c>
      <c r="G66" s="373">
        <f t="shared" si="5"/>
        <v>49365109.505770966</v>
      </c>
      <c r="H66" s="373">
        <f t="shared" si="5"/>
        <v>55586946.506951727</v>
      </c>
      <c r="I66" s="373">
        <f t="shared" si="5"/>
        <v>62248611.344025448</v>
      </c>
      <c r="J66" s="373">
        <f t="shared" si="5"/>
        <v>66408188.849216647</v>
      </c>
      <c r="K66" s="373">
        <f t="shared" si="5"/>
        <v>70786389.061612368</v>
      </c>
      <c r="L66" s="373">
        <f t="shared" si="5"/>
        <v>75060971.589274645</v>
      </c>
      <c r="M66" s="373">
        <f t="shared" si="5"/>
        <v>83655795.732517391</v>
      </c>
      <c r="N66" s="373">
        <f t="shared" si="5"/>
        <v>82468532.576324105</v>
      </c>
      <c r="O66" s="373">
        <f t="shared" si="5"/>
        <v>97272886.754982144</v>
      </c>
      <c r="P66" s="373">
        <f t="shared" si="5"/>
        <v>96753385.478553265</v>
      </c>
      <c r="Q66" s="373">
        <f t="shared" si="5"/>
        <v>107480854.54472823</v>
      </c>
      <c r="R66" s="373">
        <f t="shared" si="5"/>
        <v>112595468.58486341</v>
      </c>
      <c r="S66" s="373">
        <f t="shared" si="5"/>
        <v>118622710.8308153</v>
      </c>
      <c r="T66" s="373">
        <f t="shared" si="5"/>
        <v>124571596.5172268</v>
      </c>
      <c r="U66" s="373">
        <f t="shared" si="5"/>
        <v>130788304.09158781</v>
      </c>
      <c r="V66" s="373">
        <f t="shared" si="5"/>
        <v>127260744.7990136</v>
      </c>
      <c r="W66" s="373">
        <f t="shared" si="5"/>
        <v>144076127.03764328</v>
      </c>
      <c r="X66" s="373">
        <f t="shared" si="5"/>
        <v>150840064.44907439</v>
      </c>
      <c r="Y66" s="373">
        <f t="shared" si="5"/>
        <v>158594148.26477313</v>
      </c>
      <c r="Z66" s="373">
        <f t="shared" si="5"/>
        <v>166351037.07470959</v>
      </c>
      <c r="AA66" s="373">
        <f t="shared" si="5"/>
        <v>174460723.91940117</v>
      </c>
      <c r="AB66" s="373">
        <f t="shared" si="5"/>
        <v>184637043.87681806</v>
      </c>
      <c r="AC66" s="373">
        <f t="shared" si="5"/>
        <v>195472693.69566032</v>
      </c>
      <c r="AD66" s="373">
        <f t="shared" si="5"/>
        <v>194635233.91573802</v>
      </c>
      <c r="AE66" s="373">
        <f t="shared" si="5"/>
        <v>214278926.08342609</v>
      </c>
    </row>
    <row r="67" spans="1:34" s="311" customFormat="1" ht="12.75" x14ac:dyDescent="0.2">
      <c r="A67" s="370" t="s">
        <v>255</v>
      </c>
      <c r="B67" s="374">
        <v>0</v>
      </c>
      <c r="C67" s="375">
        <v>0</v>
      </c>
      <c r="D67" s="375">
        <v>0</v>
      </c>
      <c r="E67" s="375">
        <v>0</v>
      </c>
      <c r="F67" s="374">
        <f>($B$81+$C$81+$D$81+$E$81+$F$81)*$B$27/$B$26</f>
        <v>-11388529.31513148</v>
      </c>
      <c r="G67" s="374">
        <f>($B$81+$C$81+$D$81+$E$81+$F$81)*$B$27/$B$26</f>
        <v>-11388529.31513148</v>
      </c>
      <c r="H67" s="375">
        <f t="shared" ref="H67:AE67" si="6">G67</f>
        <v>-11388529.31513148</v>
      </c>
      <c r="I67" s="375">
        <f t="shared" si="6"/>
        <v>-11388529.31513148</v>
      </c>
      <c r="J67" s="375">
        <f t="shared" si="6"/>
        <v>-11388529.31513148</v>
      </c>
      <c r="K67" s="375">
        <f t="shared" si="6"/>
        <v>-11388529.31513148</v>
      </c>
      <c r="L67" s="375">
        <f t="shared" si="6"/>
        <v>-11388529.31513148</v>
      </c>
      <c r="M67" s="375">
        <f t="shared" si="6"/>
        <v>-11388529.31513148</v>
      </c>
      <c r="N67" s="375">
        <f t="shared" si="6"/>
        <v>-11388529.31513148</v>
      </c>
      <c r="O67" s="375">
        <f t="shared" si="6"/>
        <v>-11388529.31513148</v>
      </c>
      <c r="P67" s="375">
        <f t="shared" si="6"/>
        <v>-11388529.31513148</v>
      </c>
      <c r="Q67" s="375">
        <f t="shared" si="6"/>
        <v>-11388529.31513148</v>
      </c>
      <c r="R67" s="375">
        <f t="shared" si="6"/>
        <v>-11388529.31513148</v>
      </c>
      <c r="S67" s="375">
        <f t="shared" si="6"/>
        <v>-11388529.31513148</v>
      </c>
      <c r="T67" s="375">
        <f t="shared" si="6"/>
        <v>-11388529.31513148</v>
      </c>
      <c r="U67" s="375">
        <f t="shared" si="6"/>
        <v>-11388529.31513148</v>
      </c>
      <c r="V67" s="375">
        <f t="shared" si="6"/>
        <v>-11388529.31513148</v>
      </c>
      <c r="W67" s="375">
        <f t="shared" si="6"/>
        <v>-11388529.31513148</v>
      </c>
      <c r="X67" s="375">
        <f t="shared" si="6"/>
        <v>-11388529.31513148</v>
      </c>
      <c r="Y67" s="375">
        <f t="shared" si="6"/>
        <v>-11388529.31513148</v>
      </c>
      <c r="Z67" s="375">
        <f t="shared" si="6"/>
        <v>-11388529.31513148</v>
      </c>
      <c r="AA67" s="375">
        <f t="shared" si="6"/>
        <v>-11388529.31513148</v>
      </c>
      <c r="AB67" s="375">
        <f t="shared" si="6"/>
        <v>-11388529.31513148</v>
      </c>
      <c r="AC67" s="375">
        <v>0</v>
      </c>
      <c r="AD67" s="375">
        <f t="shared" si="6"/>
        <v>0</v>
      </c>
      <c r="AE67" s="375">
        <f t="shared" si="6"/>
        <v>0</v>
      </c>
    </row>
    <row r="68" spans="1:34" s="311" customFormat="1" ht="12.75" x14ac:dyDescent="0.2">
      <c r="A68" s="372" t="s">
        <v>645</v>
      </c>
      <c r="B68" s="373">
        <f t="shared" ref="B68:AE68" si="7">B66+B67</f>
        <v>0</v>
      </c>
      <c r="C68" s="373">
        <f t="shared" si="7"/>
        <v>0</v>
      </c>
      <c r="D68" s="373">
        <f t="shared" si="7"/>
        <v>0</v>
      </c>
      <c r="E68" s="373">
        <f t="shared" si="7"/>
        <v>0</v>
      </c>
      <c r="F68" s="373">
        <f t="shared" si="7"/>
        <v>25988980.459425054</v>
      </c>
      <c r="G68" s="373">
        <f t="shared" si="7"/>
        <v>37976580.190639488</v>
      </c>
      <c r="H68" s="373">
        <f t="shared" si="7"/>
        <v>44198417.191820249</v>
      </c>
      <c r="I68" s="373">
        <f t="shared" si="7"/>
        <v>50860082.02889397</v>
      </c>
      <c r="J68" s="373">
        <f t="shared" si="7"/>
        <v>55019659.534085169</v>
      </c>
      <c r="K68" s="373">
        <f t="shared" si="7"/>
        <v>59397859.74648089</v>
      </c>
      <c r="L68" s="373">
        <f t="shared" si="7"/>
        <v>63672442.274143167</v>
      </c>
      <c r="M68" s="373">
        <f t="shared" si="7"/>
        <v>72267266.417385906</v>
      </c>
      <c r="N68" s="373">
        <f t="shared" si="7"/>
        <v>71080003.26119262</v>
      </c>
      <c r="O68" s="373">
        <f t="shared" si="7"/>
        <v>85884357.439850658</v>
      </c>
      <c r="P68" s="373">
        <f t="shared" si="7"/>
        <v>85364856.16342178</v>
      </c>
      <c r="Q68" s="373">
        <f t="shared" si="7"/>
        <v>96092325.229596749</v>
      </c>
      <c r="R68" s="373">
        <f t="shared" si="7"/>
        <v>101206939.26973192</v>
      </c>
      <c r="S68" s="373">
        <f t="shared" si="7"/>
        <v>107234181.51568381</v>
      </c>
      <c r="T68" s="373">
        <f t="shared" si="7"/>
        <v>113183067.20209531</v>
      </c>
      <c r="U68" s="373">
        <f t="shared" si="7"/>
        <v>119399774.77645633</v>
      </c>
      <c r="V68" s="373">
        <f t="shared" si="7"/>
        <v>115872215.48388211</v>
      </c>
      <c r="W68" s="373">
        <f t="shared" si="7"/>
        <v>132687597.7225118</v>
      </c>
      <c r="X68" s="373">
        <f t="shared" si="7"/>
        <v>139451535.1339429</v>
      </c>
      <c r="Y68" s="373">
        <f t="shared" si="7"/>
        <v>147205618.94964164</v>
      </c>
      <c r="Z68" s="373">
        <f t="shared" si="7"/>
        <v>154962507.75957811</v>
      </c>
      <c r="AA68" s="373">
        <f t="shared" si="7"/>
        <v>163072194.60426968</v>
      </c>
      <c r="AB68" s="373">
        <f t="shared" si="7"/>
        <v>173248514.56168658</v>
      </c>
      <c r="AC68" s="373">
        <f t="shared" si="7"/>
        <v>195472693.69566032</v>
      </c>
      <c r="AD68" s="373">
        <f t="shared" si="7"/>
        <v>194635233.91573802</v>
      </c>
      <c r="AE68" s="373">
        <f t="shared" si="7"/>
        <v>214278926.08342609</v>
      </c>
    </row>
    <row r="69" spans="1:34" s="311" customFormat="1" ht="12.75" x14ac:dyDescent="0.2">
      <c r="A69" s="370" t="s">
        <v>254</v>
      </c>
      <c r="B69" s="371">
        <v>0</v>
      </c>
      <c r="C69" s="371">
        <v>0</v>
      </c>
      <c r="D69" s="371">
        <v>0</v>
      </c>
      <c r="E69" s="371">
        <v>0</v>
      </c>
      <c r="F69" s="371">
        <v>0</v>
      </c>
      <c r="G69" s="371">
        <v>0</v>
      </c>
      <c r="H69" s="371">
        <v>0</v>
      </c>
      <c r="I69" s="371">
        <v>0</v>
      </c>
      <c r="J69" s="371">
        <v>0</v>
      </c>
      <c r="K69" s="371">
        <v>0</v>
      </c>
      <c r="L69" s="371">
        <v>0</v>
      </c>
      <c r="M69" s="371">
        <v>0</v>
      </c>
      <c r="N69" s="371">
        <v>0</v>
      </c>
      <c r="O69" s="371">
        <v>0</v>
      </c>
      <c r="P69" s="371">
        <v>0</v>
      </c>
      <c r="Q69" s="371">
        <v>0</v>
      </c>
      <c r="R69" s="371">
        <v>0</v>
      </c>
      <c r="S69" s="371">
        <v>0</v>
      </c>
      <c r="T69" s="371">
        <v>0</v>
      </c>
      <c r="U69" s="371">
        <v>0</v>
      </c>
      <c r="V69" s="371">
        <v>0</v>
      </c>
      <c r="W69" s="371">
        <v>0</v>
      </c>
      <c r="X69" s="371">
        <v>0</v>
      </c>
      <c r="Y69" s="371">
        <v>0</v>
      </c>
      <c r="Z69" s="371">
        <v>0</v>
      </c>
      <c r="AA69" s="371">
        <v>0</v>
      </c>
      <c r="AB69" s="371">
        <v>0</v>
      </c>
      <c r="AC69" s="371">
        <v>0</v>
      </c>
      <c r="AD69" s="371">
        <v>0</v>
      </c>
      <c r="AE69" s="371">
        <v>0</v>
      </c>
    </row>
    <row r="70" spans="1:34" s="311" customFormat="1" ht="12.75" x14ac:dyDescent="0.2">
      <c r="A70" s="372" t="s">
        <v>258</v>
      </c>
      <c r="B70" s="373">
        <f t="shared" ref="B70:AE70" si="8">B68+B69</f>
        <v>0</v>
      </c>
      <c r="C70" s="373">
        <f t="shared" si="8"/>
        <v>0</v>
      </c>
      <c r="D70" s="373">
        <f t="shared" si="8"/>
        <v>0</v>
      </c>
      <c r="E70" s="373">
        <f t="shared" si="8"/>
        <v>0</v>
      </c>
      <c r="F70" s="373">
        <f t="shared" si="8"/>
        <v>25988980.459425054</v>
      </c>
      <c r="G70" s="373">
        <f t="shared" si="8"/>
        <v>37976580.190639488</v>
      </c>
      <c r="H70" s="373">
        <f t="shared" si="8"/>
        <v>44198417.191820249</v>
      </c>
      <c r="I70" s="373">
        <f t="shared" si="8"/>
        <v>50860082.02889397</v>
      </c>
      <c r="J70" s="373">
        <f t="shared" si="8"/>
        <v>55019659.534085169</v>
      </c>
      <c r="K70" s="373">
        <f t="shared" si="8"/>
        <v>59397859.74648089</v>
      </c>
      <c r="L70" s="373">
        <f t="shared" si="8"/>
        <v>63672442.274143167</v>
      </c>
      <c r="M70" s="373">
        <f t="shared" si="8"/>
        <v>72267266.417385906</v>
      </c>
      <c r="N70" s="373">
        <f t="shared" si="8"/>
        <v>71080003.26119262</v>
      </c>
      <c r="O70" s="373">
        <f t="shared" si="8"/>
        <v>85884357.439850658</v>
      </c>
      <c r="P70" s="373">
        <f t="shared" si="8"/>
        <v>85364856.16342178</v>
      </c>
      <c r="Q70" s="373">
        <f t="shared" si="8"/>
        <v>96092325.229596749</v>
      </c>
      <c r="R70" s="373">
        <f t="shared" si="8"/>
        <v>101206939.26973192</v>
      </c>
      <c r="S70" s="373">
        <f t="shared" si="8"/>
        <v>107234181.51568381</v>
      </c>
      <c r="T70" s="373">
        <f t="shared" si="8"/>
        <v>113183067.20209531</v>
      </c>
      <c r="U70" s="373">
        <f t="shared" si="8"/>
        <v>119399774.77645633</v>
      </c>
      <c r="V70" s="373">
        <f t="shared" si="8"/>
        <v>115872215.48388211</v>
      </c>
      <c r="W70" s="373">
        <f t="shared" si="8"/>
        <v>132687597.7225118</v>
      </c>
      <c r="X70" s="373">
        <f t="shared" si="8"/>
        <v>139451535.1339429</v>
      </c>
      <c r="Y70" s="373">
        <f t="shared" si="8"/>
        <v>147205618.94964164</v>
      </c>
      <c r="Z70" s="373">
        <f t="shared" si="8"/>
        <v>154962507.75957811</v>
      </c>
      <c r="AA70" s="373">
        <f t="shared" si="8"/>
        <v>163072194.60426968</v>
      </c>
      <c r="AB70" s="373">
        <f t="shared" si="8"/>
        <v>173248514.56168658</v>
      </c>
      <c r="AC70" s="373">
        <f t="shared" si="8"/>
        <v>195472693.69566032</v>
      </c>
      <c r="AD70" s="373">
        <f t="shared" si="8"/>
        <v>194635233.91573802</v>
      </c>
      <c r="AE70" s="373">
        <f t="shared" si="8"/>
        <v>214278926.08342609</v>
      </c>
    </row>
    <row r="71" spans="1:34" s="311" customFormat="1" ht="12.75" x14ac:dyDescent="0.2">
      <c r="A71" s="370" t="s">
        <v>253</v>
      </c>
      <c r="B71" s="374">
        <f t="shared" ref="B71:AE71" si="9">-B70*$B$35</f>
        <v>0</v>
      </c>
      <c r="C71" s="374">
        <f t="shared" si="9"/>
        <v>0</v>
      </c>
      <c r="D71" s="374">
        <f t="shared" si="9"/>
        <v>0</v>
      </c>
      <c r="E71" s="374">
        <f t="shared" si="9"/>
        <v>0</v>
      </c>
      <c r="F71" s="374">
        <f t="shared" si="9"/>
        <v>-5197796.0918850116</v>
      </c>
      <c r="G71" s="374">
        <f t="shared" si="9"/>
        <v>-7595316.0381278982</v>
      </c>
      <c r="H71" s="374">
        <f t="shared" si="9"/>
        <v>-8839683.4383640494</v>
      </c>
      <c r="I71" s="374">
        <f t="shared" si="9"/>
        <v>-10172016.405778795</v>
      </c>
      <c r="J71" s="374">
        <f t="shared" si="9"/>
        <v>-11003931.906817034</v>
      </c>
      <c r="K71" s="374">
        <f t="shared" si="9"/>
        <v>-11879571.949296178</v>
      </c>
      <c r="L71" s="374">
        <f t="shared" si="9"/>
        <v>-12734488.454828635</v>
      </c>
      <c r="M71" s="374">
        <f t="shared" si="9"/>
        <v>-14453453.283477182</v>
      </c>
      <c r="N71" s="374">
        <f t="shared" si="9"/>
        <v>-14216000.652238525</v>
      </c>
      <c r="O71" s="374">
        <f t="shared" si="9"/>
        <v>-17176871.487970132</v>
      </c>
      <c r="P71" s="374">
        <f t="shared" si="9"/>
        <v>-17072971.232684355</v>
      </c>
      <c r="Q71" s="374">
        <f t="shared" si="9"/>
        <v>-19218465.045919351</v>
      </c>
      <c r="R71" s="374">
        <f t="shared" si="9"/>
        <v>-20241387.853946388</v>
      </c>
      <c r="S71" s="374">
        <f t="shared" si="9"/>
        <v>-21446836.303136766</v>
      </c>
      <c r="T71" s="374">
        <f t="shared" si="9"/>
        <v>-22636613.440419063</v>
      </c>
      <c r="U71" s="374">
        <f t="shared" si="9"/>
        <v>-23879954.955291267</v>
      </c>
      <c r="V71" s="374">
        <f t="shared" si="9"/>
        <v>-23174443.096776426</v>
      </c>
      <c r="W71" s="374">
        <f t="shared" si="9"/>
        <v>-26537519.544502363</v>
      </c>
      <c r="X71" s="374">
        <f t="shared" si="9"/>
        <v>-27890307.026788581</v>
      </c>
      <c r="Y71" s="374">
        <f t="shared" si="9"/>
        <v>-29441123.789928332</v>
      </c>
      <c r="Z71" s="374">
        <f t="shared" si="9"/>
        <v>-30992501.551915623</v>
      </c>
      <c r="AA71" s="374">
        <f t="shared" si="9"/>
        <v>-32614438.920853939</v>
      </c>
      <c r="AB71" s="374">
        <f t="shared" si="9"/>
        <v>-34649702.912337318</v>
      </c>
      <c r="AC71" s="374">
        <f t="shared" si="9"/>
        <v>-39094538.739132069</v>
      </c>
      <c r="AD71" s="374">
        <f t="shared" si="9"/>
        <v>-38927046.783147603</v>
      </c>
      <c r="AE71" s="374">
        <f t="shared" si="9"/>
        <v>-42855785.216685221</v>
      </c>
    </row>
    <row r="72" spans="1:34" s="311" customFormat="1" ht="13.5" thickBot="1" x14ac:dyDescent="0.25">
      <c r="A72" s="376" t="s">
        <v>257</v>
      </c>
      <c r="B72" s="377">
        <f t="shared" ref="B72:AE72" si="10">B70+B71</f>
        <v>0</v>
      </c>
      <c r="C72" s="377">
        <f t="shared" si="10"/>
        <v>0</v>
      </c>
      <c r="D72" s="377">
        <f t="shared" si="10"/>
        <v>0</v>
      </c>
      <c r="E72" s="377">
        <f t="shared" si="10"/>
        <v>0</v>
      </c>
      <c r="F72" s="377">
        <f t="shared" si="10"/>
        <v>20791184.367540043</v>
      </c>
      <c r="G72" s="377">
        <f t="shared" si="10"/>
        <v>30381264.152511589</v>
      </c>
      <c r="H72" s="377">
        <f t="shared" si="10"/>
        <v>35358733.753456198</v>
      </c>
      <c r="I72" s="377">
        <f t="shared" si="10"/>
        <v>40688065.623115174</v>
      </c>
      <c r="J72" s="377">
        <f t="shared" si="10"/>
        <v>44015727.627268136</v>
      </c>
      <c r="K72" s="377">
        <f t="shared" si="10"/>
        <v>47518287.797184713</v>
      </c>
      <c r="L72" s="377">
        <f t="shared" si="10"/>
        <v>50937953.819314532</v>
      </c>
      <c r="M72" s="377">
        <f t="shared" si="10"/>
        <v>57813813.133908726</v>
      </c>
      <c r="N72" s="377">
        <f t="shared" si="10"/>
        <v>56864002.608954094</v>
      </c>
      <c r="O72" s="377">
        <f t="shared" si="10"/>
        <v>68707485.95188053</v>
      </c>
      <c r="P72" s="377">
        <f t="shared" si="10"/>
        <v>68291884.930737421</v>
      </c>
      <c r="Q72" s="377">
        <f t="shared" si="10"/>
        <v>76873860.183677405</v>
      </c>
      <c r="R72" s="377">
        <f t="shared" si="10"/>
        <v>80965551.415785536</v>
      </c>
      <c r="S72" s="377">
        <f t="shared" si="10"/>
        <v>85787345.212547049</v>
      </c>
      <c r="T72" s="377">
        <f t="shared" si="10"/>
        <v>90546453.761676252</v>
      </c>
      <c r="U72" s="377">
        <f t="shared" si="10"/>
        <v>95519819.821165055</v>
      </c>
      <c r="V72" s="377">
        <f t="shared" si="10"/>
        <v>92697772.387105688</v>
      </c>
      <c r="W72" s="377">
        <f t="shared" si="10"/>
        <v>106150078.17800944</v>
      </c>
      <c r="X72" s="377">
        <f t="shared" si="10"/>
        <v>111561228.10715432</v>
      </c>
      <c r="Y72" s="377">
        <f t="shared" si="10"/>
        <v>117764495.15971331</v>
      </c>
      <c r="Z72" s="377">
        <f t="shared" si="10"/>
        <v>123970006.20766249</v>
      </c>
      <c r="AA72" s="377">
        <f t="shared" si="10"/>
        <v>130457755.68341574</v>
      </c>
      <c r="AB72" s="377">
        <f t="shared" si="10"/>
        <v>138598811.64934927</v>
      </c>
      <c r="AC72" s="377">
        <f t="shared" si="10"/>
        <v>156378154.95652825</v>
      </c>
      <c r="AD72" s="377">
        <f t="shared" si="10"/>
        <v>155708187.13259041</v>
      </c>
      <c r="AE72" s="377">
        <f t="shared" si="10"/>
        <v>171423140.86674088</v>
      </c>
    </row>
    <row r="73" spans="1:34" s="311" customFormat="1" ht="13.5" thickBot="1" x14ac:dyDescent="0.25">
      <c r="A73" s="360"/>
      <c r="B73" s="378">
        <v>0.5</v>
      </c>
      <c r="C73" s="378">
        <v>1.5</v>
      </c>
      <c r="D73" s="378">
        <v>2.5</v>
      </c>
      <c r="E73" s="378">
        <v>3.5</v>
      </c>
      <c r="F73" s="378">
        <v>4.5</v>
      </c>
      <c r="G73" s="378">
        <v>5.5</v>
      </c>
      <c r="H73" s="378">
        <v>6.5</v>
      </c>
      <c r="I73" s="378">
        <v>7.5</v>
      </c>
      <c r="J73" s="378">
        <v>8.5</v>
      </c>
      <c r="K73" s="378">
        <v>9.5</v>
      </c>
      <c r="L73" s="378">
        <v>10.5</v>
      </c>
      <c r="M73" s="378">
        <v>11.5</v>
      </c>
      <c r="N73" s="378">
        <v>12.5</v>
      </c>
      <c r="O73" s="378">
        <v>13.5</v>
      </c>
      <c r="P73" s="378">
        <v>14.5</v>
      </c>
      <c r="Q73" s="378">
        <v>15.5</v>
      </c>
      <c r="R73" s="378">
        <v>16.5</v>
      </c>
      <c r="S73" s="378">
        <v>17.5</v>
      </c>
      <c r="T73" s="378">
        <v>18.5</v>
      </c>
      <c r="U73" s="378">
        <v>19.5</v>
      </c>
      <c r="V73" s="378">
        <v>20.5</v>
      </c>
      <c r="W73" s="378">
        <v>21.5</v>
      </c>
      <c r="X73" s="378">
        <v>22.5</v>
      </c>
      <c r="Y73" s="378">
        <v>23.5</v>
      </c>
      <c r="Z73" s="378">
        <v>24.5</v>
      </c>
      <c r="AA73" s="378">
        <v>25.5</v>
      </c>
      <c r="AB73" s="378">
        <v>26.5</v>
      </c>
      <c r="AC73" s="378">
        <v>27.5</v>
      </c>
      <c r="AD73" s="378">
        <v>28.5</v>
      </c>
      <c r="AE73" s="378">
        <v>29.5</v>
      </c>
    </row>
    <row r="74" spans="1:34" s="311" customFormat="1" ht="12.75" x14ac:dyDescent="0.2">
      <c r="A74" s="362" t="s">
        <v>256</v>
      </c>
      <c r="B74" s="355">
        <v>1</v>
      </c>
      <c r="C74" s="355">
        <v>2</v>
      </c>
      <c r="D74" s="355">
        <v>3</v>
      </c>
      <c r="E74" s="355">
        <v>4</v>
      </c>
      <c r="F74" s="355">
        <v>5</v>
      </c>
      <c r="G74" s="355">
        <v>6</v>
      </c>
      <c r="H74" s="355">
        <v>7</v>
      </c>
      <c r="I74" s="355">
        <v>8</v>
      </c>
      <c r="J74" s="355">
        <v>9</v>
      </c>
      <c r="K74" s="355">
        <v>10</v>
      </c>
      <c r="L74" s="355">
        <v>11</v>
      </c>
      <c r="M74" s="355">
        <v>12</v>
      </c>
      <c r="N74" s="355">
        <v>13</v>
      </c>
      <c r="O74" s="355">
        <v>14</v>
      </c>
      <c r="P74" s="355">
        <v>15</v>
      </c>
      <c r="Q74" s="355">
        <v>16</v>
      </c>
      <c r="R74" s="355">
        <v>17</v>
      </c>
      <c r="S74" s="355">
        <v>18</v>
      </c>
      <c r="T74" s="355">
        <v>19</v>
      </c>
      <c r="U74" s="355">
        <v>20</v>
      </c>
      <c r="V74" s="355">
        <v>21</v>
      </c>
      <c r="W74" s="355">
        <v>22</v>
      </c>
      <c r="X74" s="355">
        <v>23</v>
      </c>
      <c r="Y74" s="355">
        <v>24</v>
      </c>
      <c r="Z74" s="355">
        <v>25</v>
      </c>
      <c r="AA74" s="355">
        <v>26</v>
      </c>
      <c r="AB74" s="355">
        <v>27</v>
      </c>
      <c r="AC74" s="355">
        <v>28</v>
      </c>
      <c r="AD74" s="355">
        <v>29</v>
      </c>
      <c r="AE74" s="355">
        <v>30</v>
      </c>
    </row>
    <row r="75" spans="1:34" s="311" customFormat="1" ht="12.75" x14ac:dyDescent="0.2">
      <c r="A75" s="379" t="s">
        <v>645</v>
      </c>
      <c r="B75" s="373">
        <f t="shared" ref="B75:AE75" si="11">B68</f>
        <v>0</v>
      </c>
      <c r="C75" s="373">
        <f t="shared" si="11"/>
        <v>0</v>
      </c>
      <c r="D75" s="373">
        <f t="shared" si="11"/>
        <v>0</v>
      </c>
      <c r="E75" s="373">
        <f t="shared" si="11"/>
        <v>0</v>
      </c>
      <c r="F75" s="373">
        <f t="shared" si="11"/>
        <v>25988980.459425054</v>
      </c>
      <c r="G75" s="373">
        <f t="shared" si="11"/>
        <v>37976580.190639488</v>
      </c>
      <c r="H75" s="373">
        <f t="shared" si="11"/>
        <v>44198417.191820249</v>
      </c>
      <c r="I75" s="373">
        <f t="shared" si="11"/>
        <v>50860082.02889397</v>
      </c>
      <c r="J75" s="373">
        <f t="shared" si="11"/>
        <v>55019659.534085169</v>
      </c>
      <c r="K75" s="373">
        <f t="shared" si="11"/>
        <v>59397859.74648089</v>
      </c>
      <c r="L75" s="373">
        <f t="shared" si="11"/>
        <v>63672442.274143167</v>
      </c>
      <c r="M75" s="373">
        <f t="shared" si="11"/>
        <v>72267266.417385906</v>
      </c>
      <c r="N75" s="373">
        <f t="shared" si="11"/>
        <v>71080003.26119262</v>
      </c>
      <c r="O75" s="373">
        <f t="shared" si="11"/>
        <v>85884357.439850658</v>
      </c>
      <c r="P75" s="373">
        <f t="shared" si="11"/>
        <v>85364856.16342178</v>
      </c>
      <c r="Q75" s="373">
        <f t="shared" si="11"/>
        <v>96092325.229596749</v>
      </c>
      <c r="R75" s="373">
        <f t="shared" si="11"/>
        <v>101206939.26973192</v>
      </c>
      <c r="S75" s="373">
        <f t="shared" si="11"/>
        <v>107234181.51568381</v>
      </c>
      <c r="T75" s="373">
        <f t="shared" si="11"/>
        <v>113183067.20209531</v>
      </c>
      <c r="U75" s="373">
        <f t="shared" si="11"/>
        <v>119399774.77645633</v>
      </c>
      <c r="V75" s="373">
        <f t="shared" si="11"/>
        <v>115872215.48388211</v>
      </c>
      <c r="W75" s="373">
        <f t="shared" si="11"/>
        <v>132687597.7225118</v>
      </c>
      <c r="X75" s="373">
        <f t="shared" si="11"/>
        <v>139451535.1339429</v>
      </c>
      <c r="Y75" s="373">
        <f t="shared" si="11"/>
        <v>147205618.94964164</v>
      </c>
      <c r="Z75" s="373">
        <f t="shared" si="11"/>
        <v>154962507.75957811</v>
      </c>
      <c r="AA75" s="373">
        <f t="shared" si="11"/>
        <v>163072194.60426968</v>
      </c>
      <c r="AB75" s="373">
        <f t="shared" si="11"/>
        <v>173248514.56168658</v>
      </c>
      <c r="AC75" s="373">
        <f t="shared" si="11"/>
        <v>195472693.69566032</v>
      </c>
      <c r="AD75" s="373">
        <f t="shared" si="11"/>
        <v>194635233.91573802</v>
      </c>
      <c r="AE75" s="373">
        <f t="shared" si="11"/>
        <v>214278926.08342609</v>
      </c>
    </row>
    <row r="76" spans="1:34" s="311" customFormat="1" ht="12.75" x14ac:dyDescent="0.2">
      <c r="A76" s="370" t="s">
        <v>255</v>
      </c>
      <c r="B76" s="374">
        <f t="shared" ref="B76:AE76" si="12">-B67</f>
        <v>0</v>
      </c>
      <c r="C76" s="374">
        <f t="shared" si="12"/>
        <v>0</v>
      </c>
      <c r="D76" s="374">
        <f t="shared" si="12"/>
        <v>0</v>
      </c>
      <c r="E76" s="374">
        <f t="shared" si="12"/>
        <v>0</v>
      </c>
      <c r="F76" s="374">
        <f t="shared" si="12"/>
        <v>11388529.31513148</v>
      </c>
      <c r="G76" s="374">
        <f>-G67</f>
        <v>11388529.31513148</v>
      </c>
      <c r="H76" s="374">
        <f t="shared" si="12"/>
        <v>11388529.31513148</v>
      </c>
      <c r="I76" s="374">
        <f t="shared" si="12"/>
        <v>11388529.31513148</v>
      </c>
      <c r="J76" s="374">
        <f t="shared" si="12"/>
        <v>11388529.31513148</v>
      </c>
      <c r="K76" s="374">
        <f t="shared" si="12"/>
        <v>11388529.31513148</v>
      </c>
      <c r="L76" s="374">
        <f t="shared" si="12"/>
        <v>11388529.31513148</v>
      </c>
      <c r="M76" s="374">
        <f t="shared" si="12"/>
        <v>11388529.31513148</v>
      </c>
      <c r="N76" s="374">
        <f t="shared" si="12"/>
        <v>11388529.31513148</v>
      </c>
      <c r="O76" s="374">
        <f t="shared" si="12"/>
        <v>11388529.31513148</v>
      </c>
      <c r="P76" s="374">
        <f t="shared" si="12"/>
        <v>11388529.31513148</v>
      </c>
      <c r="Q76" s="374">
        <f t="shared" si="12"/>
        <v>11388529.31513148</v>
      </c>
      <c r="R76" s="374">
        <f t="shared" si="12"/>
        <v>11388529.31513148</v>
      </c>
      <c r="S76" s="374">
        <f t="shared" si="12"/>
        <v>11388529.31513148</v>
      </c>
      <c r="T76" s="374">
        <f t="shared" si="12"/>
        <v>11388529.31513148</v>
      </c>
      <c r="U76" s="374">
        <f t="shared" si="12"/>
        <v>11388529.31513148</v>
      </c>
      <c r="V76" s="374">
        <f t="shared" si="12"/>
        <v>11388529.31513148</v>
      </c>
      <c r="W76" s="374">
        <f t="shared" si="12"/>
        <v>11388529.31513148</v>
      </c>
      <c r="X76" s="374">
        <f t="shared" si="12"/>
        <v>11388529.31513148</v>
      </c>
      <c r="Y76" s="374">
        <f t="shared" si="12"/>
        <v>11388529.31513148</v>
      </c>
      <c r="Z76" s="374">
        <f t="shared" si="12"/>
        <v>11388529.31513148</v>
      </c>
      <c r="AA76" s="374">
        <f t="shared" si="12"/>
        <v>11388529.31513148</v>
      </c>
      <c r="AB76" s="374">
        <f t="shared" si="12"/>
        <v>11388529.31513148</v>
      </c>
      <c r="AC76" s="374">
        <f t="shared" si="12"/>
        <v>0</v>
      </c>
      <c r="AD76" s="374">
        <f t="shared" si="12"/>
        <v>0</v>
      </c>
      <c r="AE76" s="374">
        <f t="shared" si="12"/>
        <v>0</v>
      </c>
    </row>
    <row r="77" spans="1:34" s="311" customFormat="1" ht="12.75" x14ac:dyDescent="0.2">
      <c r="A77" s="370" t="s">
        <v>254</v>
      </c>
      <c r="B77" s="374">
        <f t="shared" ref="B77:AE77" si="13">B69</f>
        <v>0</v>
      </c>
      <c r="C77" s="374">
        <f t="shared" si="13"/>
        <v>0</v>
      </c>
      <c r="D77" s="374">
        <f t="shared" si="13"/>
        <v>0</v>
      </c>
      <c r="E77" s="374">
        <f t="shared" si="13"/>
        <v>0</v>
      </c>
      <c r="F77" s="374">
        <f t="shared" si="13"/>
        <v>0</v>
      </c>
      <c r="G77" s="374">
        <f t="shared" si="13"/>
        <v>0</v>
      </c>
      <c r="H77" s="374">
        <f t="shared" si="13"/>
        <v>0</v>
      </c>
      <c r="I77" s="374">
        <f t="shared" si="13"/>
        <v>0</v>
      </c>
      <c r="J77" s="374">
        <f t="shared" si="13"/>
        <v>0</v>
      </c>
      <c r="K77" s="374">
        <f t="shared" si="13"/>
        <v>0</v>
      </c>
      <c r="L77" s="374">
        <f t="shared" si="13"/>
        <v>0</v>
      </c>
      <c r="M77" s="374">
        <f t="shared" si="13"/>
        <v>0</v>
      </c>
      <c r="N77" s="374">
        <f t="shared" si="13"/>
        <v>0</v>
      </c>
      <c r="O77" s="374">
        <f t="shared" si="13"/>
        <v>0</v>
      </c>
      <c r="P77" s="374">
        <f t="shared" si="13"/>
        <v>0</v>
      </c>
      <c r="Q77" s="374">
        <f t="shared" si="13"/>
        <v>0</v>
      </c>
      <c r="R77" s="374">
        <f t="shared" si="13"/>
        <v>0</v>
      </c>
      <c r="S77" s="374">
        <f t="shared" si="13"/>
        <v>0</v>
      </c>
      <c r="T77" s="374">
        <f t="shared" si="13"/>
        <v>0</v>
      </c>
      <c r="U77" s="374">
        <f t="shared" si="13"/>
        <v>0</v>
      </c>
      <c r="V77" s="374">
        <f t="shared" si="13"/>
        <v>0</v>
      </c>
      <c r="W77" s="374">
        <f t="shared" si="13"/>
        <v>0</v>
      </c>
      <c r="X77" s="374">
        <f t="shared" si="13"/>
        <v>0</v>
      </c>
      <c r="Y77" s="374">
        <f t="shared" si="13"/>
        <v>0</v>
      </c>
      <c r="Z77" s="374">
        <f t="shared" si="13"/>
        <v>0</v>
      </c>
      <c r="AA77" s="374">
        <f t="shared" si="13"/>
        <v>0</v>
      </c>
      <c r="AB77" s="374">
        <f t="shared" si="13"/>
        <v>0</v>
      </c>
      <c r="AC77" s="374">
        <f t="shared" si="13"/>
        <v>0</v>
      </c>
      <c r="AD77" s="374">
        <f t="shared" si="13"/>
        <v>0</v>
      </c>
      <c r="AE77" s="374">
        <f t="shared" si="13"/>
        <v>0</v>
      </c>
    </row>
    <row r="78" spans="1:34" s="311" customFormat="1" ht="12.75" x14ac:dyDescent="0.2">
      <c r="A78" s="370" t="s">
        <v>253</v>
      </c>
      <c r="B78" s="374">
        <f>IF(SUM($B$71:B71)+SUM($A$78:A78)&gt;0,0,SUM($B$71:B71)-SUM($A$78:A78))</f>
        <v>0</v>
      </c>
      <c r="C78" s="374">
        <f>IF(SUM($B$71:C71)+SUM($A$78:B78)&gt;0,0,SUM($B$71:C71)-SUM($A$78:B78))</f>
        <v>0</v>
      </c>
      <c r="D78" s="374">
        <f>IF(SUM($B$71:D71)+SUM($A$78:C78)&gt;0,0,SUM($B$71:D71)-SUM($A$78:C78))</f>
        <v>0</v>
      </c>
      <c r="E78" s="374">
        <f>IF(SUM($B$71:E71)+SUM($A$78:D78)&gt;0,0,SUM($B$71:E71)-SUM($A$78:D78))</f>
        <v>0</v>
      </c>
      <c r="F78" s="374">
        <f>IF(SUM($B$71:F71)+SUM($A$78:E78)&gt;0,0,SUM($B$71:F71)-SUM($A$78:E78))</f>
        <v>-5197796.0918850116</v>
      </c>
      <c r="G78" s="374">
        <f>IF(SUM($B$71:G71)+SUM($A$78:F78)&gt;0,0,SUM($B$71:G71)-SUM($A$78:F78))</f>
        <v>-7595316.0381278992</v>
      </c>
      <c r="H78" s="374">
        <f>IF(SUM($B$71:H71)+SUM($A$78:G78)&gt;0,0,SUM($B$71:H71)-SUM($A$78:G78))</f>
        <v>-8839683.4383640476</v>
      </c>
      <c r="I78" s="374">
        <f>IF(SUM($B$71:I71)+SUM($A$78:H78)&gt;0,0,SUM($B$71:I71)-SUM($A$78:H78))</f>
        <v>-10172016.405778795</v>
      </c>
      <c r="J78" s="374">
        <f>IF(SUM($B$71:J71)+SUM($A$78:I78)&gt;0,0,SUM($B$71:J71)-SUM($A$78:I78))</f>
        <v>-11003931.906817034</v>
      </c>
      <c r="K78" s="374">
        <f>IF(SUM($B$71:K71)+SUM($A$78:J78)&gt;0,0,SUM($B$71:K71)-SUM($A$78:J78))</f>
        <v>-11879571.949296176</v>
      </c>
      <c r="L78" s="374">
        <f>IF(SUM($B$71:L71)+SUM($A$78:K78)&gt;0,0,SUM($B$71:L71)-SUM($A$78:K78))</f>
        <v>-12734488.454828635</v>
      </c>
      <c r="M78" s="374">
        <f>IF(SUM($B$71:M71)+SUM($A$78:L78)&gt;0,0,SUM($B$71:M71)-SUM($A$78:L78))</f>
        <v>-14453453.283477187</v>
      </c>
      <c r="N78" s="374">
        <f>IF(SUM($B$71:N71)+SUM($A$78:M78)&gt;0,0,SUM($B$71:N71)-SUM($A$78:M78))</f>
        <v>-14216000.652238518</v>
      </c>
      <c r="O78" s="374">
        <f>IF(SUM($B$71:O71)+SUM($A$78:N78)&gt;0,0,SUM($B$71:O71)-SUM($A$78:N78))</f>
        <v>-17176871.487970129</v>
      </c>
      <c r="P78" s="374">
        <f>IF(SUM($B$71:P71)+SUM($A$78:O78)&gt;0,0,SUM($B$71:P71)-SUM($A$78:O78))</f>
        <v>-17072971.232684359</v>
      </c>
      <c r="Q78" s="374">
        <f>IF(SUM($B$71:Q71)+SUM($A$78:P78)&gt;0,0,SUM($B$71:Q71)-SUM($A$78:P78))</f>
        <v>-19218465.045919359</v>
      </c>
      <c r="R78" s="374">
        <f>IF(SUM($B$71:R71)+SUM($A$78:Q78)&gt;0,0,SUM($B$71:R71)-SUM($A$78:Q78))</f>
        <v>-20241387.853946388</v>
      </c>
      <c r="S78" s="374">
        <f>IF(SUM($B$71:S71)+SUM($A$78:R78)&gt;0,0,SUM($B$71:S71)-SUM($A$78:R78))</f>
        <v>-21446836.303136766</v>
      </c>
      <c r="T78" s="374">
        <f>IF(SUM($B$71:T71)+SUM($A$78:S78)&gt;0,0,SUM($B$71:T71)-SUM($A$78:S78))</f>
        <v>-22636613.440419048</v>
      </c>
      <c r="U78" s="374">
        <f>IF(SUM($B$71:U71)+SUM($A$78:T78)&gt;0,0,SUM($B$71:U71)-SUM($A$78:T78))</f>
        <v>-23879954.955291271</v>
      </c>
      <c r="V78" s="374">
        <f>IF(SUM($B$71:V71)+SUM($A$78:U78)&gt;0,0,SUM($B$71:V71)-SUM($A$78:U78))</f>
        <v>-23174443.096776426</v>
      </c>
      <c r="W78" s="374">
        <f>IF(SUM($B$71:W71)+SUM($A$78:V78)&gt;0,0,SUM($B$71:W71)-SUM($A$78:V78))</f>
        <v>-26537519.544502378</v>
      </c>
      <c r="X78" s="374">
        <f>IF(SUM($B$71:X71)+SUM($A$78:W78)&gt;0,0,SUM($B$71:X71)-SUM($A$78:W78))</f>
        <v>-27890307.026788592</v>
      </c>
      <c r="Y78" s="374">
        <f>IF(SUM($B$71:Y71)+SUM($A$78:X78)&gt;0,0,SUM($B$71:Y71)-SUM($A$78:X78))</f>
        <v>-29441123.789928317</v>
      </c>
      <c r="Z78" s="374">
        <f>IF(SUM($B$71:Z71)+SUM($A$78:Y78)&gt;0,0,SUM($B$71:Z71)-SUM($A$78:Y78))</f>
        <v>-30992501.551915646</v>
      </c>
      <c r="AA78" s="374">
        <f>IF(SUM($B$71:AA71)+SUM($A$78:Z78)&gt;0,0,SUM($B$71:AA71)-SUM($A$78:Z78))</f>
        <v>-32614438.920853913</v>
      </c>
      <c r="AB78" s="374">
        <f>IF(SUM($B$71:AB71)+SUM($A$78:AA78)&gt;0,0,SUM($B$71:AB71)-SUM($A$78:AA78))</f>
        <v>-34649702.912337303</v>
      </c>
      <c r="AC78" s="374">
        <f>IF(SUM($B$71:AC71)+SUM($A$78:AB78)&gt;0,0,SUM($B$71:AC71)-SUM($A$78:AB78))</f>
        <v>-39094538.739132047</v>
      </c>
      <c r="AD78" s="374">
        <f>IF(SUM($B$71:AD71)+SUM($A$78:AC78)&gt;0,0,SUM($B$71:AD71)-SUM($A$78:AC78))</f>
        <v>-38927046.783147633</v>
      </c>
      <c r="AE78" s="374">
        <f>IF(SUM($B$71:AE71)+SUM($A$78:AD78)&gt;0,0,SUM($B$71:AE71)-SUM($A$78:AD78))</f>
        <v>-42855785.216685176</v>
      </c>
    </row>
    <row r="79" spans="1:34" s="311" customFormat="1" ht="12.75" x14ac:dyDescent="0.2">
      <c r="A79" s="370" t="s">
        <v>252</v>
      </c>
      <c r="B79" s="374">
        <f>IF(((SUM($B$58:B58)+SUM($B$60:B64))+SUM($B$81:B81))&lt;0,((SUM($B$58:B58)+SUM($B$60:B64))+SUM($B$81:B81))*0.2-SUM($A$79:A79),IF(SUM(A$79:$A79)&lt;0,0-SUM(A$79:$A79),0))</f>
        <v>-1518720.4000000001</v>
      </c>
      <c r="C79" s="374">
        <f>IF(((SUM($B$58:C58)+SUM($B$60:C64))+SUM($B$81:C81))&lt;0,((SUM($B$58:C58)+SUM($B$60:C64))+SUM($B$81:C81))*0.2-SUM($A$79:B79),IF(SUM($A$79:B79)&lt;0,0-SUM($A$79:B79),0))</f>
        <v>-5000000</v>
      </c>
      <c r="D79" s="374">
        <f>IF(((SUM($B$58:D58)+SUM($B$60:D64))+SUM($B$81:D81))&lt;0,((SUM($B$58:D58)+SUM($B$60:D64))+SUM($B$81:D81))*0.2-SUM($A$79:C79),IF(SUM($A$79:C79)&lt;0,0-SUM($A$79:C79),0))</f>
        <v>-19361091.776951559</v>
      </c>
      <c r="E79" s="374">
        <f>IF(((SUM($B$58:E58)+SUM($B$60:E64))+SUM($B$81:E81))&lt;0,((SUM($B$58:E58)+SUM($B$60:E64))+SUM($B$81:E81))*0.2-SUM($A$79:D79),IF(SUM($A$79:D79)&lt;0,0-SUM($A$79:D79),0))</f>
        <v>-42451363.713837326</v>
      </c>
      <c r="F79" s="374">
        <f>IF(((SUM($B$58:F58)+SUM($B$60:F64))+SUM($B$81:F81))&lt;0,((SUM($B$58:F58)+SUM($B$60:F64))+SUM($B$81:F81))*0.2-SUM($A$79:E79),IF(SUM($A$79:E79)&lt;0,0-SUM($A$79:E79),0))</f>
        <v>8650630.6505891979</v>
      </c>
      <c r="G79" s="374">
        <f>IF(((SUM($B$58:G58)+SUM($B$60:G64))+SUM($B$81:G81))&lt;0,((SUM($B$58:G58)+SUM($B$60:G64))+SUM($B$81:G81))*0.2-SUM($A$79:F79),IF(SUM($A$79:F79)&lt;0,0-SUM($A$79:F79),0))</f>
        <v>10998041.067845494</v>
      </c>
      <c r="H79" s="374">
        <f>IF(((SUM($B$58:H58)+SUM($B$60:H64))+SUM($B$81:H81))&lt;0,((SUM($B$58:H58)+SUM($B$60:H64))+SUM($B$81:H81))*0.2-SUM($A$79:G79),IF(SUM($A$79:G79)&lt;0,0-SUM($A$79:G79),0))</f>
        <v>12192298.93909508</v>
      </c>
      <c r="I79" s="374">
        <f>IF(((SUM($B$58:I58)+SUM($B$60:I64))+SUM($B$81:I81))&lt;0,((SUM($B$58:I58)+SUM($B$60:I64))+SUM($B$81:I81))*0.2-SUM($A$79:H79),IF(SUM($A$79:H79)&lt;0,0-SUM($A$79:H79),0))</f>
        <v>13474522.377523236</v>
      </c>
      <c r="J79" s="374">
        <f>IF(((SUM($B$58:J58)+SUM($B$60:J64))+SUM($B$81:J81))&lt;0,((SUM($B$58:J58)+SUM($B$60:J64))+SUM($B$81:J81))*0.2-SUM($A$79:I79),IF(SUM($A$79:I79)&lt;0,0-SUM($A$79:I79),0))</f>
        <v>14256328.349574901</v>
      </c>
      <c r="K79" s="374">
        <f>IF(((SUM($B$58:K58)+SUM($B$60:K64))+SUM($B$81:K81))&lt;0,((SUM($B$58:K58)+SUM($B$60:K64))+SUM($B$81:K81))*0.2-SUM($A$79:J79),IF(SUM($A$79:J79)&lt;0,0-SUM($A$79:J79),0))</f>
        <v>8759354.5061609745</v>
      </c>
      <c r="L79" s="374">
        <f>IF(((SUM($B$58:L58)+SUM($B$60:L64))+SUM($B$81:L81))&lt;0,((SUM($B$58:L58)+SUM($B$60:L64))+SUM($B$81:L81))*0.2-SUM($A$79:K79),IF(SUM($A$79:K79)&lt;0,0-SUM($A$79:K79),0))</f>
        <v>0</v>
      </c>
      <c r="M79" s="374">
        <f>IF(((SUM($B$58:M58)+SUM($B$60:M64))+SUM($B$81:M81))&lt;0,((SUM($B$58:M58)+SUM($B$60:M64))+SUM($B$81:M81))*0.2-SUM($A$79:L79),IF(SUM($A$79:L79)&lt;0,0-SUM($A$79:L79),0))</f>
        <v>0</v>
      </c>
      <c r="N79" s="374">
        <f>IF(((SUM($B$58:N58)+SUM($B$60:N64))+SUM($B$81:N81))&lt;0,((SUM($B$58:N58)+SUM($B$60:N64))+SUM($B$81:N81))*0.2-SUM($A$79:M79),IF(SUM($A$79:M79)&lt;0,0-SUM($A$79:M79),0))</f>
        <v>0</v>
      </c>
      <c r="O79" s="374">
        <f>IF(((SUM($B$58:O58)+SUM($B$60:O64))+SUM($B$81:O81))&lt;0,((SUM($B$58:O58)+SUM($B$60:O64))+SUM($B$81:O81))*0.2-SUM($A$79:N79),IF(SUM($A$79:N79)&lt;0,0-SUM($A$79:N79),0))</f>
        <v>0</v>
      </c>
      <c r="P79" s="374">
        <f>IF(((SUM($B$58:P58)+SUM($B$60:P64))+SUM($B$81:P81))&lt;0,((SUM($B$58:P58)+SUM($B$60:P64))+SUM($B$81:P81))*0.2-SUM($A$79:O79),IF(SUM($A$79:O79)&lt;0,0-SUM($A$79:O79),0))</f>
        <v>0</v>
      </c>
      <c r="Q79" s="374">
        <f>IF(((SUM($B$58:Q58)+SUM($B$60:Q64))+SUM($B$81:Q81))&lt;0,((SUM($B$58:Q58)+SUM($B$60:Q64))+SUM($B$81:Q81))*0.2-SUM($A$79:P79),IF(SUM($A$79:P79)&lt;0,0-SUM($A$79:P79),0))</f>
        <v>0</v>
      </c>
      <c r="R79" s="374">
        <f>IF(((SUM($B$58:R58)+SUM($B$60:R64))+SUM($B$81:R81))&lt;0,((SUM($B$58:R58)+SUM($B$60:R64))+SUM($B$81:R81))*0.2-SUM($A$79:Q79),IF(SUM($A$79:Q79)&lt;0,0-SUM($A$79:Q79),0))</f>
        <v>0</v>
      </c>
      <c r="S79" s="374">
        <f>IF(((SUM($B$58:S58)+SUM($B$60:S64))+SUM($B$81:S81))&lt;0,((SUM($B$58:S58)+SUM($B$60:S64))+SUM($B$81:S81))*0.2-SUM($A$79:R79),IF(SUM($A$79:R79)&lt;0,0-SUM($A$79:R79),0))</f>
        <v>0</v>
      </c>
      <c r="T79" s="374">
        <f>IF(((SUM($B$58:T58)+SUM($B$60:T64))+SUM($B$81:T81))&lt;0,((SUM($B$58:T58)+SUM($B$60:T64))+SUM($B$81:T81))*0.2-SUM($A$79:S79),IF(SUM($A$79:S79)&lt;0,0-SUM($A$79:S79),0))</f>
        <v>0</v>
      </c>
      <c r="U79" s="374">
        <f>IF(((SUM($B$58:U58)+SUM($B$60:U64))+SUM($B$81:U81))&lt;0,((SUM($B$58:U58)+SUM($B$60:U64))+SUM($B$81:U81))*0.2-SUM($A$79:T79),IF(SUM($A$79:T79)&lt;0,0-SUM($A$79:T79),0))</f>
        <v>0</v>
      </c>
      <c r="V79" s="374">
        <f>IF(((SUM($B$58:V58)+SUM($B$60:V64))+SUM($B$81:V81))&lt;0,((SUM($B$58:V58)+SUM($B$60:V64))+SUM($B$81:V81))*0.2-SUM($A$79:U79),IF(SUM($A$79:U79)&lt;0,0-SUM($A$79:U79),0))</f>
        <v>0</v>
      </c>
      <c r="W79" s="374">
        <f>IF(((SUM($B$58:W58)+SUM($B$60:W64))+SUM($B$81:W81))&lt;0,((SUM($B$58:W58)+SUM($B$60:W64))+SUM($B$81:W81))*0.2-SUM($A$79:V79),IF(SUM($A$79:V79)&lt;0,0-SUM($A$79:V79),0))</f>
        <v>0</v>
      </c>
      <c r="X79" s="374">
        <f>IF(((SUM($B$58:X58)+SUM($B$60:X64))+SUM($B$81:X81))&lt;0,((SUM($B$58:X58)+SUM($B$60:X64))+SUM($B$81:X81))*0.2-SUM($A$79:W79),IF(SUM($A$79:W79)&lt;0,0-SUM($A$79:W79),0))</f>
        <v>0</v>
      </c>
      <c r="Y79" s="374">
        <f>IF(((SUM($B$58:Y58)+SUM($B$60:Y64))+SUM($B$81:Y81))&lt;0,((SUM($B$58:Y58)+SUM($B$60:Y64))+SUM($B$81:Y81))*0.2-SUM($A$79:X79),IF(SUM($A$79:X79)&lt;0,0-SUM($A$79:X79),0))</f>
        <v>0</v>
      </c>
      <c r="Z79" s="374">
        <f>IF(((SUM($B$58:Z58)+SUM($B$60:Z64))+SUM($B$81:Z81))&lt;0,((SUM($B$58:Z58)+SUM($B$60:Z64))+SUM($B$81:Z81))*0.2-SUM($A$79:Y79),IF(SUM($A$79:Y79)&lt;0,0-SUM($A$79:Y79),0))</f>
        <v>0</v>
      </c>
      <c r="AA79" s="374">
        <f>IF(((SUM($B$58:AA58)+SUM($B$60:AA64))+SUM($B$81:AA81))&lt;0,((SUM($B$58:AA58)+SUM($B$60:AA64))+SUM($B$81:AA81))*0.2-SUM($A$79:Z79),IF(SUM($A$79:Z79)&lt;0,0-SUM($A$79:Z79),0))</f>
        <v>0</v>
      </c>
      <c r="AB79" s="374">
        <f>IF(((SUM($B$58:AB58)+SUM($B$60:AB64))+SUM($B$81:AB81))&lt;0,((SUM($B$58:AB58)+SUM($B$60:AB64))+SUM($B$81:AB81))*0.2-SUM($A$79:AA79),IF(SUM($A$79:AA79)&lt;0,0-SUM($A$79:AA79),0))</f>
        <v>0</v>
      </c>
      <c r="AC79" s="374">
        <f>IF(((SUM($B$58:AC58)+SUM($B$60:AC64))+SUM($B$81:AC81))&lt;0,((SUM($B$58:AC58)+SUM($B$60:AC64))+SUM($B$81:AC81))*0.2-SUM($A$79:AB79),IF(SUM($A$79:AB79)&lt;0,0-SUM($A$79:AB79),0))</f>
        <v>0</v>
      </c>
      <c r="AD79" s="374">
        <f>IF(((SUM($B$58:AD58)+SUM($B$60:AD64))+SUM($B$81:AD81))&lt;0,((SUM($B$58:AD58)+SUM($B$60:AD64))+SUM($B$81:AD81))*0.2-SUM($A$79:AC79),IF(SUM($A$79:AC79)&lt;0,0-SUM($A$79:AC79),0))</f>
        <v>0</v>
      </c>
      <c r="AE79" s="374">
        <f>IF(((SUM($B$58:AE58)+SUM($B$60:AE64))+SUM($B$81:AE81))&lt;0,((SUM($B$58:AE58)+SUM($B$60:AE64))+SUM($B$81:AE81))*0.2-SUM($A$79:AD79),IF(SUM($A$79:AD79)&lt;0,0-SUM($A$79:AD79),0))</f>
        <v>0</v>
      </c>
    </row>
    <row r="80" spans="1:34" s="311" customFormat="1" ht="12.75" x14ac:dyDescent="0.2">
      <c r="A80" s="370" t="s">
        <v>251</v>
      </c>
      <c r="B80" s="374">
        <f t="shared" ref="B80:AE80" si="14">-B58*(B38)</f>
        <v>0</v>
      </c>
      <c r="C80" s="374">
        <f t="shared" si="14"/>
        <v>0</v>
      </c>
      <c r="D80" s="374">
        <f t="shared" si="14"/>
        <v>0</v>
      </c>
      <c r="E80" s="374">
        <f t="shared" si="14"/>
        <v>0</v>
      </c>
      <c r="F80" s="374">
        <f t="shared" si="14"/>
        <v>0</v>
      </c>
      <c r="G80" s="374">
        <f t="shared" si="14"/>
        <v>0</v>
      </c>
      <c r="H80" s="374">
        <f t="shared" si="14"/>
        <v>0</v>
      </c>
      <c r="I80" s="374">
        <f t="shared" si="14"/>
        <v>0</v>
      </c>
      <c r="J80" s="374">
        <f t="shared" si="14"/>
        <v>0</v>
      </c>
      <c r="K80" s="374">
        <f t="shared" si="14"/>
        <v>0</v>
      </c>
      <c r="L80" s="374">
        <f t="shared" si="14"/>
        <v>0</v>
      </c>
      <c r="M80" s="374">
        <f t="shared" si="14"/>
        <v>0</v>
      </c>
      <c r="N80" s="374">
        <f t="shared" si="14"/>
        <v>0</v>
      </c>
      <c r="O80" s="374">
        <f t="shared" si="14"/>
        <v>0</v>
      </c>
      <c r="P80" s="374">
        <f t="shared" si="14"/>
        <v>0</v>
      </c>
      <c r="Q80" s="374">
        <f t="shared" si="14"/>
        <v>0</v>
      </c>
      <c r="R80" s="374">
        <f t="shared" si="14"/>
        <v>0</v>
      </c>
      <c r="S80" s="374">
        <f t="shared" si="14"/>
        <v>0</v>
      </c>
      <c r="T80" s="374">
        <f t="shared" si="14"/>
        <v>0</v>
      </c>
      <c r="U80" s="374">
        <f t="shared" si="14"/>
        <v>0</v>
      </c>
      <c r="V80" s="374">
        <f t="shared" si="14"/>
        <v>0</v>
      </c>
      <c r="W80" s="374">
        <f t="shared" si="14"/>
        <v>0</v>
      </c>
      <c r="X80" s="374">
        <f t="shared" si="14"/>
        <v>0</v>
      </c>
      <c r="Y80" s="374">
        <f t="shared" si="14"/>
        <v>0</v>
      </c>
      <c r="Z80" s="374">
        <f t="shared" si="14"/>
        <v>0</v>
      </c>
      <c r="AA80" s="374">
        <f t="shared" si="14"/>
        <v>0</v>
      </c>
      <c r="AB80" s="374">
        <f t="shared" si="14"/>
        <v>0</v>
      </c>
      <c r="AC80" s="374">
        <f t="shared" si="14"/>
        <v>0</v>
      </c>
      <c r="AD80" s="374">
        <f t="shared" si="14"/>
        <v>0</v>
      </c>
      <c r="AE80" s="374">
        <f t="shared" si="14"/>
        <v>0</v>
      </c>
    </row>
    <row r="81" spans="1:31" s="311" customFormat="1" ht="12.75" x14ac:dyDescent="0.2">
      <c r="A81" s="370" t="s">
        <v>433</v>
      </c>
      <c r="B81" s="374">
        <f>'6.2. Паспорт фин осв ввод'!N24*1000000*-1</f>
        <v>-7593602</v>
      </c>
      <c r="C81" s="374">
        <f>-'6.2. Паспорт фин осв ввод'!R24*1000000</f>
        <v>-25000000</v>
      </c>
      <c r="D81" s="374">
        <v>-96805458.884757802</v>
      </c>
      <c r="E81" s="374">
        <f>'6.2. Паспорт фин осв ввод'!Z24*1000000*-1</f>
        <v>-212256818.56918657</v>
      </c>
      <c r="F81" s="374">
        <v>0</v>
      </c>
      <c r="G81" s="371"/>
      <c r="H81" s="371"/>
      <c r="I81" s="371"/>
      <c r="J81" s="371"/>
      <c r="K81" s="371"/>
      <c r="L81" s="371"/>
      <c r="M81" s="371"/>
      <c r="N81" s="371"/>
      <c r="O81" s="371"/>
      <c r="P81" s="371"/>
      <c r="Q81" s="371"/>
      <c r="R81" s="371"/>
      <c r="S81" s="371"/>
      <c r="T81" s="371"/>
      <c r="U81" s="371"/>
      <c r="V81" s="371"/>
      <c r="W81" s="371"/>
      <c r="X81" s="371"/>
      <c r="Y81" s="371"/>
      <c r="Z81" s="371"/>
      <c r="AA81" s="371"/>
      <c r="AB81" s="371"/>
      <c r="AC81" s="371"/>
      <c r="AD81" s="371"/>
      <c r="AE81" s="371"/>
    </row>
    <row r="82" spans="1:31" s="311" customFormat="1" ht="12.75" x14ac:dyDescent="0.2">
      <c r="A82" s="370" t="s">
        <v>250</v>
      </c>
      <c r="B82" s="371">
        <v>0</v>
      </c>
      <c r="C82" s="371">
        <v>0</v>
      </c>
      <c r="D82" s="371">
        <v>0</v>
      </c>
      <c r="E82" s="371">
        <v>0</v>
      </c>
      <c r="F82" s="371">
        <v>0</v>
      </c>
      <c r="G82" s="371">
        <v>0</v>
      </c>
      <c r="H82" s="371">
        <v>0</v>
      </c>
      <c r="I82" s="371">
        <v>0</v>
      </c>
      <c r="J82" s="371">
        <v>0</v>
      </c>
      <c r="K82" s="371">
        <v>0</v>
      </c>
      <c r="L82" s="371">
        <v>0</v>
      </c>
      <c r="M82" s="371">
        <v>0</v>
      </c>
      <c r="N82" s="371">
        <v>0</v>
      </c>
      <c r="O82" s="371">
        <v>0</v>
      </c>
      <c r="P82" s="371">
        <v>0</v>
      </c>
      <c r="Q82" s="371">
        <v>0</v>
      </c>
      <c r="R82" s="371">
        <v>0</v>
      </c>
      <c r="S82" s="371">
        <v>0</v>
      </c>
      <c r="T82" s="371">
        <v>0</v>
      </c>
      <c r="U82" s="371">
        <v>0</v>
      </c>
      <c r="V82" s="371">
        <v>0</v>
      </c>
      <c r="W82" s="371">
        <v>0</v>
      </c>
      <c r="X82" s="371">
        <v>0</v>
      </c>
      <c r="Y82" s="371">
        <v>0</v>
      </c>
      <c r="Z82" s="371">
        <v>0</v>
      </c>
      <c r="AA82" s="371">
        <v>0</v>
      </c>
      <c r="AB82" s="371">
        <v>0</v>
      </c>
      <c r="AC82" s="371">
        <v>0</v>
      </c>
      <c r="AD82" s="371">
        <v>0</v>
      </c>
      <c r="AE82" s="371">
        <v>0</v>
      </c>
    </row>
    <row r="83" spans="1:31" s="311" customFormat="1" ht="12.75" x14ac:dyDescent="0.2">
      <c r="A83" s="372" t="s">
        <v>249</v>
      </c>
      <c r="B83" s="373">
        <f>SUM(B75:B82)</f>
        <v>-9112322.4000000004</v>
      </c>
      <c r="C83" s="373">
        <f t="shared" ref="C83:AE83" si="15">SUM(C75:C82)</f>
        <v>-30000000</v>
      </c>
      <c r="D83" s="373">
        <f t="shared" si="15"/>
        <v>-116166550.66170937</v>
      </c>
      <c r="E83" s="373">
        <f t="shared" si="15"/>
        <v>-254708182.28302389</v>
      </c>
      <c r="F83" s="373">
        <f t="shared" si="15"/>
        <v>40830344.333260715</v>
      </c>
      <c r="G83" s="373">
        <f t="shared" si="15"/>
        <v>52767834.535488561</v>
      </c>
      <c r="H83" s="373">
        <f t="shared" si="15"/>
        <v>58939562.007682756</v>
      </c>
      <c r="I83" s="373">
        <f t="shared" si="15"/>
        <v>65551117.315769888</v>
      </c>
      <c r="J83" s="373">
        <f t="shared" si="15"/>
        <v>69660585.291974515</v>
      </c>
      <c r="K83" s="373">
        <f t="shared" si="15"/>
        <v>67666171.618477166</v>
      </c>
      <c r="L83" s="373">
        <f t="shared" si="15"/>
        <v>62326483.13444601</v>
      </c>
      <c r="M83" s="373">
        <f t="shared" si="15"/>
        <v>69202342.449040204</v>
      </c>
      <c r="N83" s="373">
        <f t="shared" si="15"/>
        <v>68252531.924085587</v>
      </c>
      <c r="O83" s="373">
        <f t="shared" si="15"/>
        <v>80096015.267012015</v>
      </c>
      <c r="P83" s="373">
        <f t="shared" si="15"/>
        <v>79680414.245868906</v>
      </c>
      <c r="Q83" s="373">
        <f t="shared" si="15"/>
        <v>88262389.498808876</v>
      </c>
      <c r="R83" s="373">
        <f t="shared" si="15"/>
        <v>92354080.730917022</v>
      </c>
      <c r="S83" s="373">
        <f t="shared" si="15"/>
        <v>97175874.527678534</v>
      </c>
      <c r="T83" s="373">
        <f t="shared" si="15"/>
        <v>101934983.07680775</v>
      </c>
      <c r="U83" s="373">
        <f t="shared" si="15"/>
        <v>106908349.13629654</v>
      </c>
      <c r="V83" s="373">
        <f t="shared" si="15"/>
        <v>104086301.70223717</v>
      </c>
      <c r="W83" s="373">
        <f t="shared" si="15"/>
        <v>117538607.49314091</v>
      </c>
      <c r="X83" s="373">
        <f t="shared" si="15"/>
        <v>122949757.4222858</v>
      </c>
      <c r="Y83" s="373">
        <f t="shared" si="15"/>
        <v>129153024.47484481</v>
      </c>
      <c r="Z83" s="373">
        <f t="shared" si="15"/>
        <v>135358535.52279395</v>
      </c>
      <c r="AA83" s="373">
        <f t="shared" si="15"/>
        <v>141846284.99854726</v>
      </c>
      <c r="AB83" s="373">
        <f t="shared" si="15"/>
        <v>149987340.96448076</v>
      </c>
      <c r="AC83" s="373">
        <f t="shared" si="15"/>
        <v>156378154.95652828</v>
      </c>
      <c r="AD83" s="373">
        <f t="shared" si="15"/>
        <v>155708187.13259038</v>
      </c>
      <c r="AE83" s="373">
        <f t="shared" si="15"/>
        <v>171423140.86674091</v>
      </c>
    </row>
    <row r="84" spans="1:31" s="311" customFormat="1" ht="12.75" x14ac:dyDescent="0.2">
      <c r="A84" s="372" t="s">
        <v>646</v>
      </c>
      <c r="B84" s="373">
        <f>SUM($B$83:B83)</f>
        <v>-9112322.4000000004</v>
      </c>
      <c r="C84" s="373">
        <f>SUM($B$83:C83)</f>
        <v>-39112322.399999999</v>
      </c>
      <c r="D84" s="373">
        <f>SUM($B$83:D83)</f>
        <v>-155278873.06170937</v>
      </c>
      <c r="E84" s="373">
        <f>SUM($B$83:E83)</f>
        <v>-409987055.34473324</v>
      </c>
      <c r="F84" s="373">
        <f>SUM($B$83:F83)</f>
        <v>-369156711.01147252</v>
      </c>
      <c r="G84" s="373">
        <f>SUM($B$83:G83)</f>
        <v>-316388876.47598398</v>
      </c>
      <c r="H84" s="373">
        <f>SUM($B$83:H83)</f>
        <v>-257449314.46830124</v>
      </c>
      <c r="I84" s="373">
        <f>SUM($B$83:I83)</f>
        <v>-191898197.15253136</v>
      </c>
      <c r="J84" s="373">
        <f>SUM($B$83:J83)</f>
        <v>-122237611.86055684</v>
      </c>
      <c r="K84" s="373">
        <f>SUM($B$83:K83)</f>
        <v>-54571440.242079675</v>
      </c>
      <c r="L84" s="373">
        <f>SUM($B$83:L83)</f>
        <v>7755042.8923663348</v>
      </c>
      <c r="M84" s="373">
        <f>SUM($B$83:M83)</f>
        <v>76957385.341406539</v>
      </c>
      <c r="N84" s="373">
        <f>SUM($B$83:N83)</f>
        <v>145209917.26549214</v>
      </c>
      <c r="O84" s="373">
        <f>SUM($B$83:O83)</f>
        <v>225305932.53250414</v>
      </c>
      <c r="P84" s="373">
        <f>SUM($B$83:P83)</f>
        <v>304986346.77837306</v>
      </c>
      <c r="Q84" s="373">
        <f>SUM($B$83:Q83)</f>
        <v>393248736.27718192</v>
      </c>
      <c r="R84" s="373">
        <f>SUM($B$83:R83)</f>
        <v>485602817.00809896</v>
      </c>
      <c r="S84" s="373">
        <f>SUM($B$83:S83)</f>
        <v>582778691.53577745</v>
      </c>
      <c r="T84" s="373">
        <f>SUM($B$83:T83)</f>
        <v>684713674.61258519</v>
      </c>
      <c r="U84" s="373">
        <f>SUM($B$83:U83)</f>
        <v>791622023.7488817</v>
      </c>
      <c r="V84" s="373">
        <f>SUM($B$83:V83)</f>
        <v>895708325.45111883</v>
      </c>
      <c r="W84" s="373">
        <f>SUM($B$83:W83)</f>
        <v>1013246932.9442598</v>
      </c>
      <c r="X84" s="373">
        <f>SUM($B$83:X83)</f>
        <v>1136196690.3665457</v>
      </c>
      <c r="Y84" s="373">
        <f>SUM($B$83:Y83)</f>
        <v>1265349714.8413906</v>
      </c>
      <c r="Z84" s="373">
        <f>SUM($B$83:Z83)</f>
        <v>1400708250.3641846</v>
      </c>
      <c r="AA84" s="373">
        <f>SUM($B$83:AA83)</f>
        <v>1542554535.3627319</v>
      </c>
      <c r="AB84" s="373">
        <f>SUM($B$83:AB83)</f>
        <v>1692541876.3272128</v>
      </c>
      <c r="AC84" s="373">
        <f>SUM($B$83:AC83)</f>
        <v>1848920031.283741</v>
      </c>
      <c r="AD84" s="373">
        <f>SUM($B$83:AD83)</f>
        <v>2004628218.4163313</v>
      </c>
      <c r="AE84" s="373">
        <f>SUM($B$83:AE83)</f>
        <v>2176051359.283072</v>
      </c>
    </row>
    <row r="85" spans="1:31" s="311" customFormat="1" ht="27" customHeight="1" x14ac:dyDescent="0.2">
      <c r="A85" s="380" t="s">
        <v>434</v>
      </c>
      <c r="B85" s="381">
        <f t="shared" ref="B85:AE85" si="16">1/POWER((1+$B$43),B73)</f>
        <v>0.95402649883562884</v>
      </c>
      <c r="C85" s="381">
        <f t="shared" si="16"/>
        <v>0.86832301705254278</v>
      </c>
      <c r="D85" s="381">
        <f t="shared" si="16"/>
        <v>0.79031857381682236</v>
      </c>
      <c r="E85" s="381">
        <f t="shared" si="16"/>
        <v>0.71932153801476506</v>
      </c>
      <c r="F85" s="381">
        <f t="shared" si="16"/>
        <v>0.65470241013449082</v>
      </c>
      <c r="G85" s="381">
        <f t="shared" si="16"/>
        <v>0.59588824077044755</v>
      </c>
      <c r="H85" s="381">
        <f t="shared" si="16"/>
        <v>0.54235755053285484</v>
      </c>
      <c r="I85" s="381">
        <f t="shared" si="16"/>
        <v>0.49363570631915432</v>
      </c>
      <c r="J85" s="381">
        <f t="shared" si="16"/>
        <v>0.44929071295090039</v>
      </c>
      <c r="K85" s="381">
        <f t="shared" si="16"/>
        <v>0.40892938286238317</v>
      </c>
      <c r="L85" s="381">
        <f t="shared" si="16"/>
        <v>0.37219384987929666</v>
      </c>
      <c r="M85" s="381">
        <f t="shared" si="16"/>
        <v>0.3387583961766602</v>
      </c>
      <c r="N85" s="381">
        <f t="shared" si="16"/>
        <v>0.30832656428202437</v>
      </c>
      <c r="O85" s="381">
        <f t="shared" si="16"/>
        <v>0.28062852851736092</v>
      </c>
      <c r="P85" s="381">
        <f t="shared" si="16"/>
        <v>0.25541870257336935</v>
      </c>
      <c r="Q85" s="381">
        <f t="shared" si="16"/>
        <v>0.23247356200361272</v>
      </c>
      <c r="R85" s="381">
        <f t="shared" si="16"/>
        <v>0.21158966233149432</v>
      </c>
      <c r="S85" s="381">
        <f t="shared" si="16"/>
        <v>0.19258183519750091</v>
      </c>
      <c r="T85" s="381">
        <f t="shared" si="16"/>
        <v>0.17528154655274497</v>
      </c>
      <c r="U85" s="381">
        <f t="shared" si="16"/>
        <v>0.15953540234162647</v>
      </c>
      <c r="V85" s="381">
        <f t="shared" si="16"/>
        <v>0.14520378842416171</v>
      </c>
      <c r="W85" s="381">
        <f t="shared" si="16"/>
        <v>0.13215963267876735</v>
      </c>
      <c r="X85" s="381">
        <f t="shared" si="16"/>
        <v>0.12028727830960895</v>
      </c>
      <c r="Y85" s="381">
        <f t="shared" si="16"/>
        <v>0.10948145836862559</v>
      </c>
      <c r="Z85" s="381">
        <f t="shared" si="16"/>
        <v>9.9646362399768443E-2</v>
      </c>
      <c r="AA85" s="381">
        <f t="shared" si="16"/>
        <v>9.0694786929797461E-2</v>
      </c>
      <c r="AB85" s="381">
        <f t="shared" si="16"/>
        <v>8.2547362273411681E-2</v>
      </c>
      <c r="AC85" s="381">
        <f t="shared" si="16"/>
        <v>7.5131848797134526E-2</v>
      </c>
      <c r="AD85" s="381">
        <f t="shared" si="16"/>
        <v>6.8382496402234039E-2</v>
      </c>
      <c r="AE85" s="381">
        <f t="shared" si="16"/>
        <v>6.2239461547496142E-2</v>
      </c>
    </row>
    <row r="86" spans="1:31" s="311" customFormat="1" ht="12.75" x14ac:dyDescent="0.2">
      <c r="A86" s="379" t="s">
        <v>647</v>
      </c>
      <c r="B86" s="373">
        <f t="shared" ref="B86:AE86" si="17">B83*B85</f>
        <v>-8693397.0355334748</v>
      </c>
      <c r="C86" s="373">
        <f t="shared" si="17"/>
        <v>-26049690.511576284</v>
      </c>
      <c r="D86" s="373">
        <f t="shared" si="17"/>
        <v>-91808582.644181788</v>
      </c>
      <c r="E86" s="373">
        <f t="shared" si="17"/>
        <v>-183217081.42476988</v>
      </c>
      <c r="F86" s="373">
        <f t="shared" si="17"/>
        <v>26731724.841606941</v>
      </c>
      <c r="G86" s="373">
        <f t="shared" si="17"/>
        <v>31443732.090618346</v>
      </c>
      <c r="H86" s="373">
        <f t="shared" si="17"/>
        <v>31966316.47996613</v>
      </c>
      <c r="I86" s="373">
        <f t="shared" si="17"/>
        <v>32358372.096179817</v>
      </c>
      <c r="J86" s="373">
        <f t="shared" si="17"/>
        <v>31297854.030408237</v>
      </c>
      <c r="K86" s="373">
        <f t="shared" si="17"/>
        <v>27670685.800603975</v>
      </c>
      <c r="L86" s="373">
        <f t="shared" si="17"/>
        <v>23197533.707246512</v>
      </c>
      <c r="M86" s="373">
        <f t="shared" si="17"/>
        <v>23442874.53970487</v>
      </c>
      <c r="N86" s="373">
        <f t="shared" si="17"/>
        <v>21044068.671702497</v>
      </c>
      <c r="O86" s="373">
        <f t="shared" si="17"/>
        <v>22477226.904485658</v>
      </c>
      <c r="P86" s="373">
        <f t="shared" si="17"/>
        <v>20351868.027188454</v>
      </c>
      <c r="Q86" s="373">
        <f t="shared" si="17"/>
        <v>20518672.07773836</v>
      </c>
      <c r="R86" s="373">
        <f t="shared" si="17"/>
        <v>19541168.756790299</v>
      </c>
      <c r="S86" s="373">
        <f t="shared" si="17"/>
        <v>18714308.253462415</v>
      </c>
      <c r="T86" s="373">
        <f t="shared" si="17"/>
        <v>17867321.481530748</v>
      </c>
      <c r="U86" s="373">
        <f t="shared" si="17"/>
        <v>17055666.493138142</v>
      </c>
      <c r="V86" s="373">
        <f t="shared" si="17"/>
        <v>15113725.330225108</v>
      </c>
      <c r="W86" s="373">
        <f t="shared" si="17"/>
        <v>15533859.191867314</v>
      </c>
      <c r="X86" s="373">
        <f t="shared" si="17"/>
        <v>14789291.689153399</v>
      </c>
      <c r="Y86" s="373">
        <f t="shared" si="17"/>
        <v>14139861.472224806</v>
      </c>
      <c r="Z86" s="373">
        <f t="shared" si="17"/>
        <v>13487985.684606256</v>
      </c>
      <c r="AA86" s="373">
        <f t="shared" si="17"/>
        <v>12864718.59472657</v>
      </c>
      <c r="AB86" s="373">
        <f t="shared" si="17"/>
        <v>12381059.371020714</v>
      </c>
      <c r="AC86" s="373">
        <f t="shared" si="17"/>
        <v>11748979.893368756</v>
      </c>
      <c r="AD86" s="373">
        <f t="shared" si="17"/>
        <v>10647714.546392746</v>
      </c>
      <c r="AE86" s="373">
        <f t="shared" si="17"/>
        <v>10669283.984326536</v>
      </c>
    </row>
    <row r="87" spans="1:31" s="311" customFormat="1" ht="12.75" x14ac:dyDescent="0.2">
      <c r="A87" s="379" t="s">
        <v>648</v>
      </c>
      <c r="B87" s="373">
        <f>SUM($B$86:B86)</f>
        <v>-8693397.0355334748</v>
      </c>
      <c r="C87" s="373">
        <f>SUM($B$86:C86)</f>
        <v>-34743087.54710976</v>
      </c>
      <c r="D87" s="373">
        <f>SUM($B$86:D86)</f>
        <v>-126551670.19129154</v>
      </c>
      <c r="E87" s="373">
        <f>SUM($B$86:E86)</f>
        <v>-309768751.61606145</v>
      </c>
      <c r="F87" s="373">
        <f>SUM($B$86:F86)</f>
        <v>-283037026.77445453</v>
      </c>
      <c r="G87" s="373">
        <f>SUM($B$86:G86)</f>
        <v>-251593294.68383619</v>
      </c>
      <c r="H87" s="373">
        <f>SUM($B$86:H86)</f>
        <v>-219626978.20387006</v>
      </c>
      <c r="I87" s="373">
        <f>SUM($B$86:I86)</f>
        <v>-187268606.10769024</v>
      </c>
      <c r="J87" s="373">
        <f>SUM($B$86:J86)</f>
        <v>-155970752.07728201</v>
      </c>
      <c r="K87" s="373">
        <f>SUM($B$86:K86)</f>
        <v>-128300066.27667804</v>
      </c>
      <c r="L87" s="373">
        <f>SUM($B$86:L86)</f>
        <v>-105102532.56943153</v>
      </c>
      <c r="M87" s="373">
        <f>SUM($B$86:M86)</f>
        <v>-81659658.029726654</v>
      </c>
      <c r="N87" s="373">
        <f>SUM($B$86:N86)</f>
        <v>-60615589.358024158</v>
      </c>
      <c r="O87" s="373">
        <f>SUM($B$86:O86)</f>
        <v>-38138362.4535385</v>
      </c>
      <c r="P87" s="373">
        <f>SUM($B$86:P86)</f>
        <v>-17786494.426350046</v>
      </c>
      <c r="Q87" s="373">
        <f>SUM($B$86:Q86)</f>
        <v>2732177.6513883136</v>
      </c>
      <c r="R87" s="373">
        <f>SUM($B$86:R86)</f>
        <v>22273346.408178613</v>
      </c>
      <c r="S87" s="373">
        <f>SUM($B$86:S86)</f>
        <v>40987654.661641032</v>
      </c>
      <c r="T87" s="373">
        <f>SUM($B$86:T86)</f>
        <v>58854976.14317178</v>
      </c>
      <c r="U87" s="373">
        <f>SUM($B$86:U86)</f>
        <v>75910642.636309922</v>
      </c>
      <c r="V87" s="373">
        <f>SUM($B$86:V86)</f>
        <v>91024367.966535032</v>
      </c>
      <c r="W87" s="373">
        <f>SUM($B$86:W86)</f>
        <v>106558227.15840235</v>
      </c>
      <c r="X87" s="373">
        <f>SUM($B$86:X86)</f>
        <v>121347518.84755576</v>
      </c>
      <c r="Y87" s="373">
        <f>SUM($B$86:Y86)</f>
        <v>135487380.31978056</v>
      </c>
      <c r="Z87" s="373">
        <f>SUM($B$86:Z86)</f>
        <v>148975366.00438681</v>
      </c>
      <c r="AA87" s="373">
        <f>SUM($B$86:AA86)</f>
        <v>161840084.59911337</v>
      </c>
      <c r="AB87" s="373">
        <f>SUM($B$86:AB86)</f>
        <v>174221143.97013408</v>
      </c>
      <c r="AC87" s="373">
        <f>SUM($B$86:AC86)</f>
        <v>185970123.86350283</v>
      </c>
      <c r="AD87" s="373">
        <f>SUM($B$86:AD86)</f>
        <v>196617838.40989557</v>
      </c>
      <c r="AE87" s="373">
        <f>SUM($B$86:AE86)</f>
        <v>207287122.39422211</v>
      </c>
    </row>
    <row r="88" spans="1:31" s="311" customFormat="1" ht="12.75" x14ac:dyDescent="0.2">
      <c r="A88" s="379" t="s">
        <v>649</v>
      </c>
      <c r="B88" s="382">
        <f>IF((ISERR(IRR($B$83:B83))),0,IF(IRR($B$83:B83)&lt;0,0,IRR($B$83:B83)))</f>
        <v>0</v>
      </c>
      <c r="C88" s="382">
        <f>IF((ISERR(IRR($B$83:C83))),0,IF(IRR($B$83:C83)&lt;0,0,IRR($B$83:C83)))</f>
        <v>0</v>
      </c>
      <c r="D88" s="382">
        <f>IF((ISERR(IRR($B$83:D83))),0,IF(IRR($B$83:D83)&lt;0,0,IRR($B$83:D83)))</f>
        <v>0</v>
      </c>
      <c r="E88" s="382">
        <f>IF((ISERR(IRR($B$83:E83))),0,IF(IRR($B$83:E83)&lt;0,0,IRR($B$83:E83)))</f>
        <v>0</v>
      </c>
      <c r="F88" s="382">
        <f>IF((ISERR(IRR($B$83:F83))),0,IF(IRR($B$83:F83)&lt;0,0,IRR($B$83:F83)))</f>
        <v>0</v>
      </c>
      <c r="G88" s="382">
        <f>IF((ISERR(IRR($B$83:G83))),0,IF(IRR($B$83:G83)&lt;0,0,IRR($B$83:G83)))</f>
        <v>0</v>
      </c>
      <c r="H88" s="382">
        <f>IF((ISERR(IRR($B$83:H83))),0,IF(IRR($B$83:H83)&lt;0,0,IRR($B$83:H83)))</f>
        <v>0</v>
      </c>
      <c r="I88" s="382">
        <f>IF((ISERR(IRR($B$83:I83))),0,IF(IRR($B$83:I83)&lt;0,0,IRR($B$83:I83)))</f>
        <v>0</v>
      </c>
      <c r="J88" s="382">
        <f>IF((ISERR(IRR($B$83:J83))),0,IF(IRR($B$83:J83)&lt;0,0,IRR($B$83:J83)))</f>
        <v>0</v>
      </c>
      <c r="K88" s="382">
        <f>IF((ISERR(IRR($B$83:K83))),0,IF(IRR($B$83:K83)&lt;0,0,IRR($B$83:K83)))</f>
        <v>0</v>
      </c>
      <c r="L88" s="382">
        <f>IF((ISERR(IRR($B$83:L83))),0,IF(IRR($B$83:L83)&lt;0,0,IRR($B$83:L83)))</f>
        <v>3.9597706912328778E-3</v>
      </c>
      <c r="M88" s="382">
        <f>IF((ISERR(IRR($B$83:M83))),0,IF(IRR($B$83:M83)&lt;0,0,IRR($B$83:M83)))</f>
        <v>3.357213581992613E-2</v>
      </c>
      <c r="N88" s="382">
        <f>IF((ISERR(IRR($B$83:N83))),0,IF(IRR($B$83:N83)&lt;0,0,IRR($B$83:N83)))</f>
        <v>5.5150654944985833E-2</v>
      </c>
      <c r="O88" s="382">
        <f>IF((ISERR(IRR($B$83:O83))),0,IF(IRR($B$83:O83)&lt;0,0,IRR($B$83:O83)))</f>
        <v>7.4048688434958931E-2</v>
      </c>
      <c r="P88" s="382">
        <f>IF((ISERR(IRR($B$83:P83))),0,IF(IRR($B$83:P83)&lt;0,0,IRR($B$83:P83)))</f>
        <v>8.8200062231776899E-2</v>
      </c>
      <c r="Q88" s="382">
        <f>IF((ISERR(IRR($B$83:Q83))),0,IF(IRR($B$83:Q83)&lt;0,0,IRR($B$83:Q83)))</f>
        <v>0.10017831146465817</v>
      </c>
      <c r="R88" s="382">
        <f>IF((ISERR(IRR($B$83:R83))),0,IF(IRR($B$83:R83)&lt;0,0,IRR($B$83:R83)))</f>
        <v>0.10983421468496268</v>
      </c>
      <c r="S88" s="382">
        <f>IF((ISERR(IRR($B$83:S83))),0,IF(IRR($B$83:S83)&lt;0,0,IRR($B$83:S83)))</f>
        <v>0.11775222218539017</v>
      </c>
      <c r="T88" s="382">
        <f>IF((ISERR(IRR($B$83:T83))),0,IF(IRR($B$83:T83)&lt;0,0,IRR($B$83:T83)))</f>
        <v>0.12428798861047707</v>
      </c>
      <c r="U88" s="382">
        <f>IF((ISERR(IRR($B$83:U83))),0,IF(IRR($B$83:U83)&lt;0,0,IRR($B$83:U83)))</f>
        <v>0.12972834336210126</v>
      </c>
      <c r="V88" s="382">
        <f>IF((ISERR(IRR($B$83:V83))),0,IF(IRR($B$83:V83)&lt;0,0,IRR($B$83:V83)))</f>
        <v>0.13397804614197995</v>
      </c>
      <c r="W88" s="382">
        <f>IF((ISERR(IRR($B$83:W83))),0,IF(IRR($B$83:W83)&lt;0,0,IRR($B$83:W83)))</f>
        <v>0.13785313908034613</v>
      </c>
      <c r="X88" s="382">
        <f>IF((ISERR(IRR($B$83:X83))),0,IF(IRR($B$83:X83)&lt;0,0,IRR($B$83:X83)))</f>
        <v>0.14113448107740423</v>
      </c>
      <c r="Y88" s="382">
        <f>IF((ISERR(IRR($B$83:Y83))),0,IF(IRR($B$83:Y83)&lt;0,0,IRR($B$83:Y83)))</f>
        <v>0.14393969745782265</v>
      </c>
      <c r="Z88" s="382">
        <f>IF((ISERR(IRR($B$83:Z83))),0,IF(IRR($B$83:Z83)&lt;0,0,IRR($B$83:Z83)))</f>
        <v>0.14634362574278303</v>
      </c>
      <c r="AA88" s="382">
        <f>IF((ISERR(IRR($B$83:AA83))),0,IF(IRR($B$83:AA83)&lt;0,0,IRR($B$83:AA83)))</f>
        <v>0.14841229538028244</v>
      </c>
      <c r="AB88" s="382">
        <f>IF((ISERR(IRR($B$83:AB83))),0,IF(IRR($B$83:AB83)&lt;0,0,IRR($B$83:AB83)))</f>
        <v>0.15021507997512762</v>
      </c>
      <c r="AC88" s="382">
        <f>IF((ISERR(IRR($B$83:AC83))),0,IF(IRR($B$83:AC83)&lt;0,0,IRR($B$83:AC83)))</f>
        <v>0.1517694736847679</v>
      </c>
      <c r="AD88" s="382">
        <f>IF((ISERR(IRR($B$83:AD83))),0,IF(IRR($B$83:AD83)&lt;0,0,IRR($B$83:AD83)))</f>
        <v>0.15305504153604454</v>
      </c>
      <c r="AE88" s="382">
        <f>IF((ISERR(IRR($B$83:AE83))),0,IF(IRR($B$83:AE83)&lt;0,0,IRR($B$83:AE83)))</f>
        <v>0.15423404714604194</v>
      </c>
    </row>
    <row r="89" spans="1:31" s="311" customFormat="1" ht="12.75" x14ac:dyDescent="0.2">
      <c r="A89" s="379" t="s">
        <v>650</v>
      </c>
      <c r="B89" s="383">
        <f t="shared" ref="B89:AE89" si="18">IF(AND(B84&gt;0,A84&lt;0),(B74-(B84/(B84-A84))),0)</f>
        <v>0</v>
      </c>
      <c r="C89" s="383">
        <f t="shared" si="18"/>
        <v>0</v>
      </c>
      <c r="D89" s="383">
        <f t="shared" si="18"/>
        <v>0</v>
      </c>
      <c r="E89" s="383">
        <f t="shared" si="18"/>
        <v>0</v>
      </c>
      <c r="F89" s="383">
        <f t="shared" si="18"/>
        <v>0</v>
      </c>
      <c r="G89" s="383">
        <f t="shared" si="18"/>
        <v>0</v>
      </c>
      <c r="H89" s="383">
        <f t="shared" si="18"/>
        <v>0</v>
      </c>
      <c r="I89" s="383">
        <f t="shared" si="18"/>
        <v>0</v>
      </c>
      <c r="J89" s="383">
        <f t="shared" si="18"/>
        <v>0</v>
      </c>
      <c r="K89" s="383">
        <f t="shared" si="18"/>
        <v>0</v>
      </c>
      <c r="L89" s="383">
        <f t="shared" si="18"/>
        <v>10.875573873217943</v>
      </c>
      <c r="M89" s="383">
        <f t="shared" si="18"/>
        <v>0</v>
      </c>
      <c r="N89" s="383">
        <f t="shared" si="18"/>
        <v>0</v>
      </c>
      <c r="O89" s="383">
        <f t="shared" si="18"/>
        <v>0</v>
      </c>
      <c r="P89" s="383">
        <f t="shared" si="18"/>
        <v>0</v>
      </c>
      <c r="Q89" s="383">
        <f t="shared" si="18"/>
        <v>0</v>
      </c>
      <c r="R89" s="383">
        <f t="shared" si="18"/>
        <v>0</v>
      </c>
      <c r="S89" s="383">
        <f t="shared" si="18"/>
        <v>0</v>
      </c>
      <c r="T89" s="383">
        <f t="shared" si="18"/>
        <v>0</v>
      </c>
      <c r="U89" s="383">
        <f t="shared" si="18"/>
        <v>0</v>
      </c>
      <c r="V89" s="383">
        <f t="shared" si="18"/>
        <v>0</v>
      </c>
      <c r="W89" s="383">
        <f t="shared" si="18"/>
        <v>0</v>
      </c>
      <c r="X89" s="383">
        <f t="shared" si="18"/>
        <v>0</v>
      </c>
      <c r="Y89" s="383">
        <f t="shared" si="18"/>
        <v>0</v>
      </c>
      <c r="Z89" s="383">
        <f t="shared" si="18"/>
        <v>0</v>
      </c>
      <c r="AA89" s="383">
        <f t="shared" si="18"/>
        <v>0</v>
      </c>
      <c r="AB89" s="383">
        <f t="shared" si="18"/>
        <v>0</v>
      </c>
      <c r="AC89" s="383">
        <f t="shared" si="18"/>
        <v>0</v>
      </c>
      <c r="AD89" s="383">
        <f t="shared" si="18"/>
        <v>0</v>
      </c>
      <c r="AE89" s="383">
        <f t="shared" si="18"/>
        <v>0</v>
      </c>
    </row>
    <row r="90" spans="1:31" s="311" customFormat="1" ht="13.5" thickBot="1" x14ac:dyDescent="0.25">
      <c r="A90" s="384" t="s">
        <v>651</v>
      </c>
      <c r="B90" s="385">
        <f t="shared" ref="B90:AE90" si="19">IF(AND(B87&gt;0,A87&lt;0),(B74-(B87/(B87-A87))),0)</f>
        <v>0</v>
      </c>
      <c r="C90" s="385">
        <f t="shared" si="19"/>
        <v>0</v>
      </c>
      <c r="D90" s="385">
        <f t="shared" si="19"/>
        <v>0</v>
      </c>
      <c r="E90" s="385">
        <f t="shared" si="19"/>
        <v>0</v>
      </c>
      <c r="F90" s="385">
        <f t="shared" si="19"/>
        <v>0</v>
      </c>
      <c r="G90" s="385">
        <f t="shared" si="19"/>
        <v>0</v>
      </c>
      <c r="H90" s="385">
        <f t="shared" si="19"/>
        <v>0</v>
      </c>
      <c r="I90" s="385">
        <f t="shared" si="19"/>
        <v>0</v>
      </c>
      <c r="J90" s="385">
        <f t="shared" si="19"/>
        <v>0</v>
      </c>
      <c r="K90" s="385">
        <f t="shared" si="19"/>
        <v>0</v>
      </c>
      <c r="L90" s="385">
        <f t="shared" si="19"/>
        <v>0</v>
      </c>
      <c r="M90" s="385">
        <f t="shared" si="19"/>
        <v>0</v>
      </c>
      <c r="N90" s="385">
        <f t="shared" si="19"/>
        <v>0</v>
      </c>
      <c r="O90" s="385">
        <f t="shared" si="19"/>
        <v>0</v>
      </c>
      <c r="P90" s="385">
        <f t="shared" si="19"/>
        <v>0</v>
      </c>
      <c r="Q90" s="385">
        <f t="shared" si="19"/>
        <v>15.866844323987586</v>
      </c>
      <c r="R90" s="385">
        <f t="shared" si="19"/>
        <v>0</v>
      </c>
      <c r="S90" s="385">
        <f t="shared" si="19"/>
        <v>0</v>
      </c>
      <c r="T90" s="385">
        <f t="shared" si="19"/>
        <v>0</v>
      </c>
      <c r="U90" s="385">
        <f t="shared" si="19"/>
        <v>0</v>
      </c>
      <c r="V90" s="385">
        <f t="shared" si="19"/>
        <v>0</v>
      </c>
      <c r="W90" s="385">
        <f t="shared" si="19"/>
        <v>0</v>
      </c>
      <c r="X90" s="385">
        <f t="shared" si="19"/>
        <v>0</v>
      </c>
      <c r="Y90" s="385">
        <f t="shared" si="19"/>
        <v>0</v>
      </c>
      <c r="Z90" s="385">
        <f t="shared" si="19"/>
        <v>0</v>
      </c>
      <c r="AA90" s="385">
        <f t="shared" si="19"/>
        <v>0</v>
      </c>
      <c r="AB90" s="385">
        <f t="shared" si="19"/>
        <v>0</v>
      </c>
      <c r="AC90" s="385">
        <f t="shared" si="19"/>
        <v>0</v>
      </c>
      <c r="AD90" s="385">
        <f t="shared" si="19"/>
        <v>0</v>
      </c>
      <c r="AE90" s="385">
        <f t="shared" si="19"/>
        <v>0</v>
      </c>
    </row>
    <row r="91" spans="1:31" s="311" customFormat="1" ht="12.75" x14ac:dyDescent="0.2">
      <c r="A91" s="386"/>
      <c r="B91" s="386">
        <v>2021</v>
      </c>
      <c r="C91" s="386">
        <f t="shared" ref="C91:AE92" si="20">B91+1</f>
        <v>2022</v>
      </c>
      <c r="D91" s="386">
        <f t="shared" si="20"/>
        <v>2023</v>
      </c>
      <c r="E91" s="386">
        <f t="shared" si="20"/>
        <v>2024</v>
      </c>
      <c r="F91" s="386">
        <f t="shared" si="20"/>
        <v>2025</v>
      </c>
      <c r="G91" s="386">
        <f t="shared" si="20"/>
        <v>2026</v>
      </c>
      <c r="H91" s="386">
        <f t="shared" si="20"/>
        <v>2027</v>
      </c>
      <c r="I91" s="386">
        <f t="shared" si="20"/>
        <v>2028</v>
      </c>
      <c r="J91" s="386">
        <f t="shared" si="20"/>
        <v>2029</v>
      </c>
      <c r="K91" s="386">
        <f t="shared" si="20"/>
        <v>2030</v>
      </c>
      <c r="L91" s="386">
        <f t="shared" si="20"/>
        <v>2031</v>
      </c>
      <c r="M91" s="386">
        <f t="shared" si="20"/>
        <v>2032</v>
      </c>
      <c r="N91" s="386">
        <f t="shared" si="20"/>
        <v>2033</v>
      </c>
      <c r="O91" s="386">
        <f t="shared" si="20"/>
        <v>2034</v>
      </c>
      <c r="P91" s="386">
        <f t="shared" si="20"/>
        <v>2035</v>
      </c>
      <c r="Q91" s="386">
        <f t="shared" si="20"/>
        <v>2036</v>
      </c>
      <c r="R91" s="386">
        <f t="shared" si="20"/>
        <v>2037</v>
      </c>
      <c r="S91" s="386">
        <f t="shared" si="20"/>
        <v>2038</v>
      </c>
      <c r="T91" s="386">
        <f t="shared" si="20"/>
        <v>2039</v>
      </c>
      <c r="U91" s="386">
        <f t="shared" si="20"/>
        <v>2040</v>
      </c>
      <c r="V91" s="386">
        <f t="shared" si="20"/>
        <v>2041</v>
      </c>
      <c r="W91" s="386">
        <f t="shared" si="20"/>
        <v>2042</v>
      </c>
      <c r="X91" s="386">
        <f t="shared" si="20"/>
        <v>2043</v>
      </c>
      <c r="Y91" s="386">
        <f t="shared" si="20"/>
        <v>2044</v>
      </c>
      <c r="Z91" s="386">
        <f t="shared" si="20"/>
        <v>2045</v>
      </c>
      <c r="AA91" s="386">
        <f t="shared" si="20"/>
        <v>2046</v>
      </c>
      <c r="AB91" s="386">
        <f t="shared" si="20"/>
        <v>2047</v>
      </c>
      <c r="AC91" s="386">
        <f t="shared" si="20"/>
        <v>2048</v>
      </c>
      <c r="AD91" s="386">
        <f t="shared" si="20"/>
        <v>2049</v>
      </c>
      <c r="AE91" s="386">
        <f t="shared" si="20"/>
        <v>2050</v>
      </c>
    </row>
    <row r="92" spans="1:31" s="390" customFormat="1" ht="12.75" x14ac:dyDescent="0.2">
      <c r="A92" s="389"/>
      <c r="B92" s="389">
        <v>1</v>
      </c>
      <c r="C92" s="389">
        <f>B92+1</f>
        <v>2</v>
      </c>
      <c r="D92" s="389">
        <f t="shared" si="20"/>
        <v>3</v>
      </c>
      <c r="E92" s="389">
        <f t="shared" si="20"/>
        <v>4</v>
      </c>
      <c r="F92" s="389">
        <f t="shared" si="20"/>
        <v>5</v>
      </c>
      <c r="G92" s="389">
        <f t="shared" si="20"/>
        <v>6</v>
      </c>
      <c r="H92" s="389">
        <f t="shared" si="20"/>
        <v>7</v>
      </c>
      <c r="I92" s="389">
        <f t="shared" si="20"/>
        <v>8</v>
      </c>
      <c r="J92" s="389">
        <f t="shared" si="20"/>
        <v>9</v>
      </c>
      <c r="K92" s="389">
        <f t="shared" si="20"/>
        <v>10</v>
      </c>
      <c r="L92" s="389">
        <f t="shared" si="20"/>
        <v>11</v>
      </c>
      <c r="M92" s="389">
        <f t="shared" si="20"/>
        <v>12</v>
      </c>
      <c r="N92" s="389">
        <f t="shared" si="20"/>
        <v>13</v>
      </c>
      <c r="O92" s="389">
        <f t="shared" si="20"/>
        <v>14</v>
      </c>
      <c r="P92" s="389">
        <f t="shared" si="20"/>
        <v>15</v>
      </c>
      <c r="Q92" s="389">
        <f t="shared" si="20"/>
        <v>16</v>
      </c>
      <c r="R92" s="389">
        <f t="shared" si="20"/>
        <v>17</v>
      </c>
      <c r="S92" s="389">
        <f t="shared" si="20"/>
        <v>18</v>
      </c>
      <c r="T92" s="389">
        <f t="shared" si="20"/>
        <v>19</v>
      </c>
      <c r="U92" s="389">
        <f t="shared" si="20"/>
        <v>20</v>
      </c>
      <c r="V92" s="389">
        <f t="shared" si="20"/>
        <v>21</v>
      </c>
      <c r="W92" s="389">
        <f t="shared" si="20"/>
        <v>22</v>
      </c>
      <c r="X92" s="389">
        <f t="shared" si="20"/>
        <v>23</v>
      </c>
      <c r="Y92" s="389">
        <f t="shared" si="20"/>
        <v>24</v>
      </c>
      <c r="Z92" s="389">
        <f t="shared" si="20"/>
        <v>25</v>
      </c>
      <c r="AA92" s="389">
        <f t="shared" si="20"/>
        <v>26</v>
      </c>
      <c r="AB92" s="389">
        <f t="shared" si="20"/>
        <v>27</v>
      </c>
      <c r="AC92" s="389">
        <f t="shared" si="20"/>
        <v>28</v>
      </c>
      <c r="AD92" s="389">
        <f t="shared" si="20"/>
        <v>29</v>
      </c>
      <c r="AE92" s="389">
        <f t="shared" si="20"/>
        <v>30</v>
      </c>
    </row>
    <row r="93" spans="1:31" s="311" customFormat="1" ht="12.75" x14ac:dyDescent="0.2">
      <c r="A93" s="493" t="s">
        <v>652</v>
      </c>
      <c r="B93" s="493"/>
      <c r="C93" s="493"/>
      <c r="D93" s="493"/>
      <c r="E93" s="493"/>
      <c r="F93" s="493"/>
      <c r="G93" s="493"/>
      <c r="H93" s="493"/>
      <c r="I93" s="493"/>
      <c r="J93" s="493"/>
      <c r="K93" s="493"/>
      <c r="L93" s="493"/>
      <c r="M93" s="493"/>
      <c r="N93" s="493"/>
      <c r="O93" s="493"/>
      <c r="P93" s="493"/>
      <c r="Q93" s="493"/>
      <c r="R93" s="493"/>
      <c r="S93" s="493"/>
      <c r="T93" s="493"/>
      <c r="U93" s="493"/>
      <c r="V93" s="493"/>
      <c r="W93" s="493"/>
      <c r="X93" s="493"/>
      <c r="Y93" s="493"/>
      <c r="Z93" s="493"/>
      <c r="AA93" s="493"/>
      <c r="AB93" s="493"/>
      <c r="AC93" s="493"/>
    </row>
    <row r="94" spans="1:31" s="311" customFormat="1" ht="12.75" x14ac:dyDescent="0.2">
      <c r="A94" s="493" t="s">
        <v>653</v>
      </c>
      <c r="B94" s="493"/>
      <c r="C94" s="493"/>
      <c r="D94" s="493"/>
      <c r="E94" s="493"/>
      <c r="F94" s="493"/>
      <c r="G94" s="493"/>
      <c r="H94" s="493"/>
      <c r="I94" s="493"/>
      <c r="J94" s="321"/>
      <c r="K94" s="321"/>
      <c r="L94" s="321"/>
      <c r="M94" s="321"/>
      <c r="N94" s="321"/>
      <c r="O94" s="321"/>
      <c r="P94" s="321"/>
      <c r="Q94" s="321"/>
      <c r="R94" s="321"/>
      <c r="S94" s="321"/>
      <c r="T94" s="321"/>
      <c r="U94" s="321"/>
      <c r="V94" s="321"/>
      <c r="W94" s="321"/>
      <c r="X94" s="321"/>
      <c r="Y94" s="321"/>
      <c r="Z94" s="321"/>
      <c r="AA94" s="321"/>
      <c r="AB94" s="321"/>
      <c r="AC94" s="321"/>
    </row>
    <row r="95" spans="1:31" s="311" customFormat="1" ht="12.75" x14ac:dyDescent="0.2">
      <c r="A95" s="321"/>
      <c r="B95" s="321"/>
      <c r="C95" s="387"/>
      <c r="D95" s="321"/>
      <c r="E95" s="321"/>
      <c r="F95" s="321"/>
      <c r="G95" s="321"/>
      <c r="H95" s="321"/>
      <c r="I95" s="321"/>
      <c r="J95" s="321"/>
      <c r="K95" s="321"/>
      <c r="L95" s="321"/>
      <c r="M95" s="321"/>
      <c r="N95" s="321"/>
      <c r="O95" s="321"/>
      <c r="P95" s="321"/>
      <c r="Q95" s="321"/>
      <c r="R95" s="321"/>
      <c r="S95" s="321"/>
      <c r="T95" s="321"/>
      <c r="U95" s="321"/>
      <c r="V95" s="321"/>
      <c r="W95" s="321"/>
      <c r="X95" s="321"/>
      <c r="Y95" s="321"/>
      <c r="Z95" s="321"/>
      <c r="AA95" s="321"/>
      <c r="AB95" s="321"/>
      <c r="AC95" s="321"/>
    </row>
    <row r="96" spans="1:31" s="311" customFormat="1" ht="12.75" x14ac:dyDescent="0.2">
      <c r="A96" s="321"/>
      <c r="B96" s="321"/>
      <c r="C96" s="321"/>
      <c r="D96" s="321"/>
      <c r="E96" s="321"/>
      <c r="F96" s="321"/>
      <c r="G96" s="321"/>
      <c r="H96" s="321"/>
      <c r="I96" s="321"/>
      <c r="J96" s="321"/>
      <c r="K96" s="321"/>
      <c r="L96" s="321"/>
      <c r="M96" s="321"/>
      <c r="N96" s="321"/>
      <c r="O96" s="321"/>
      <c r="P96" s="321"/>
      <c r="Q96" s="321"/>
      <c r="R96" s="321"/>
      <c r="S96" s="321"/>
      <c r="T96" s="321"/>
      <c r="U96" s="321"/>
      <c r="V96" s="321"/>
      <c r="W96" s="321"/>
      <c r="X96" s="321"/>
      <c r="Y96" s="321"/>
      <c r="Z96" s="321"/>
      <c r="AA96" s="321"/>
      <c r="AB96" s="321"/>
      <c r="AC96" s="321"/>
    </row>
    <row r="97" spans="1:71" s="311" customFormat="1" ht="12.75" x14ac:dyDescent="0.2">
      <c r="N97" s="321"/>
    </row>
    <row r="98" spans="1:71" s="311" customFormat="1" ht="12.75" x14ac:dyDescent="0.2">
      <c r="N98" s="321"/>
    </row>
    <row r="99" spans="1:71" s="311" customFormat="1" ht="12.75" x14ac:dyDescent="0.2">
      <c r="N99" s="321"/>
    </row>
    <row r="100" spans="1:71" s="257" customFormat="1" ht="15.75" x14ac:dyDescent="0.2">
      <c r="A100" s="258" t="s">
        <v>601</v>
      </c>
      <c r="B100" s="259" t="e">
        <f>(A99+-A98)/-A98</f>
        <v>#DIV/0!</v>
      </c>
      <c r="C100" s="253"/>
      <c r="D100" s="253"/>
      <c r="E100" s="253"/>
      <c r="F100" s="253"/>
      <c r="G100" s="253"/>
      <c r="H100" s="253"/>
      <c r="I100" s="253"/>
      <c r="J100" s="253"/>
      <c r="K100" s="253"/>
      <c r="L100" s="253"/>
      <c r="M100" s="253"/>
      <c r="N100" s="253"/>
      <c r="O100" s="253"/>
      <c r="P100" s="253"/>
      <c r="Q100" s="253"/>
      <c r="R100" s="253"/>
      <c r="S100" s="253"/>
      <c r="T100" s="253"/>
      <c r="U100" s="253"/>
      <c r="V100" s="253"/>
      <c r="W100" s="253"/>
      <c r="X100" s="253"/>
      <c r="Y100" s="253"/>
      <c r="Z100" s="253"/>
      <c r="AA100" s="253"/>
      <c r="AB100" s="253"/>
      <c r="AC100" s="253"/>
      <c r="AD100" s="253"/>
      <c r="AE100" s="253"/>
      <c r="AF100" s="253"/>
      <c r="AG100" s="253"/>
      <c r="AH100" s="253"/>
      <c r="AI100" s="253"/>
      <c r="AJ100" s="253"/>
      <c r="AK100" s="253"/>
      <c r="AL100" s="253"/>
      <c r="AM100" s="253"/>
      <c r="AN100" s="253"/>
      <c r="AO100" s="253"/>
      <c r="AP100" s="253"/>
      <c r="AQ100" s="249"/>
      <c r="AR100" s="249"/>
      <c r="AS100" s="249"/>
    </row>
    <row r="101" spans="1:71" s="257" customFormat="1" ht="15.75" x14ac:dyDescent="0.2">
      <c r="A101" s="260"/>
      <c r="B101" s="253"/>
      <c r="C101" s="253"/>
      <c r="D101" s="253"/>
      <c r="E101" s="253"/>
      <c r="F101" s="253"/>
      <c r="G101" s="253"/>
      <c r="H101" s="253"/>
      <c r="I101" s="253"/>
      <c r="J101" s="253"/>
      <c r="K101" s="253"/>
      <c r="L101" s="253"/>
      <c r="M101" s="253"/>
      <c r="N101" s="253"/>
      <c r="O101" s="253"/>
      <c r="P101" s="253"/>
      <c r="Q101" s="253"/>
      <c r="R101" s="253"/>
      <c r="S101" s="253"/>
      <c r="T101" s="253"/>
      <c r="U101" s="253"/>
      <c r="V101" s="253"/>
      <c r="W101" s="253"/>
      <c r="X101" s="253"/>
      <c r="Y101" s="253"/>
      <c r="Z101" s="253"/>
      <c r="AA101" s="253"/>
      <c r="AB101" s="253"/>
      <c r="AC101" s="253"/>
      <c r="AD101" s="253"/>
      <c r="AE101" s="253"/>
      <c r="AF101" s="253"/>
      <c r="AG101" s="253"/>
      <c r="AH101" s="253"/>
      <c r="AI101" s="253"/>
      <c r="AJ101" s="253"/>
      <c r="AK101" s="253"/>
      <c r="AL101" s="253"/>
      <c r="AM101" s="253"/>
      <c r="AN101" s="253"/>
      <c r="AO101" s="253"/>
      <c r="AP101" s="253"/>
      <c r="AQ101" s="249"/>
      <c r="AR101" s="249"/>
      <c r="AS101" s="249"/>
    </row>
    <row r="102" spans="1:71" s="250" customFormat="1" ht="12.75" x14ac:dyDescent="0.2">
      <c r="A102" s="261" t="s">
        <v>602</v>
      </c>
      <c r="B102" s="261" t="s">
        <v>603</v>
      </c>
      <c r="C102" s="261" t="s">
        <v>604</v>
      </c>
      <c r="D102" s="261" t="s">
        <v>605</v>
      </c>
      <c r="E102" s="262"/>
      <c r="F102" s="262"/>
      <c r="G102" s="262"/>
      <c r="H102" s="262"/>
      <c r="I102" s="262"/>
      <c r="J102" s="262"/>
      <c r="K102" s="262"/>
      <c r="L102" s="262"/>
      <c r="M102" s="262"/>
      <c r="N102" s="262"/>
      <c r="O102" s="262"/>
      <c r="P102" s="262"/>
      <c r="Q102" s="262"/>
      <c r="R102" s="262"/>
      <c r="S102" s="262"/>
      <c r="T102" s="262"/>
      <c r="U102" s="262"/>
      <c r="V102" s="262"/>
      <c r="W102" s="262"/>
      <c r="X102" s="262"/>
      <c r="Y102" s="262"/>
      <c r="Z102" s="262"/>
      <c r="AA102" s="262"/>
      <c r="AB102" s="262"/>
      <c r="AC102" s="262"/>
      <c r="AD102" s="262"/>
      <c r="AE102" s="262"/>
      <c r="AF102" s="262"/>
      <c r="AG102" s="262"/>
      <c r="AH102" s="262"/>
      <c r="AI102" s="262"/>
      <c r="AJ102" s="262"/>
      <c r="AK102" s="262"/>
      <c r="AL102" s="262"/>
      <c r="AM102" s="262"/>
      <c r="AN102" s="262"/>
      <c r="AO102" s="262"/>
      <c r="AP102" s="262"/>
      <c r="AQ102" s="249"/>
      <c r="AR102" s="249"/>
      <c r="AS102" s="249"/>
      <c r="AT102" s="262"/>
      <c r="AU102" s="262"/>
      <c r="AV102" s="262"/>
      <c r="AW102" s="262"/>
      <c r="AX102" s="262"/>
      <c r="AY102" s="262"/>
      <c r="AZ102" s="262"/>
      <c r="BA102" s="262"/>
      <c r="BB102" s="262"/>
      <c r="BC102" s="262"/>
      <c r="BD102" s="262"/>
      <c r="BE102" s="262"/>
      <c r="BF102" s="262"/>
      <c r="BG102" s="262"/>
      <c r="BH102" s="262"/>
      <c r="BI102" s="262"/>
      <c r="BJ102" s="262"/>
      <c r="BK102" s="262"/>
      <c r="BL102" s="262"/>
      <c r="BM102" s="262"/>
      <c r="BN102" s="262"/>
      <c r="BO102" s="262"/>
      <c r="BP102" s="262"/>
      <c r="BQ102" s="262"/>
      <c r="BR102" s="262"/>
      <c r="BS102" s="262"/>
    </row>
    <row r="103" spans="1:71" s="250" customFormat="1" ht="12.75" x14ac:dyDescent="0.2">
      <c r="A103" s="263">
        <f>G28/1000/1000</f>
        <v>1.5866844323987584E-5</v>
      </c>
      <c r="B103" s="264">
        <f>L86</f>
        <v>23197533.707246512</v>
      </c>
      <c r="C103" s="265">
        <f>G26</f>
        <v>0</v>
      </c>
      <c r="D103" s="265">
        <f>G27</f>
        <v>10.875573873217943</v>
      </c>
      <c r="E103" s="250" t="s">
        <v>606</v>
      </c>
    </row>
    <row r="104" spans="1:71" s="250" customFormat="1" ht="12.75" x14ac:dyDescent="0.2">
      <c r="A104" s="266"/>
      <c r="B104" s="262"/>
      <c r="C104" s="262"/>
      <c r="D104" s="262"/>
      <c r="E104" s="262"/>
      <c r="F104" s="262"/>
      <c r="G104" s="262"/>
      <c r="H104" s="262"/>
      <c r="I104" s="262"/>
      <c r="J104" s="262"/>
      <c r="K104" s="262"/>
      <c r="L104" s="262"/>
      <c r="M104" s="262"/>
      <c r="N104" s="262"/>
      <c r="O104" s="262"/>
      <c r="P104" s="262"/>
      <c r="Q104" s="262"/>
      <c r="R104" s="262"/>
      <c r="S104" s="262"/>
      <c r="T104" s="262"/>
      <c r="U104" s="262"/>
      <c r="V104" s="262"/>
      <c r="W104" s="262"/>
      <c r="X104" s="262"/>
      <c r="Y104" s="262"/>
      <c r="Z104" s="262"/>
      <c r="AA104" s="262"/>
      <c r="AB104" s="262"/>
      <c r="AC104" s="262"/>
      <c r="AD104" s="262"/>
      <c r="AE104" s="262"/>
      <c r="AF104" s="262"/>
      <c r="AG104" s="262"/>
      <c r="AH104" s="262"/>
      <c r="AI104" s="262"/>
      <c r="AJ104" s="262"/>
      <c r="AK104" s="262"/>
      <c r="AL104" s="262"/>
      <c r="AM104" s="262"/>
      <c r="AN104" s="262"/>
      <c r="AO104" s="262"/>
      <c r="AP104" s="262"/>
      <c r="AQ104" s="249"/>
      <c r="AR104" s="249"/>
      <c r="AS104" s="249"/>
      <c r="AT104" s="262"/>
      <c r="AU104" s="262"/>
      <c r="AV104" s="262"/>
      <c r="AW104" s="262"/>
      <c r="AX104" s="262"/>
      <c r="AY104" s="262"/>
      <c r="AZ104" s="262"/>
      <c r="BA104" s="262"/>
      <c r="BB104" s="262"/>
      <c r="BC104" s="262"/>
      <c r="BD104" s="262"/>
      <c r="BE104" s="262"/>
      <c r="BF104" s="262"/>
      <c r="BG104" s="262"/>
      <c r="BH104" s="262"/>
      <c r="BI104" s="262"/>
      <c r="BJ104" s="262"/>
      <c r="BK104" s="262"/>
      <c r="BL104" s="262"/>
      <c r="BM104" s="262"/>
      <c r="BN104" s="262"/>
      <c r="BO104" s="262"/>
      <c r="BP104" s="262"/>
      <c r="BQ104" s="262"/>
      <c r="BR104" s="262"/>
      <c r="BS104" s="262"/>
    </row>
    <row r="105" spans="1:71" s="250" customFormat="1" ht="12.75" x14ac:dyDescent="0.2">
      <c r="A105" s="267"/>
      <c r="B105" s="268">
        <v>2016</v>
      </c>
      <c r="C105" s="268">
        <v>2017</v>
      </c>
      <c r="D105" s="269">
        <f t="shared" ref="D105:AP105" si="21">C105+1</f>
        <v>2018</v>
      </c>
      <c r="E105" s="269">
        <f t="shared" si="21"/>
        <v>2019</v>
      </c>
      <c r="F105" s="269">
        <f t="shared" si="21"/>
        <v>2020</v>
      </c>
      <c r="G105" s="269">
        <f t="shared" si="21"/>
        <v>2021</v>
      </c>
      <c r="H105" s="269">
        <f t="shared" si="21"/>
        <v>2022</v>
      </c>
      <c r="I105" s="269">
        <f t="shared" si="21"/>
        <v>2023</v>
      </c>
      <c r="J105" s="269">
        <f t="shared" si="21"/>
        <v>2024</v>
      </c>
      <c r="K105" s="269">
        <f t="shared" si="21"/>
        <v>2025</v>
      </c>
      <c r="L105" s="269">
        <f t="shared" si="21"/>
        <v>2026</v>
      </c>
      <c r="M105" s="269">
        <f t="shared" si="21"/>
        <v>2027</v>
      </c>
      <c r="N105" s="269">
        <f t="shared" si="21"/>
        <v>2028</v>
      </c>
      <c r="O105" s="269">
        <f t="shared" si="21"/>
        <v>2029</v>
      </c>
      <c r="P105" s="269">
        <f t="shared" si="21"/>
        <v>2030</v>
      </c>
      <c r="Q105" s="269">
        <f t="shared" si="21"/>
        <v>2031</v>
      </c>
      <c r="R105" s="269">
        <f t="shared" si="21"/>
        <v>2032</v>
      </c>
      <c r="S105" s="269">
        <f t="shared" si="21"/>
        <v>2033</v>
      </c>
      <c r="T105" s="269">
        <f t="shared" si="21"/>
        <v>2034</v>
      </c>
      <c r="U105" s="269">
        <f t="shared" si="21"/>
        <v>2035</v>
      </c>
      <c r="V105" s="269">
        <f t="shared" si="21"/>
        <v>2036</v>
      </c>
      <c r="W105" s="269">
        <f t="shared" si="21"/>
        <v>2037</v>
      </c>
      <c r="X105" s="269">
        <f t="shared" si="21"/>
        <v>2038</v>
      </c>
      <c r="Y105" s="269">
        <f t="shared" si="21"/>
        <v>2039</v>
      </c>
      <c r="Z105" s="269">
        <f t="shared" si="21"/>
        <v>2040</v>
      </c>
      <c r="AA105" s="269">
        <f t="shared" si="21"/>
        <v>2041</v>
      </c>
      <c r="AB105" s="269">
        <f t="shared" si="21"/>
        <v>2042</v>
      </c>
      <c r="AC105" s="269">
        <f t="shared" si="21"/>
        <v>2043</v>
      </c>
      <c r="AD105" s="269">
        <f t="shared" si="21"/>
        <v>2044</v>
      </c>
      <c r="AE105" s="269">
        <f t="shared" si="21"/>
        <v>2045</v>
      </c>
      <c r="AF105" s="269">
        <f t="shared" si="21"/>
        <v>2046</v>
      </c>
      <c r="AG105" s="269">
        <f t="shared" si="21"/>
        <v>2047</v>
      </c>
      <c r="AH105" s="269">
        <f t="shared" si="21"/>
        <v>2048</v>
      </c>
      <c r="AI105" s="269">
        <f t="shared" si="21"/>
        <v>2049</v>
      </c>
      <c r="AJ105" s="269">
        <f t="shared" si="21"/>
        <v>2050</v>
      </c>
      <c r="AK105" s="269">
        <f t="shared" si="21"/>
        <v>2051</v>
      </c>
      <c r="AL105" s="269">
        <f t="shared" si="21"/>
        <v>2052</v>
      </c>
      <c r="AM105" s="269">
        <f t="shared" si="21"/>
        <v>2053</v>
      </c>
      <c r="AN105" s="269">
        <f t="shared" si="21"/>
        <v>2054</v>
      </c>
      <c r="AO105" s="269">
        <f t="shared" si="21"/>
        <v>2055</v>
      </c>
      <c r="AP105" s="269">
        <f t="shared" si="21"/>
        <v>2056</v>
      </c>
      <c r="AQ105" s="249"/>
      <c r="AR105" s="249"/>
      <c r="AS105" s="249"/>
      <c r="AT105" s="257"/>
      <c r="AU105" s="257"/>
      <c r="AV105" s="257"/>
      <c r="AW105" s="257"/>
      <c r="AX105" s="257"/>
      <c r="AY105" s="257"/>
      <c r="AZ105" s="257"/>
      <c r="BA105" s="257"/>
      <c r="BB105" s="257"/>
      <c r="BC105" s="257"/>
      <c r="BD105" s="257"/>
      <c r="BE105" s="257"/>
      <c r="BF105" s="257"/>
      <c r="BG105" s="257"/>
    </row>
    <row r="106" spans="1:71" s="250" customFormat="1" ht="25.5" x14ac:dyDescent="0.2">
      <c r="A106" s="270" t="s">
        <v>607</v>
      </c>
      <c r="B106" s="271"/>
      <c r="C106" s="271">
        <f>C107*$B$111*$B$112*1000</f>
        <v>0</v>
      </c>
      <c r="D106" s="271">
        <f>D107*$B$111*$B$112*1000</f>
        <v>0</v>
      </c>
      <c r="E106" s="271">
        <f>E107*$B$110*$B$109*1000</f>
        <v>0</v>
      </c>
      <c r="F106" s="271">
        <f t="shared" ref="F106:L106" si="22">F107*$B$110*$B$109*1000</f>
        <v>0</v>
      </c>
      <c r="G106" s="271">
        <f t="shared" si="22"/>
        <v>0</v>
      </c>
      <c r="H106" s="271">
        <f t="shared" si="22"/>
        <v>0</v>
      </c>
      <c r="I106" s="271">
        <f t="shared" si="22"/>
        <v>0</v>
      </c>
      <c r="J106" s="271">
        <f t="shared" si="22"/>
        <v>33955145.481600001</v>
      </c>
      <c r="K106" s="271">
        <f t="shared" si="22"/>
        <v>41231248.084800005</v>
      </c>
      <c r="L106" s="271">
        <f t="shared" si="22"/>
        <v>43656615.619199999</v>
      </c>
      <c r="M106" s="271">
        <f>M107*$B$110*$B$109*1000</f>
        <v>46081983.1536</v>
      </c>
      <c r="N106" s="271">
        <f t="shared" ref="N106:AP106" si="23">N107*$B$110*$B$109*1000</f>
        <v>46567056.66048</v>
      </c>
      <c r="O106" s="271">
        <f t="shared" si="23"/>
        <v>47052130.167359985</v>
      </c>
      <c r="P106" s="271">
        <f t="shared" si="23"/>
        <v>47537203.674239993</v>
      </c>
      <c r="Q106" s="271">
        <f t="shared" si="23"/>
        <v>49962571.208639987</v>
      </c>
      <c r="R106" s="271">
        <f t="shared" si="23"/>
        <v>52387938.743039995</v>
      </c>
      <c r="S106" s="271">
        <f t="shared" si="23"/>
        <v>52387938.743039995</v>
      </c>
      <c r="T106" s="271">
        <f t="shared" si="23"/>
        <v>52387938.743039995</v>
      </c>
      <c r="U106" s="271">
        <f t="shared" si="23"/>
        <v>52387938.743039995</v>
      </c>
      <c r="V106" s="271">
        <f t="shared" si="23"/>
        <v>52387938.743039995</v>
      </c>
      <c r="W106" s="271">
        <f t="shared" si="23"/>
        <v>52387938.743039995</v>
      </c>
      <c r="X106" s="271">
        <f t="shared" si="23"/>
        <v>52387938.743039995</v>
      </c>
      <c r="Y106" s="271">
        <f t="shared" si="23"/>
        <v>52387938.743039995</v>
      </c>
      <c r="Z106" s="271">
        <f t="shared" si="23"/>
        <v>52387938.743039995</v>
      </c>
      <c r="AA106" s="271">
        <f t="shared" si="23"/>
        <v>52387938.743039995</v>
      </c>
      <c r="AB106" s="271">
        <f t="shared" si="23"/>
        <v>52387938.743039995</v>
      </c>
      <c r="AC106" s="271">
        <f t="shared" si="23"/>
        <v>52387938.743039995</v>
      </c>
      <c r="AD106" s="271">
        <f t="shared" si="23"/>
        <v>52387938.743039995</v>
      </c>
      <c r="AE106" s="271">
        <f t="shared" si="23"/>
        <v>52387938.743039995</v>
      </c>
      <c r="AF106" s="271">
        <f t="shared" si="23"/>
        <v>52873012.249920011</v>
      </c>
      <c r="AG106" s="271">
        <f t="shared" si="23"/>
        <v>53358085.756800003</v>
      </c>
      <c r="AH106" s="271">
        <f t="shared" si="23"/>
        <v>53358085.756800003</v>
      </c>
      <c r="AI106" s="271">
        <f t="shared" si="23"/>
        <v>53358085.756800003</v>
      </c>
      <c r="AJ106" s="271">
        <f t="shared" si="23"/>
        <v>53358085.756800003</v>
      </c>
      <c r="AK106" s="271">
        <f t="shared" si="23"/>
        <v>53358085.756800003</v>
      </c>
      <c r="AL106" s="271">
        <f t="shared" si="23"/>
        <v>53358085.756800003</v>
      </c>
      <c r="AM106" s="271">
        <f t="shared" si="23"/>
        <v>53358085.756800003</v>
      </c>
      <c r="AN106" s="271">
        <f t="shared" si="23"/>
        <v>53358085.756800003</v>
      </c>
      <c r="AO106" s="271">
        <f t="shared" si="23"/>
        <v>53358085.756800003</v>
      </c>
      <c r="AP106" s="271">
        <f t="shared" si="23"/>
        <v>53358085.756800003</v>
      </c>
      <c r="AQ106" s="249"/>
      <c r="AR106" s="249"/>
      <c r="AS106" s="249"/>
      <c r="AT106" s="257"/>
      <c r="AU106" s="257"/>
      <c r="AV106" s="257"/>
      <c r="AW106" s="257"/>
      <c r="AX106" s="257"/>
      <c r="AY106" s="257"/>
      <c r="AZ106" s="257"/>
      <c r="BA106" s="257"/>
      <c r="BB106" s="257"/>
      <c r="BC106" s="257"/>
      <c r="BD106" s="257"/>
      <c r="BE106" s="257"/>
      <c r="BF106" s="257"/>
      <c r="BG106" s="257"/>
    </row>
    <row r="107" spans="1:71" s="250" customFormat="1" ht="12.75" x14ac:dyDescent="0.2">
      <c r="A107" s="270" t="s">
        <v>608</v>
      </c>
      <c r="B107" s="269"/>
      <c r="C107" s="269">
        <f t="shared" ref="C107:E107" si="24">B107+$I$120*C111</f>
        <v>0</v>
      </c>
      <c r="D107" s="269">
        <f t="shared" si="24"/>
        <v>0</v>
      </c>
      <c r="E107" s="269">
        <f t="shared" si="24"/>
        <v>0</v>
      </c>
      <c r="F107" s="269">
        <f>E107+$I$118*F111</f>
        <v>0</v>
      </c>
      <c r="G107" s="269">
        <f>F107+$I$118*G111</f>
        <v>0</v>
      </c>
      <c r="H107" s="269">
        <f t="shared" ref="H107:AP107" si="25">G107+$I$118*H111</f>
        <v>0</v>
      </c>
      <c r="I107" s="269">
        <f t="shared" si="25"/>
        <v>0</v>
      </c>
      <c r="J107" s="269">
        <f t="shared" si="25"/>
        <v>10.416</v>
      </c>
      <c r="K107" s="269">
        <f t="shared" si="25"/>
        <v>12.648</v>
      </c>
      <c r="L107" s="269">
        <f t="shared" si="25"/>
        <v>13.391999999999999</v>
      </c>
      <c r="M107" s="269">
        <f t="shared" si="25"/>
        <v>14.135999999999999</v>
      </c>
      <c r="N107" s="269">
        <f t="shared" si="25"/>
        <v>14.284799999999999</v>
      </c>
      <c r="O107" s="269">
        <f t="shared" si="25"/>
        <v>14.433599999999998</v>
      </c>
      <c r="P107" s="269">
        <f t="shared" si="25"/>
        <v>14.582399999999998</v>
      </c>
      <c r="Q107" s="269">
        <f t="shared" si="25"/>
        <v>15.326399999999998</v>
      </c>
      <c r="R107" s="269">
        <f t="shared" si="25"/>
        <v>16.070399999999999</v>
      </c>
      <c r="S107" s="269">
        <f t="shared" si="25"/>
        <v>16.070399999999999</v>
      </c>
      <c r="T107" s="269">
        <f t="shared" si="25"/>
        <v>16.070399999999999</v>
      </c>
      <c r="U107" s="269">
        <f t="shared" si="25"/>
        <v>16.070399999999999</v>
      </c>
      <c r="V107" s="269">
        <f t="shared" si="25"/>
        <v>16.070399999999999</v>
      </c>
      <c r="W107" s="269">
        <f t="shared" si="25"/>
        <v>16.070399999999999</v>
      </c>
      <c r="X107" s="269">
        <f t="shared" si="25"/>
        <v>16.070399999999999</v>
      </c>
      <c r="Y107" s="269">
        <f t="shared" si="25"/>
        <v>16.070399999999999</v>
      </c>
      <c r="Z107" s="269">
        <f t="shared" si="25"/>
        <v>16.070399999999999</v>
      </c>
      <c r="AA107" s="269">
        <f t="shared" si="25"/>
        <v>16.070399999999999</v>
      </c>
      <c r="AB107" s="269">
        <f t="shared" si="25"/>
        <v>16.070399999999999</v>
      </c>
      <c r="AC107" s="269">
        <f t="shared" si="25"/>
        <v>16.070399999999999</v>
      </c>
      <c r="AD107" s="269">
        <f t="shared" si="25"/>
        <v>16.070399999999999</v>
      </c>
      <c r="AE107" s="269">
        <f t="shared" si="25"/>
        <v>16.070399999999999</v>
      </c>
      <c r="AF107" s="269">
        <f t="shared" si="25"/>
        <v>16.219200000000001</v>
      </c>
      <c r="AG107" s="269">
        <f t="shared" si="25"/>
        <v>16.368000000000002</v>
      </c>
      <c r="AH107" s="269">
        <f t="shared" si="25"/>
        <v>16.368000000000002</v>
      </c>
      <c r="AI107" s="269">
        <f t="shared" si="25"/>
        <v>16.368000000000002</v>
      </c>
      <c r="AJ107" s="269">
        <f t="shared" si="25"/>
        <v>16.368000000000002</v>
      </c>
      <c r="AK107" s="269">
        <f t="shared" si="25"/>
        <v>16.368000000000002</v>
      </c>
      <c r="AL107" s="269">
        <f t="shared" si="25"/>
        <v>16.368000000000002</v>
      </c>
      <c r="AM107" s="269">
        <f t="shared" si="25"/>
        <v>16.368000000000002</v>
      </c>
      <c r="AN107" s="269">
        <f t="shared" si="25"/>
        <v>16.368000000000002</v>
      </c>
      <c r="AO107" s="269">
        <f t="shared" si="25"/>
        <v>16.368000000000002</v>
      </c>
      <c r="AP107" s="269">
        <f t="shared" si="25"/>
        <v>16.368000000000002</v>
      </c>
      <c r="AQ107" s="249"/>
      <c r="AR107" s="249"/>
      <c r="AS107" s="249"/>
      <c r="AT107" s="257"/>
      <c r="AU107" s="257"/>
      <c r="AV107" s="257"/>
      <c r="AW107" s="257"/>
      <c r="AX107" s="257"/>
      <c r="AY107" s="257"/>
      <c r="AZ107" s="257"/>
      <c r="BA107" s="257"/>
      <c r="BB107" s="257"/>
      <c r="BC107" s="257"/>
      <c r="BD107" s="257"/>
      <c r="BE107" s="257"/>
      <c r="BF107" s="257"/>
      <c r="BG107" s="257"/>
    </row>
    <row r="108" spans="1:71" s="250" customFormat="1" ht="12.75" x14ac:dyDescent="0.2">
      <c r="A108" s="270" t="s">
        <v>609</v>
      </c>
      <c r="B108" s="272">
        <v>0.93</v>
      </c>
      <c r="C108" s="269"/>
      <c r="D108" s="269"/>
      <c r="E108" s="269"/>
      <c r="F108" s="269"/>
      <c r="G108" s="269"/>
      <c r="H108" s="269"/>
      <c r="I108" s="269"/>
      <c r="J108" s="269"/>
      <c r="K108" s="269"/>
      <c r="L108" s="269"/>
      <c r="M108" s="269"/>
      <c r="N108" s="269"/>
      <c r="O108" s="269"/>
      <c r="P108" s="269"/>
      <c r="Q108" s="269"/>
      <c r="R108" s="269"/>
      <c r="S108" s="269"/>
      <c r="T108" s="269"/>
      <c r="U108" s="269"/>
      <c r="V108" s="269"/>
      <c r="W108" s="269"/>
      <c r="X108" s="269"/>
      <c r="Y108" s="269"/>
      <c r="Z108" s="269"/>
      <c r="AA108" s="269"/>
      <c r="AB108" s="269"/>
      <c r="AC108" s="269"/>
      <c r="AD108" s="269"/>
      <c r="AE108" s="269"/>
      <c r="AF108" s="269"/>
      <c r="AG108" s="269"/>
      <c r="AH108" s="269"/>
      <c r="AI108" s="269"/>
      <c r="AJ108" s="269"/>
      <c r="AK108" s="269"/>
      <c r="AL108" s="269"/>
      <c r="AM108" s="269"/>
      <c r="AN108" s="269"/>
      <c r="AO108" s="269"/>
      <c r="AP108" s="269"/>
      <c r="AQ108" s="249"/>
      <c r="AR108" s="249"/>
      <c r="AS108" s="249"/>
      <c r="AT108" s="257"/>
      <c r="AU108" s="257"/>
      <c r="AV108" s="257"/>
      <c r="AW108" s="257"/>
      <c r="AX108" s="257"/>
      <c r="AY108" s="257"/>
      <c r="AZ108" s="257"/>
      <c r="BA108" s="257"/>
      <c r="BB108" s="257"/>
      <c r="BC108" s="257"/>
      <c r="BD108" s="257"/>
      <c r="BE108" s="257"/>
      <c r="BF108" s="257"/>
      <c r="BG108" s="257"/>
    </row>
    <row r="109" spans="1:71" s="250" customFormat="1" ht="12.75" x14ac:dyDescent="0.2">
      <c r="A109" s="270" t="s">
        <v>610</v>
      </c>
      <c r="B109" s="272">
        <v>4380</v>
      </c>
      <c r="C109" s="269"/>
      <c r="D109" s="269"/>
      <c r="E109" s="269"/>
      <c r="F109" s="269"/>
      <c r="G109" s="269"/>
      <c r="H109" s="269"/>
      <c r="I109" s="269"/>
      <c r="J109" s="269"/>
      <c r="K109" s="269"/>
      <c r="L109" s="269"/>
      <c r="M109" s="269"/>
      <c r="N109" s="269"/>
      <c r="O109" s="269"/>
      <c r="P109" s="269"/>
      <c r="Q109" s="269"/>
      <c r="R109" s="269"/>
      <c r="S109" s="269"/>
      <c r="T109" s="269"/>
      <c r="U109" s="269"/>
      <c r="V109" s="269"/>
      <c r="W109" s="269"/>
      <c r="X109" s="269"/>
      <c r="Y109" s="269"/>
      <c r="Z109" s="269"/>
      <c r="AA109" s="269"/>
      <c r="AB109" s="269"/>
      <c r="AC109" s="269"/>
      <c r="AD109" s="269"/>
      <c r="AE109" s="269"/>
      <c r="AF109" s="269"/>
      <c r="AG109" s="269"/>
      <c r="AH109" s="269"/>
      <c r="AI109" s="269"/>
      <c r="AJ109" s="269"/>
      <c r="AK109" s="269"/>
      <c r="AL109" s="269"/>
      <c r="AM109" s="269"/>
      <c r="AN109" s="269"/>
      <c r="AO109" s="269"/>
      <c r="AP109" s="269"/>
      <c r="AQ109" s="249"/>
      <c r="AR109" s="249"/>
      <c r="AS109" s="249"/>
      <c r="AT109" s="257"/>
      <c r="AU109" s="257"/>
      <c r="AV109" s="257"/>
      <c r="AW109" s="257"/>
      <c r="AX109" s="257"/>
      <c r="AY109" s="257"/>
      <c r="AZ109" s="257"/>
      <c r="BA109" s="257"/>
      <c r="BB109" s="257"/>
      <c r="BC109" s="257"/>
      <c r="BD109" s="257"/>
      <c r="BE109" s="257"/>
      <c r="BF109" s="257"/>
      <c r="BG109" s="257"/>
    </row>
    <row r="110" spans="1:71" s="250" customFormat="1" ht="12.75" x14ac:dyDescent="0.2">
      <c r="A110" s="270" t="s">
        <v>611</v>
      </c>
      <c r="B110" s="268">
        <f>$B$129</f>
        <v>0.74426999999999999</v>
      </c>
      <c r="C110" s="269"/>
      <c r="D110" s="269"/>
      <c r="E110" s="269"/>
      <c r="F110" s="269"/>
      <c r="G110" s="269"/>
      <c r="H110" s="269"/>
      <c r="I110" s="269"/>
      <c r="J110" s="269"/>
      <c r="K110" s="269"/>
      <c r="L110" s="269"/>
      <c r="M110" s="269"/>
      <c r="N110" s="269"/>
      <c r="O110" s="269"/>
      <c r="P110" s="269"/>
      <c r="Q110" s="269"/>
      <c r="R110" s="269"/>
      <c r="S110" s="269"/>
      <c r="T110" s="269"/>
      <c r="U110" s="269"/>
      <c r="V110" s="269"/>
      <c r="W110" s="269"/>
      <c r="X110" s="269"/>
      <c r="Y110" s="269"/>
      <c r="Z110" s="269"/>
      <c r="AA110" s="269"/>
      <c r="AB110" s="269"/>
      <c r="AC110" s="269"/>
      <c r="AD110" s="269"/>
      <c r="AE110" s="269"/>
      <c r="AF110" s="269"/>
      <c r="AG110" s="269"/>
      <c r="AH110" s="269"/>
      <c r="AI110" s="269"/>
      <c r="AJ110" s="269"/>
      <c r="AK110" s="269"/>
      <c r="AL110" s="269"/>
      <c r="AM110" s="269"/>
      <c r="AN110" s="269"/>
      <c r="AO110" s="269"/>
      <c r="AP110" s="269"/>
      <c r="AQ110" s="249"/>
      <c r="AR110" s="249"/>
      <c r="AS110" s="249"/>
      <c r="AT110" s="257"/>
      <c r="AU110" s="257"/>
      <c r="AV110" s="257"/>
      <c r="AW110" s="257"/>
      <c r="AX110" s="257"/>
      <c r="AY110" s="257"/>
      <c r="AZ110" s="257"/>
      <c r="BA110" s="257"/>
      <c r="BB110" s="257"/>
      <c r="BC110" s="257"/>
      <c r="BD110" s="257"/>
      <c r="BE110" s="257"/>
      <c r="BF110" s="257"/>
      <c r="BG110" s="257"/>
    </row>
    <row r="111" spans="1:71" s="250" customFormat="1" x14ac:dyDescent="0.2">
      <c r="A111" s="273" t="s">
        <v>612</v>
      </c>
      <c r="B111" s="274">
        <v>0</v>
      </c>
      <c r="C111" s="275">
        <v>0</v>
      </c>
      <c r="D111" s="275">
        <v>0</v>
      </c>
      <c r="E111" s="275">
        <v>0</v>
      </c>
      <c r="F111" s="274">
        <v>0</v>
      </c>
      <c r="G111" s="274">
        <v>0</v>
      </c>
      <c r="H111" s="274">
        <v>0</v>
      </c>
      <c r="I111" s="274">
        <v>0</v>
      </c>
      <c r="J111" s="274">
        <v>0.7</v>
      </c>
      <c r="K111" s="274">
        <v>0.15</v>
      </c>
      <c r="L111" s="274">
        <v>0.05</v>
      </c>
      <c r="M111" s="274">
        <v>0.05</v>
      </c>
      <c r="N111" s="274">
        <v>0.01</v>
      </c>
      <c r="O111" s="274">
        <v>0.01</v>
      </c>
      <c r="P111" s="274">
        <v>0.01</v>
      </c>
      <c r="Q111" s="274">
        <v>0.05</v>
      </c>
      <c r="R111" s="274">
        <v>0.05</v>
      </c>
      <c r="S111" s="274">
        <v>0</v>
      </c>
      <c r="T111" s="274">
        <v>0</v>
      </c>
      <c r="U111" s="274">
        <v>0</v>
      </c>
      <c r="V111" s="274">
        <v>0</v>
      </c>
      <c r="W111" s="274">
        <v>0</v>
      </c>
      <c r="X111" s="274">
        <v>0</v>
      </c>
      <c r="Y111" s="274">
        <v>0</v>
      </c>
      <c r="Z111" s="274">
        <v>0</v>
      </c>
      <c r="AA111" s="274">
        <v>0</v>
      </c>
      <c r="AB111" s="274">
        <v>0</v>
      </c>
      <c r="AC111" s="274">
        <v>0</v>
      </c>
      <c r="AD111" s="274">
        <v>0</v>
      </c>
      <c r="AE111" s="274">
        <v>0</v>
      </c>
      <c r="AF111" s="274">
        <v>0.01</v>
      </c>
      <c r="AG111" s="274">
        <v>0.01</v>
      </c>
      <c r="AH111" s="274">
        <v>0</v>
      </c>
      <c r="AI111" s="274">
        <v>0</v>
      </c>
      <c r="AJ111" s="274">
        <v>0</v>
      </c>
      <c r="AK111" s="274">
        <v>0</v>
      </c>
      <c r="AL111" s="274">
        <v>0</v>
      </c>
      <c r="AM111" s="274">
        <v>0</v>
      </c>
      <c r="AN111" s="274">
        <v>0</v>
      </c>
      <c r="AO111" s="274">
        <v>0</v>
      </c>
      <c r="AP111" s="274">
        <v>0</v>
      </c>
      <c r="AQ111" s="249"/>
      <c r="AR111" s="249"/>
      <c r="AS111" s="249"/>
      <c r="AT111" s="257"/>
      <c r="AU111" s="257"/>
      <c r="AV111" s="257"/>
      <c r="AW111" s="257"/>
      <c r="AX111" s="257"/>
      <c r="AY111" s="257"/>
      <c r="AZ111" s="257"/>
      <c r="BA111" s="257"/>
      <c r="BB111" s="257"/>
      <c r="BC111" s="257"/>
      <c r="BD111" s="257"/>
      <c r="BE111" s="257"/>
      <c r="BF111" s="257"/>
      <c r="BG111" s="257"/>
    </row>
    <row r="112" spans="1:71" s="250" customFormat="1" ht="12.75" x14ac:dyDescent="0.2">
      <c r="A112" s="266"/>
      <c r="B112" s="262"/>
      <c r="C112" s="262"/>
      <c r="D112" s="262"/>
      <c r="E112" s="262"/>
      <c r="F112" s="262"/>
      <c r="G112" s="262"/>
      <c r="H112" s="262"/>
      <c r="I112" s="262"/>
      <c r="J112" s="262"/>
      <c r="K112" s="262"/>
      <c r="L112" s="262"/>
      <c r="M112" s="262"/>
      <c r="N112" s="262"/>
      <c r="O112" s="262"/>
      <c r="P112" s="262"/>
      <c r="Q112" s="262"/>
      <c r="R112" s="262"/>
      <c r="S112" s="262"/>
      <c r="T112" s="262"/>
      <c r="U112" s="262"/>
      <c r="V112" s="262"/>
      <c r="W112" s="262"/>
      <c r="X112" s="262"/>
      <c r="Y112" s="262"/>
      <c r="Z112" s="262"/>
      <c r="AA112" s="262"/>
      <c r="AB112" s="262"/>
      <c r="AC112" s="262"/>
      <c r="AD112" s="262"/>
      <c r="AE112" s="262"/>
      <c r="AF112" s="262"/>
      <c r="AG112" s="262"/>
      <c r="AH112" s="262"/>
      <c r="AI112" s="262"/>
      <c r="AJ112" s="262"/>
      <c r="AK112" s="262"/>
      <c r="AL112" s="262"/>
      <c r="AM112" s="262"/>
      <c r="AN112" s="262"/>
      <c r="AO112" s="262"/>
      <c r="AP112" s="262"/>
      <c r="AQ112" s="249"/>
      <c r="AR112" s="249"/>
      <c r="AS112" s="249"/>
      <c r="AT112" s="262"/>
      <c r="AU112" s="262"/>
      <c r="AV112" s="262"/>
      <c r="AW112" s="262"/>
      <c r="AX112" s="262"/>
      <c r="AY112" s="262"/>
      <c r="AZ112" s="262"/>
      <c r="BA112" s="262"/>
      <c r="BB112" s="262"/>
      <c r="BC112" s="262"/>
      <c r="BD112" s="262"/>
      <c r="BE112" s="262"/>
      <c r="BF112" s="262"/>
      <c r="BG112" s="262"/>
      <c r="BH112" s="262"/>
      <c r="BI112" s="262"/>
      <c r="BJ112" s="262"/>
      <c r="BK112" s="262"/>
      <c r="BL112" s="262"/>
      <c r="BM112" s="262"/>
      <c r="BN112" s="262"/>
      <c r="BO112" s="262"/>
      <c r="BP112" s="262"/>
      <c r="BQ112" s="262"/>
      <c r="BR112" s="262"/>
      <c r="BS112" s="262"/>
    </row>
    <row r="113" spans="1:71" s="250" customFormat="1" ht="12.75" x14ac:dyDescent="0.2">
      <c r="A113" s="266"/>
      <c r="B113" s="262"/>
      <c r="C113" s="262"/>
      <c r="D113" s="262"/>
      <c r="E113" s="262"/>
      <c r="F113" s="262"/>
      <c r="G113" s="262"/>
      <c r="H113" s="262"/>
      <c r="I113" s="262"/>
      <c r="J113" s="262"/>
      <c r="K113" s="262"/>
      <c r="L113" s="262"/>
      <c r="M113" s="262"/>
      <c r="N113" s="262"/>
      <c r="O113" s="262"/>
      <c r="P113" s="262"/>
      <c r="Q113" s="262"/>
      <c r="R113" s="262"/>
      <c r="S113" s="262"/>
      <c r="T113" s="262"/>
      <c r="U113" s="262"/>
      <c r="V113" s="262"/>
      <c r="W113" s="262"/>
      <c r="X113" s="262"/>
      <c r="Y113" s="262"/>
      <c r="Z113" s="262"/>
      <c r="AA113" s="262"/>
      <c r="AB113" s="262"/>
      <c r="AC113" s="262"/>
      <c r="AD113" s="262"/>
      <c r="AE113" s="262"/>
      <c r="AF113" s="262"/>
      <c r="AG113" s="262"/>
      <c r="AH113" s="262"/>
      <c r="AI113" s="262"/>
      <c r="AJ113" s="262"/>
      <c r="AK113" s="262"/>
      <c r="AL113" s="262"/>
      <c r="AM113" s="262"/>
      <c r="AN113" s="262"/>
      <c r="AO113" s="262"/>
      <c r="AP113" s="262"/>
      <c r="AQ113" s="249"/>
      <c r="AR113" s="249"/>
      <c r="AS113" s="249"/>
      <c r="AT113" s="262"/>
      <c r="AU113" s="262"/>
      <c r="AV113" s="262"/>
      <c r="AW113" s="262"/>
      <c r="AX113" s="262"/>
      <c r="AY113" s="262"/>
      <c r="AZ113" s="262"/>
      <c r="BA113" s="262"/>
      <c r="BB113" s="262"/>
      <c r="BC113" s="262"/>
      <c r="BD113" s="262"/>
      <c r="BE113" s="262"/>
      <c r="BF113" s="262"/>
      <c r="BG113" s="262"/>
      <c r="BH113" s="262"/>
      <c r="BI113" s="262"/>
      <c r="BJ113" s="262"/>
      <c r="BK113" s="262"/>
      <c r="BL113" s="262"/>
      <c r="BM113" s="262"/>
      <c r="BN113" s="262"/>
      <c r="BO113" s="262"/>
      <c r="BP113" s="262"/>
      <c r="BQ113" s="262"/>
      <c r="BR113" s="262"/>
      <c r="BS113" s="262"/>
    </row>
    <row r="114" spans="1:71" s="250" customFormat="1" ht="12.75" x14ac:dyDescent="0.2">
      <c r="A114" s="267"/>
      <c r="B114" s="494" t="s">
        <v>613</v>
      </c>
      <c r="C114" s="495"/>
      <c r="D114" s="494" t="s">
        <v>614</v>
      </c>
      <c r="E114" s="495"/>
      <c r="F114" s="267"/>
      <c r="G114" s="267"/>
      <c r="H114" s="267"/>
      <c r="I114" s="267"/>
      <c r="J114" s="267"/>
      <c r="K114" s="262"/>
      <c r="L114" s="262"/>
      <c r="M114" s="262"/>
      <c r="N114" s="262"/>
      <c r="O114" s="262"/>
      <c r="P114" s="262"/>
      <c r="Q114" s="262"/>
      <c r="R114" s="262"/>
      <c r="S114" s="262"/>
      <c r="T114" s="262"/>
      <c r="U114" s="262"/>
      <c r="V114" s="262"/>
      <c r="W114" s="262"/>
      <c r="X114" s="262"/>
      <c r="Y114" s="262"/>
      <c r="Z114" s="262"/>
      <c r="AA114" s="262"/>
      <c r="AB114" s="262"/>
      <c r="AC114" s="262"/>
      <c r="AD114" s="262"/>
      <c r="AE114" s="262"/>
      <c r="AF114" s="262"/>
      <c r="AG114" s="262"/>
      <c r="AH114" s="262"/>
      <c r="AI114" s="262"/>
      <c r="AJ114" s="262"/>
      <c r="AK114" s="262"/>
      <c r="AL114" s="262"/>
      <c r="AM114" s="262"/>
      <c r="AN114" s="262"/>
      <c r="AO114" s="262"/>
      <c r="AP114" s="262"/>
      <c r="AQ114" s="249"/>
      <c r="AR114" s="249"/>
      <c r="AS114" s="249"/>
      <c r="AT114" s="262"/>
      <c r="AU114" s="262"/>
      <c r="AV114" s="262"/>
      <c r="AW114" s="262"/>
      <c r="AX114" s="262"/>
      <c r="AY114" s="262"/>
      <c r="AZ114" s="262"/>
      <c r="BA114" s="262"/>
      <c r="BB114" s="262"/>
      <c r="BC114" s="262"/>
      <c r="BD114" s="262"/>
      <c r="BE114" s="262"/>
      <c r="BF114" s="262"/>
      <c r="BG114" s="262"/>
      <c r="BH114" s="262"/>
      <c r="BI114" s="262"/>
      <c r="BJ114" s="262"/>
      <c r="BK114" s="262"/>
      <c r="BL114" s="262"/>
      <c r="BM114" s="262"/>
      <c r="BN114" s="262"/>
      <c r="BO114" s="262"/>
      <c r="BP114" s="262"/>
      <c r="BQ114" s="262"/>
      <c r="BR114" s="262"/>
      <c r="BS114" s="262"/>
    </row>
    <row r="115" spans="1:71" s="250" customFormat="1" ht="12.75" x14ac:dyDescent="0.2">
      <c r="A115" s="270" t="s">
        <v>615</v>
      </c>
      <c r="B115" s="276"/>
      <c r="C115" s="267" t="s">
        <v>616</v>
      </c>
      <c r="D115" s="276">
        <v>16</v>
      </c>
      <c r="E115" s="267" t="s">
        <v>616</v>
      </c>
      <c r="F115" s="267"/>
      <c r="G115" s="267"/>
      <c r="H115" s="267"/>
      <c r="I115" s="267"/>
      <c r="J115" s="267"/>
      <c r="K115" s="262"/>
      <c r="L115" s="262"/>
      <c r="M115" s="262"/>
      <c r="N115" s="262"/>
      <c r="O115" s="262"/>
      <c r="P115" s="262"/>
      <c r="Q115" s="262"/>
      <c r="R115" s="262"/>
      <c r="S115" s="262"/>
      <c r="T115" s="262"/>
      <c r="U115" s="262"/>
      <c r="V115" s="262"/>
      <c r="W115" s="262"/>
      <c r="X115" s="262"/>
      <c r="Y115" s="262"/>
      <c r="Z115" s="262"/>
      <c r="AA115" s="262"/>
      <c r="AB115" s="262"/>
      <c r="AC115" s="262"/>
      <c r="AD115" s="262"/>
      <c r="AE115" s="262"/>
      <c r="AF115" s="262"/>
      <c r="AG115" s="262"/>
      <c r="AH115" s="262"/>
      <c r="AI115" s="262"/>
      <c r="AJ115" s="262"/>
      <c r="AK115" s="262"/>
      <c r="AL115" s="262"/>
      <c r="AM115" s="262"/>
      <c r="AN115" s="262"/>
      <c r="AO115" s="262"/>
      <c r="AP115" s="262"/>
      <c r="AQ115" s="249"/>
      <c r="AR115" s="249"/>
      <c r="AS115" s="249"/>
      <c r="AT115" s="262"/>
      <c r="AU115" s="262"/>
      <c r="AV115" s="262"/>
      <c r="AW115" s="262"/>
      <c r="AX115" s="262"/>
      <c r="AY115" s="262"/>
      <c r="AZ115" s="262"/>
      <c r="BA115" s="262"/>
      <c r="BB115" s="262"/>
      <c r="BC115" s="262"/>
      <c r="BD115" s="262"/>
      <c r="BE115" s="262"/>
      <c r="BF115" s="262"/>
      <c r="BG115" s="262"/>
      <c r="BH115" s="262"/>
      <c r="BI115" s="262"/>
      <c r="BJ115" s="262"/>
      <c r="BK115" s="262"/>
      <c r="BL115" s="262"/>
      <c r="BM115" s="262"/>
      <c r="BN115" s="262"/>
      <c r="BO115" s="262"/>
      <c r="BP115" s="262"/>
      <c r="BQ115" s="262"/>
      <c r="BR115" s="262"/>
      <c r="BS115" s="262"/>
    </row>
    <row r="116" spans="1:71" s="250" customFormat="1" ht="38.25" x14ac:dyDescent="0.2">
      <c r="A116" s="270" t="s">
        <v>615</v>
      </c>
      <c r="B116" s="267">
        <f>$B$110*B115</f>
        <v>0</v>
      </c>
      <c r="C116" s="267" t="s">
        <v>126</v>
      </c>
      <c r="D116" s="267">
        <f>D115*B108</f>
        <v>14.88</v>
      </c>
      <c r="E116" s="267" t="s">
        <v>126</v>
      </c>
      <c r="F116" s="270" t="s">
        <v>617</v>
      </c>
      <c r="G116" s="267">
        <f>D115-B115</f>
        <v>16</v>
      </c>
      <c r="H116" s="267" t="s">
        <v>616</v>
      </c>
      <c r="I116" s="267">
        <f>$B$108*G116</f>
        <v>14.88</v>
      </c>
      <c r="J116" s="267" t="s">
        <v>126</v>
      </c>
      <c r="K116" s="262"/>
      <c r="L116" s="262"/>
      <c r="M116" s="262"/>
      <c r="N116" s="262"/>
      <c r="O116" s="262"/>
      <c r="P116" s="262"/>
      <c r="Q116" s="262"/>
      <c r="R116" s="262"/>
      <c r="S116" s="262"/>
      <c r="T116" s="262"/>
      <c r="U116" s="262"/>
      <c r="V116" s="262"/>
      <c r="W116" s="262"/>
      <c r="X116" s="262"/>
      <c r="Y116" s="262"/>
      <c r="Z116" s="262"/>
      <c r="AA116" s="262"/>
      <c r="AB116" s="262"/>
      <c r="AC116" s="262"/>
      <c r="AD116" s="262"/>
      <c r="AE116" s="262"/>
      <c r="AF116" s="262"/>
      <c r="AG116" s="262"/>
      <c r="AH116" s="262"/>
      <c r="AI116" s="262"/>
      <c r="AJ116" s="262"/>
      <c r="AK116" s="262"/>
      <c r="AL116" s="262"/>
      <c r="AM116" s="262"/>
      <c r="AN116" s="262"/>
      <c r="AO116" s="262"/>
      <c r="AP116" s="262"/>
      <c r="AQ116" s="249"/>
      <c r="AR116" s="249"/>
      <c r="AS116" s="249"/>
      <c r="AT116" s="262"/>
      <c r="AU116" s="262"/>
      <c r="AV116" s="262"/>
      <c r="AW116" s="262"/>
      <c r="AX116" s="262"/>
      <c r="AY116" s="262"/>
      <c r="AZ116" s="262"/>
      <c r="BA116" s="262"/>
      <c r="BB116" s="262"/>
      <c r="BC116" s="262"/>
      <c r="BD116" s="262"/>
      <c r="BE116" s="262"/>
      <c r="BF116" s="262"/>
      <c r="BG116" s="262"/>
      <c r="BH116" s="262"/>
      <c r="BI116" s="262"/>
      <c r="BJ116" s="262"/>
      <c r="BK116" s="262"/>
      <c r="BL116" s="262"/>
      <c r="BM116" s="262"/>
      <c r="BN116" s="262"/>
      <c r="BO116" s="262"/>
      <c r="BP116" s="262"/>
      <c r="BQ116" s="262"/>
      <c r="BR116" s="262"/>
      <c r="BS116" s="262"/>
    </row>
    <row r="117" spans="1:71" s="250" customFormat="1" ht="25.5" x14ac:dyDescent="0.2">
      <c r="A117" s="267"/>
      <c r="B117" s="267"/>
      <c r="C117" s="267"/>
      <c r="D117" s="267"/>
      <c r="E117" s="267"/>
      <c r="F117" s="270" t="s">
        <v>618</v>
      </c>
      <c r="G117" s="277">
        <v>9.4623655913978499</v>
      </c>
      <c r="H117" s="267" t="s">
        <v>616</v>
      </c>
      <c r="I117" s="276">
        <f>'2. паспорт  ТП'!H22</f>
        <v>8.8000000000000007</v>
      </c>
      <c r="J117" s="267" t="s">
        <v>126</v>
      </c>
      <c r="K117" s="262"/>
      <c r="L117" s="262"/>
      <c r="M117" s="262"/>
      <c r="N117" s="262"/>
      <c r="O117" s="262"/>
      <c r="P117" s="262"/>
      <c r="Q117" s="262"/>
      <c r="R117" s="262"/>
      <c r="S117" s="262"/>
      <c r="T117" s="262"/>
      <c r="U117" s="262"/>
      <c r="V117" s="262"/>
      <c r="W117" s="262"/>
      <c r="X117" s="262"/>
      <c r="Y117" s="262"/>
      <c r="Z117" s="262"/>
      <c r="AA117" s="262"/>
      <c r="AB117" s="262"/>
      <c r="AC117" s="262"/>
      <c r="AD117" s="262"/>
      <c r="AE117" s="262"/>
      <c r="AF117" s="262"/>
      <c r="AG117" s="262"/>
      <c r="AH117" s="262"/>
      <c r="AI117" s="262"/>
      <c r="AJ117" s="262"/>
      <c r="AK117" s="262"/>
      <c r="AL117" s="262"/>
      <c r="AM117" s="262"/>
      <c r="AN117" s="262"/>
      <c r="AO117" s="262"/>
      <c r="AP117" s="262"/>
      <c r="AQ117" s="249"/>
      <c r="AR117" s="249"/>
      <c r="AS117" s="249"/>
      <c r="AT117" s="262"/>
      <c r="AU117" s="262"/>
      <c r="AV117" s="262"/>
      <c r="AW117" s="262"/>
      <c r="AX117" s="262"/>
      <c r="AY117" s="262"/>
      <c r="AZ117" s="262"/>
      <c r="BA117" s="262"/>
      <c r="BB117" s="262"/>
      <c r="BC117" s="262"/>
      <c r="BD117" s="262"/>
      <c r="BE117" s="262"/>
      <c r="BF117" s="262"/>
      <c r="BG117" s="262"/>
      <c r="BH117" s="262"/>
      <c r="BI117" s="262"/>
      <c r="BJ117" s="262"/>
      <c r="BK117" s="262"/>
      <c r="BL117" s="262"/>
      <c r="BM117" s="262"/>
      <c r="BN117" s="262"/>
      <c r="BO117" s="262"/>
      <c r="BP117" s="262"/>
      <c r="BQ117" s="262"/>
      <c r="BR117" s="262"/>
      <c r="BS117" s="262"/>
    </row>
    <row r="118" spans="1:71" s="250" customFormat="1" ht="51" x14ac:dyDescent="0.2">
      <c r="A118" s="278"/>
      <c r="B118" s="279"/>
      <c r="C118" s="279"/>
      <c r="D118" s="279"/>
      <c r="E118" s="279"/>
      <c r="F118" s="280" t="s">
        <v>619</v>
      </c>
      <c r="G118" s="267">
        <f>G116</f>
        <v>16</v>
      </c>
      <c r="H118" s="267" t="s">
        <v>616</v>
      </c>
      <c r="I118" s="272">
        <f>I116</f>
        <v>14.88</v>
      </c>
      <c r="J118" s="267" t="s">
        <v>126</v>
      </c>
      <c r="K118" s="262"/>
      <c r="L118" s="262"/>
      <c r="M118" s="262"/>
      <c r="N118" s="262"/>
      <c r="O118" s="262"/>
      <c r="P118" s="262"/>
      <c r="Q118" s="262"/>
      <c r="R118" s="262"/>
      <c r="S118" s="262"/>
      <c r="T118" s="262"/>
      <c r="U118" s="262"/>
      <c r="V118" s="262"/>
      <c r="W118" s="262"/>
      <c r="X118" s="262"/>
      <c r="Y118" s="262"/>
      <c r="Z118" s="262"/>
      <c r="AA118" s="262"/>
      <c r="AB118" s="262"/>
      <c r="AC118" s="262"/>
      <c r="AD118" s="262"/>
      <c r="AE118" s="262"/>
      <c r="AF118" s="262"/>
      <c r="AG118" s="262"/>
      <c r="AH118" s="262"/>
      <c r="AI118" s="262"/>
      <c r="AJ118" s="262"/>
      <c r="AK118" s="262"/>
      <c r="AL118" s="262"/>
      <c r="AM118" s="262"/>
      <c r="AN118" s="262"/>
      <c r="AO118" s="262"/>
      <c r="AP118" s="262"/>
      <c r="AQ118" s="249"/>
      <c r="AR118" s="249"/>
      <c r="AS118" s="249"/>
      <c r="AT118" s="262"/>
      <c r="AU118" s="262"/>
      <c r="AV118" s="262"/>
      <c r="AW118" s="262"/>
      <c r="AX118" s="262"/>
      <c r="AY118" s="262"/>
      <c r="AZ118" s="262"/>
      <c r="BA118" s="262"/>
      <c r="BB118" s="262"/>
      <c r="BC118" s="262"/>
      <c r="BD118" s="262"/>
      <c r="BE118" s="262"/>
      <c r="BF118" s="262"/>
      <c r="BG118" s="262"/>
      <c r="BH118" s="262"/>
      <c r="BI118" s="262"/>
      <c r="BJ118" s="262"/>
      <c r="BK118" s="262"/>
      <c r="BL118" s="262"/>
      <c r="BM118" s="262"/>
      <c r="BN118" s="262"/>
      <c r="BO118" s="262"/>
      <c r="BP118" s="262"/>
      <c r="BQ118" s="262"/>
      <c r="BR118" s="262"/>
      <c r="BS118" s="262"/>
    </row>
    <row r="119" spans="1:71" s="250" customFormat="1" ht="13.5" thickBot="1" x14ac:dyDescent="0.25">
      <c r="A119" s="281"/>
      <c r="C119" s="262"/>
      <c r="D119" s="262"/>
      <c r="E119" s="262"/>
      <c r="F119" s="262"/>
      <c r="G119" s="262"/>
      <c r="H119" s="262"/>
      <c r="I119" s="262"/>
      <c r="J119" s="262"/>
      <c r="K119" s="262"/>
      <c r="L119" s="262"/>
      <c r="M119" s="262"/>
      <c r="N119" s="262"/>
      <c r="O119" s="262"/>
      <c r="P119" s="262"/>
      <c r="Q119" s="262"/>
      <c r="R119" s="262"/>
      <c r="S119" s="262"/>
      <c r="T119" s="262"/>
      <c r="U119" s="262"/>
      <c r="V119" s="262"/>
      <c r="W119" s="262"/>
      <c r="X119" s="262"/>
      <c r="Y119" s="262"/>
      <c r="Z119" s="262"/>
      <c r="AA119" s="262"/>
      <c r="AB119" s="262"/>
      <c r="AC119" s="262"/>
      <c r="AD119" s="262"/>
      <c r="AE119" s="262"/>
      <c r="AF119" s="262"/>
      <c r="AG119" s="262"/>
      <c r="AH119" s="262"/>
      <c r="AI119" s="262"/>
      <c r="AJ119" s="262"/>
      <c r="AK119" s="262"/>
      <c r="AL119" s="262"/>
      <c r="AM119" s="262"/>
      <c r="AN119" s="262"/>
      <c r="AO119" s="262"/>
      <c r="AP119" s="262"/>
      <c r="AQ119" s="249"/>
      <c r="AR119" s="249"/>
      <c r="AS119" s="249"/>
      <c r="AT119" s="262"/>
      <c r="AU119" s="262"/>
      <c r="AV119" s="262"/>
      <c r="AW119" s="262"/>
      <c r="AX119" s="262"/>
      <c r="AY119" s="262"/>
      <c r="AZ119" s="262"/>
      <c r="BA119" s="262"/>
      <c r="BB119" s="262"/>
      <c r="BC119" s="262"/>
      <c r="BD119" s="262"/>
      <c r="BE119" s="262"/>
      <c r="BF119" s="262"/>
      <c r="BG119" s="262"/>
      <c r="BH119" s="262"/>
      <c r="BI119" s="262"/>
      <c r="BJ119" s="262"/>
      <c r="BK119" s="262"/>
      <c r="BL119" s="262"/>
      <c r="BM119" s="262"/>
      <c r="BN119" s="262"/>
      <c r="BO119" s="262"/>
      <c r="BP119" s="262"/>
      <c r="BQ119" s="262"/>
      <c r="BR119" s="262"/>
      <c r="BS119" s="262"/>
    </row>
    <row r="120" spans="1:71" s="250" customFormat="1" ht="15.75" x14ac:dyDescent="0.2">
      <c r="A120" s="282" t="s">
        <v>620</v>
      </c>
      <c r="B120" s="283">
        <f>B124/1000000</f>
        <v>0</v>
      </c>
      <c r="D120" s="485" t="s">
        <v>284</v>
      </c>
      <c r="E120" s="284" t="s">
        <v>621</v>
      </c>
      <c r="F120" s="285">
        <v>35</v>
      </c>
      <c r="G120" s="486"/>
    </row>
    <row r="121" spans="1:71" s="250" customFormat="1" ht="15.75" x14ac:dyDescent="0.2">
      <c r="A121" s="282" t="s">
        <v>284</v>
      </c>
      <c r="B121" s="286">
        <v>30</v>
      </c>
      <c r="D121" s="485"/>
      <c r="E121" s="284" t="s">
        <v>622</v>
      </c>
      <c r="F121" s="285">
        <v>30</v>
      </c>
      <c r="G121" s="486"/>
    </row>
    <row r="122" spans="1:71" s="250" customFormat="1" ht="15.75" x14ac:dyDescent="0.2">
      <c r="A122" s="282" t="s">
        <v>623</v>
      </c>
      <c r="B122" s="286" t="s">
        <v>624</v>
      </c>
      <c r="C122" s="287" t="s">
        <v>625</v>
      </c>
      <c r="D122" s="485"/>
      <c r="E122" s="284" t="s">
        <v>626</v>
      </c>
      <c r="F122" s="285">
        <v>30</v>
      </c>
      <c r="G122" s="486"/>
    </row>
    <row r="123" spans="1:71" s="250" customFormat="1" ht="15.75" x14ac:dyDescent="0.2">
      <c r="A123" s="288"/>
      <c r="B123" s="289"/>
      <c r="C123" s="287"/>
      <c r="D123" s="485"/>
      <c r="E123" s="284" t="s">
        <v>627</v>
      </c>
      <c r="F123" s="285">
        <v>30</v>
      </c>
      <c r="G123" s="486"/>
    </row>
    <row r="124" spans="1:71" s="250" customFormat="1" ht="12.75" x14ac:dyDescent="0.2">
      <c r="A124" s="282" t="s">
        <v>628</v>
      </c>
      <c r="B124" s="290">
        <f>B126*1000000</f>
        <v>0</v>
      </c>
      <c r="C124" s="290"/>
      <c r="D124" s="290"/>
    </row>
    <row r="125" spans="1:71" s="250" customFormat="1" ht="12.75" x14ac:dyDescent="0.2">
      <c r="A125" s="282" t="s">
        <v>629</v>
      </c>
      <c r="B125" s="291">
        <v>1E-3</v>
      </c>
      <c r="C125" s="250">
        <v>2018</v>
      </c>
      <c r="D125" s="250">
        <v>2019</v>
      </c>
      <c r="E125" s="250">
        <v>2020</v>
      </c>
      <c r="F125" s="250">
        <v>2021</v>
      </c>
      <c r="G125" s="250">
        <v>2022</v>
      </c>
      <c r="H125" s="250">
        <v>2023</v>
      </c>
      <c r="I125" s="250">
        <v>2024</v>
      </c>
    </row>
    <row r="126" spans="1:71" s="250" customFormat="1" ht="12.75" x14ac:dyDescent="0.2">
      <c r="A126" s="281"/>
      <c r="B126" s="292">
        <f>SUM(C126:F126)</f>
        <v>0</v>
      </c>
      <c r="C126" s="292">
        <v>0</v>
      </c>
      <c r="D126" s="292">
        <v>0</v>
      </c>
      <c r="E126" s="292" t="s">
        <v>374</v>
      </c>
      <c r="F126" s="292" t="s">
        <v>374</v>
      </c>
    </row>
    <row r="127" spans="1:71" s="250" customFormat="1" ht="25.5" x14ac:dyDescent="0.2">
      <c r="A127" s="282" t="s">
        <v>630</v>
      </c>
      <c r="B127" s="293">
        <v>9.8699999999999996E-2</v>
      </c>
    </row>
    <row r="128" spans="1:71" s="250" customFormat="1" ht="15.75" x14ac:dyDescent="0.2">
      <c r="A128" s="294"/>
      <c r="B128" s="295"/>
    </row>
    <row r="129" spans="1:51" s="250" customFormat="1" ht="25.5" x14ac:dyDescent="0.2">
      <c r="A129" s="296" t="s">
        <v>631</v>
      </c>
      <c r="B129" s="297">
        <v>0.74426999999999999</v>
      </c>
    </row>
    <row r="130" spans="1:51" s="250" customFormat="1" ht="12.75" x14ac:dyDescent="0.2"/>
    <row r="131" spans="1:51" s="250" customFormat="1" ht="12.75" x14ac:dyDescent="0.2">
      <c r="A131" s="281"/>
      <c r="C131" s="250" t="s">
        <v>632</v>
      </c>
    </row>
    <row r="132" spans="1:51" s="250" customFormat="1" ht="15.75" x14ac:dyDescent="0.2">
      <c r="A132" s="282" t="s">
        <v>633</v>
      </c>
      <c r="B132" s="248"/>
      <c r="C132" s="298"/>
    </row>
    <row r="133" spans="1:51" s="250" customFormat="1" ht="12.75" x14ac:dyDescent="0.2">
      <c r="A133" s="282"/>
      <c r="B133" s="299">
        <v>2016</v>
      </c>
      <c r="C133" s="299">
        <f>B133+1</f>
        <v>2017</v>
      </c>
      <c r="D133" s="299">
        <f t="shared" ref="D133:AY133" si="26">C133+1</f>
        <v>2018</v>
      </c>
      <c r="E133" s="299">
        <f t="shared" si="26"/>
        <v>2019</v>
      </c>
      <c r="F133" s="299">
        <f t="shared" si="26"/>
        <v>2020</v>
      </c>
      <c r="G133" s="299">
        <f t="shared" si="26"/>
        <v>2021</v>
      </c>
      <c r="H133" s="299">
        <f t="shared" si="26"/>
        <v>2022</v>
      </c>
      <c r="I133" s="299">
        <f t="shared" si="26"/>
        <v>2023</v>
      </c>
      <c r="J133" s="299">
        <f t="shared" si="26"/>
        <v>2024</v>
      </c>
      <c r="K133" s="299">
        <f t="shared" si="26"/>
        <v>2025</v>
      </c>
      <c r="L133" s="299">
        <f t="shared" si="26"/>
        <v>2026</v>
      </c>
      <c r="M133" s="299">
        <f t="shared" si="26"/>
        <v>2027</v>
      </c>
      <c r="N133" s="299">
        <f t="shared" si="26"/>
        <v>2028</v>
      </c>
      <c r="O133" s="299">
        <f t="shared" si="26"/>
        <v>2029</v>
      </c>
      <c r="P133" s="299">
        <f t="shared" si="26"/>
        <v>2030</v>
      </c>
      <c r="Q133" s="299">
        <f t="shared" si="26"/>
        <v>2031</v>
      </c>
      <c r="R133" s="299">
        <f t="shared" si="26"/>
        <v>2032</v>
      </c>
      <c r="S133" s="299">
        <f t="shared" si="26"/>
        <v>2033</v>
      </c>
      <c r="T133" s="299">
        <f t="shared" si="26"/>
        <v>2034</v>
      </c>
      <c r="U133" s="299">
        <f t="shared" si="26"/>
        <v>2035</v>
      </c>
      <c r="V133" s="299">
        <f t="shared" si="26"/>
        <v>2036</v>
      </c>
      <c r="W133" s="299">
        <f t="shared" si="26"/>
        <v>2037</v>
      </c>
      <c r="X133" s="299">
        <f t="shared" si="26"/>
        <v>2038</v>
      </c>
      <c r="Y133" s="299">
        <f t="shared" si="26"/>
        <v>2039</v>
      </c>
      <c r="Z133" s="299">
        <f t="shared" si="26"/>
        <v>2040</v>
      </c>
      <c r="AA133" s="299">
        <f t="shared" si="26"/>
        <v>2041</v>
      </c>
      <c r="AB133" s="299">
        <f t="shared" si="26"/>
        <v>2042</v>
      </c>
      <c r="AC133" s="299">
        <f t="shared" si="26"/>
        <v>2043</v>
      </c>
      <c r="AD133" s="299">
        <f t="shared" si="26"/>
        <v>2044</v>
      </c>
      <c r="AE133" s="299">
        <f t="shared" si="26"/>
        <v>2045</v>
      </c>
      <c r="AF133" s="299">
        <f t="shared" si="26"/>
        <v>2046</v>
      </c>
      <c r="AG133" s="299">
        <f t="shared" si="26"/>
        <v>2047</v>
      </c>
      <c r="AH133" s="299">
        <f t="shared" si="26"/>
        <v>2048</v>
      </c>
      <c r="AI133" s="299">
        <f t="shared" si="26"/>
        <v>2049</v>
      </c>
      <c r="AJ133" s="299">
        <f t="shared" si="26"/>
        <v>2050</v>
      </c>
      <c r="AK133" s="299">
        <f t="shared" si="26"/>
        <v>2051</v>
      </c>
      <c r="AL133" s="299">
        <f t="shared" si="26"/>
        <v>2052</v>
      </c>
      <c r="AM133" s="299">
        <f t="shared" si="26"/>
        <v>2053</v>
      </c>
      <c r="AN133" s="299">
        <f t="shared" si="26"/>
        <v>2054</v>
      </c>
      <c r="AO133" s="299">
        <f t="shared" si="26"/>
        <v>2055</v>
      </c>
      <c r="AP133" s="299">
        <f t="shared" si="26"/>
        <v>2056</v>
      </c>
      <c r="AQ133" s="299">
        <f t="shared" si="26"/>
        <v>2057</v>
      </c>
      <c r="AR133" s="299">
        <f t="shared" si="26"/>
        <v>2058</v>
      </c>
      <c r="AS133" s="299">
        <f t="shared" si="26"/>
        <v>2059</v>
      </c>
      <c r="AT133" s="299">
        <f t="shared" si="26"/>
        <v>2060</v>
      </c>
      <c r="AU133" s="299">
        <f t="shared" si="26"/>
        <v>2061</v>
      </c>
      <c r="AV133" s="299">
        <f t="shared" si="26"/>
        <v>2062</v>
      </c>
      <c r="AW133" s="299">
        <f t="shared" si="26"/>
        <v>2063</v>
      </c>
      <c r="AX133" s="299">
        <f t="shared" si="26"/>
        <v>2064</v>
      </c>
      <c r="AY133" s="299">
        <f t="shared" si="26"/>
        <v>2065</v>
      </c>
    </row>
    <row r="134" spans="1:51" s="250" customFormat="1" ht="12.75" x14ac:dyDescent="0.2">
      <c r="A134" s="282" t="s">
        <v>634</v>
      </c>
      <c r="B134" s="300"/>
      <c r="C134" s="301"/>
      <c r="D134" s="301"/>
      <c r="E134" s="301"/>
      <c r="F134" s="301">
        <v>5.6000000000000001E-2</v>
      </c>
      <c r="G134" s="301">
        <v>5.3999999999999999E-2</v>
      </c>
      <c r="H134" s="301">
        <v>5.0999999999999997E-2</v>
      </c>
      <c r="I134" s="301">
        <v>4.9000000000000002E-2</v>
      </c>
      <c r="J134" s="301">
        <v>4.7E-2</v>
      </c>
      <c r="K134" s="301">
        <v>4.7E-2</v>
      </c>
      <c r="L134" s="301">
        <v>4.7E-2</v>
      </c>
      <c r="M134" s="301">
        <v>4.7E-2</v>
      </c>
      <c r="N134" s="301">
        <v>4.7E-2</v>
      </c>
      <c r="O134" s="301">
        <v>4.7E-2</v>
      </c>
      <c r="P134" s="301">
        <v>4.7E-2</v>
      </c>
      <c r="Q134" s="301">
        <v>4.7E-2</v>
      </c>
      <c r="R134" s="301">
        <v>4.7E-2</v>
      </c>
      <c r="S134" s="301">
        <v>4.7E-2</v>
      </c>
      <c r="T134" s="301">
        <v>4.7E-2</v>
      </c>
      <c r="U134" s="301">
        <v>4.7E-2</v>
      </c>
      <c r="V134" s="301">
        <v>4.7E-2</v>
      </c>
      <c r="W134" s="301">
        <v>4.7E-2</v>
      </c>
      <c r="X134" s="301">
        <v>4.7E-2</v>
      </c>
      <c r="Y134" s="301">
        <v>4.7E-2</v>
      </c>
      <c r="Z134" s="301">
        <v>4.7E-2</v>
      </c>
      <c r="AA134" s="301">
        <v>4.7E-2</v>
      </c>
      <c r="AB134" s="301">
        <v>4.7E-2</v>
      </c>
      <c r="AC134" s="301">
        <v>4.7E-2</v>
      </c>
      <c r="AD134" s="301">
        <v>4.7E-2</v>
      </c>
      <c r="AE134" s="301">
        <v>4.7E-2</v>
      </c>
      <c r="AF134" s="301">
        <v>4.7E-2</v>
      </c>
      <c r="AG134" s="301">
        <v>4.7E-2</v>
      </c>
      <c r="AH134" s="301">
        <v>4.7E-2</v>
      </c>
      <c r="AI134" s="301">
        <v>4.7E-2</v>
      </c>
      <c r="AJ134" s="301">
        <v>4.2000000000000003E-2</v>
      </c>
      <c r="AK134" s="301">
        <v>4.2000000000000003E-2</v>
      </c>
      <c r="AL134" s="301">
        <v>4.2000000000000003E-2</v>
      </c>
      <c r="AM134" s="301">
        <v>4.2000000000000003E-2</v>
      </c>
      <c r="AN134" s="301">
        <v>4.2000000000000003E-2</v>
      </c>
      <c r="AO134" s="301">
        <v>4.2000000000000003E-2</v>
      </c>
      <c r="AP134" s="301">
        <v>4.2000000000000003E-2</v>
      </c>
      <c r="AQ134" s="301">
        <v>4.2000000000000003E-2</v>
      </c>
      <c r="AR134" s="301">
        <v>4.2000000000000003E-2</v>
      </c>
      <c r="AS134" s="301">
        <v>4.2000000000000003E-2</v>
      </c>
      <c r="AT134" s="301">
        <v>4.2000000000000003E-2</v>
      </c>
      <c r="AU134" s="301">
        <f t="shared" ref="AU134:AY134" si="27">AT134</f>
        <v>4.2000000000000003E-2</v>
      </c>
      <c r="AV134" s="301">
        <f t="shared" si="27"/>
        <v>4.2000000000000003E-2</v>
      </c>
      <c r="AW134" s="301">
        <f t="shared" si="27"/>
        <v>4.2000000000000003E-2</v>
      </c>
      <c r="AX134" s="301">
        <f t="shared" si="27"/>
        <v>4.2000000000000003E-2</v>
      </c>
      <c r="AY134" s="301">
        <f t="shared" si="27"/>
        <v>4.2000000000000003E-2</v>
      </c>
    </row>
    <row r="135" spans="1:51" s="250" customFormat="1" x14ac:dyDescent="0.2">
      <c r="A135" s="282" t="s">
        <v>635</v>
      </c>
      <c r="B135" s="302"/>
      <c r="C135" s="303">
        <f>(1+B135)*(1+C134)-1</f>
        <v>0</v>
      </c>
      <c r="D135" s="303">
        <f>(1+C135)*(1+D134)-1</f>
        <v>0</v>
      </c>
      <c r="E135" s="303">
        <f>(1+D135)*(1+E134)-1</f>
        <v>0</v>
      </c>
      <c r="F135" s="303">
        <f t="shared" ref="F135:AY135" si="28">(1+E135)*(1+F134)-1</f>
        <v>5.600000000000005E-2</v>
      </c>
      <c r="G135" s="303">
        <f>(1+F135)*(1+G134)-1</f>
        <v>0.11302400000000001</v>
      </c>
      <c r="H135" s="303">
        <f t="shared" si="28"/>
        <v>0.16978822399999993</v>
      </c>
      <c r="I135" s="303">
        <f t="shared" si="28"/>
        <v>0.22710784697599995</v>
      </c>
      <c r="J135" s="303">
        <f t="shared" si="28"/>
        <v>0.2847819157838718</v>
      </c>
      <c r="K135" s="303">
        <f t="shared" si="28"/>
        <v>0.34516666582571376</v>
      </c>
      <c r="L135" s="303">
        <f t="shared" si="28"/>
        <v>0.40838949911952227</v>
      </c>
      <c r="M135" s="303">
        <f t="shared" si="28"/>
        <v>0.47458380557813973</v>
      </c>
      <c r="N135" s="303">
        <f t="shared" si="28"/>
        <v>0.54388924444031228</v>
      </c>
      <c r="O135" s="303">
        <f t="shared" si="28"/>
        <v>0.61645203892900691</v>
      </c>
      <c r="P135" s="303">
        <f t="shared" si="28"/>
        <v>0.69242528475867005</v>
      </c>
      <c r="Q135" s="303">
        <f t="shared" si="28"/>
        <v>0.77196927314232733</v>
      </c>
      <c r="R135" s="303">
        <f t="shared" si="28"/>
        <v>0.85525182898001662</v>
      </c>
      <c r="S135" s="303">
        <f t="shared" si="28"/>
        <v>0.94244866494207735</v>
      </c>
      <c r="T135" s="303">
        <f t="shared" si="28"/>
        <v>1.0337437521943547</v>
      </c>
      <c r="U135" s="303">
        <f t="shared" si="28"/>
        <v>1.1293297085474894</v>
      </c>
      <c r="V135" s="303">
        <f t="shared" si="28"/>
        <v>1.2294082048492214</v>
      </c>
      <c r="W135" s="303">
        <f t="shared" si="28"/>
        <v>1.3341903904771346</v>
      </c>
      <c r="X135" s="303">
        <f t="shared" si="28"/>
        <v>1.4438973388295597</v>
      </c>
      <c r="Y135" s="303">
        <f t="shared" si="28"/>
        <v>1.558760513754549</v>
      </c>
      <c r="Z135" s="303">
        <f t="shared" si="28"/>
        <v>1.6790222579010128</v>
      </c>
      <c r="AA135" s="303">
        <f t="shared" si="28"/>
        <v>1.8049363040223603</v>
      </c>
      <c r="AB135" s="303">
        <f t="shared" si="28"/>
        <v>1.9367683103114111</v>
      </c>
      <c r="AC135" s="303">
        <f t="shared" si="28"/>
        <v>2.074796420896047</v>
      </c>
      <c r="AD135" s="303">
        <f t="shared" si="28"/>
        <v>2.2193118526781608</v>
      </c>
      <c r="AE135" s="303">
        <f t="shared" si="28"/>
        <v>2.3706195097540341</v>
      </c>
      <c r="AF135" s="303">
        <f t="shared" si="28"/>
        <v>2.5290386267124734</v>
      </c>
      <c r="AG135" s="303">
        <f t="shared" si="28"/>
        <v>2.6949034421679592</v>
      </c>
      <c r="AH135" s="303">
        <f t="shared" si="28"/>
        <v>2.8685639039498532</v>
      </c>
      <c r="AI135" s="303">
        <f t="shared" si="28"/>
        <v>3.0503864074354956</v>
      </c>
      <c r="AJ135" s="303">
        <f t="shared" si="28"/>
        <v>3.2205026365477867</v>
      </c>
      <c r="AK135" s="303">
        <f t="shared" si="28"/>
        <v>3.3977637472827942</v>
      </c>
      <c r="AL135" s="303">
        <f t="shared" si="28"/>
        <v>3.5824698246686717</v>
      </c>
      <c r="AM135" s="303">
        <f t="shared" si="28"/>
        <v>3.774933557304756</v>
      </c>
      <c r="AN135" s="303">
        <f t="shared" si="28"/>
        <v>3.9754807667115557</v>
      </c>
      <c r="AO135" s="303">
        <f t="shared" si="28"/>
        <v>4.1844509589134411</v>
      </c>
      <c r="AP135" s="303">
        <f t="shared" si="28"/>
        <v>4.4021978991878061</v>
      </c>
      <c r="AQ135" s="303">
        <f t="shared" si="28"/>
        <v>4.6290902109536942</v>
      </c>
      <c r="AR135" s="303">
        <f t="shared" si="28"/>
        <v>4.8655119998137497</v>
      </c>
      <c r="AS135" s="303">
        <f t="shared" si="28"/>
        <v>5.1118635038059272</v>
      </c>
      <c r="AT135" s="303">
        <f t="shared" si="28"/>
        <v>5.3685617709657762</v>
      </c>
      <c r="AU135" s="303">
        <f t="shared" si="28"/>
        <v>5.6360413653463395</v>
      </c>
      <c r="AV135" s="303">
        <f t="shared" si="28"/>
        <v>5.9147551026908856</v>
      </c>
      <c r="AW135" s="303">
        <f>(1+AV135)*(1+AW134)-1</f>
        <v>6.2051748170039032</v>
      </c>
      <c r="AX135" s="303">
        <f t="shared" si="28"/>
        <v>6.5077921593180674</v>
      </c>
      <c r="AY135" s="303">
        <f t="shared" si="28"/>
        <v>6.8231194300094264</v>
      </c>
    </row>
    <row r="136" spans="1:51" s="250" customFormat="1" ht="15.75" x14ac:dyDescent="0.2">
      <c r="A136" s="251"/>
      <c r="B136" s="304"/>
      <c r="C136" s="305"/>
      <c r="D136" s="305"/>
      <c r="E136" s="305"/>
      <c r="F136" s="305"/>
      <c r="G136" s="305"/>
      <c r="H136" s="305"/>
      <c r="I136" s="305"/>
      <c r="J136" s="305"/>
      <c r="K136" s="305"/>
      <c r="L136" s="305"/>
      <c r="M136" s="305"/>
      <c r="N136" s="305"/>
      <c r="O136" s="305"/>
      <c r="P136" s="305"/>
      <c r="Q136" s="305"/>
      <c r="R136" s="305"/>
      <c r="S136" s="305"/>
      <c r="T136" s="305"/>
      <c r="U136" s="305"/>
      <c r="V136" s="305"/>
      <c r="W136" s="305"/>
      <c r="X136" s="305"/>
      <c r="Y136" s="305"/>
      <c r="Z136" s="305"/>
      <c r="AA136" s="305"/>
      <c r="AB136" s="305"/>
      <c r="AC136" s="305"/>
      <c r="AD136" s="305"/>
      <c r="AE136" s="305"/>
      <c r="AF136" s="305"/>
      <c r="AG136" s="305"/>
      <c r="AH136" s="305"/>
      <c r="AI136" s="305"/>
      <c r="AJ136" s="305"/>
      <c r="AK136" s="305"/>
      <c r="AL136" s="305"/>
      <c r="AM136" s="305"/>
      <c r="AN136" s="305"/>
      <c r="AO136" s="305"/>
      <c r="AP136" s="305"/>
      <c r="AQ136" s="249"/>
    </row>
    <row r="137" spans="1:51" s="250" customFormat="1" ht="12.75" x14ac:dyDescent="0.2">
      <c r="A137" s="281"/>
      <c r="B137" s="300">
        <v>2016</v>
      </c>
      <c r="C137" s="300">
        <f>B137+1</f>
        <v>2017</v>
      </c>
      <c r="D137" s="300">
        <f t="shared" ref="D137:S138" si="29">C137+1</f>
        <v>2018</v>
      </c>
      <c r="E137" s="300">
        <f t="shared" si="29"/>
        <v>2019</v>
      </c>
      <c r="F137" s="300">
        <f t="shared" si="29"/>
        <v>2020</v>
      </c>
      <c r="G137" s="300">
        <f t="shared" si="29"/>
        <v>2021</v>
      </c>
      <c r="H137" s="300">
        <f t="shared" si="29"/>
        <v>2022</v>
      </c>
      <c r="I137" s="300">
        <f t="shared" si="29"/>
        <v>2023</v>
      </c>
      <c r="J137" s="300">
        <f t="shared" si="29"/>
        <v>2024</v>
      </c>
      <c r="K137" s="300">
        <f t="shared" si="29"/>
        <v>2025</v>
      </c>
      <c r="L137" s="300">
        <f t="shared" si="29"/>
        <v>2026</v>
      </c>
      <c r="M137" s="300">
        <f t="shared" si="29"/>
        <v>2027</v>
      </c>
      <c r="N137" s="300">
        <f t="shared" si="29"/>
        <v>2028</v>
      </c>
      <c r="O137" s="300">
        <f t="shared" si="29"/>
        <v>2029</v>
      </c>
      <c r="P137" s="300">
        <f t="shared" si="29"/>
        <v>2030</v>
      </c>
      <c r="Q137" s="300">
        <f t="shared" si="29"/>
        <v>2031</v>
      </c>
      <c r="R137" s="300">
        <f t="shared" si="29"/>
        <v>2032</v>
      </c>
      <c r="S137" s="300">
        <f t="shared" si="29"/>
        <v>2033</v>
      </c>
      <c r="T137" s="300">
        <f t="shared" ref="T137:AI138" si="30">S137+1</f>
        <v>2034</v>
      </c>
      <c r="U137" s="300">
        <f t="shared" si="30"/>
        <v>2035</v>
      </c>
      <c r="V137" s="300">
        <f t="shared" si="30"/>
        <v>2036</v>
      </c>
      <c r="W137" s="300">
        <f t="shared" si="30"/>
        <v>2037</v>
      </c>
      <c r="X137" s="300">
        <f t="shared" si="30"/>
        <v>2038</v>
      </c>
      <c r="Y137" s="300">
        <f t="shared" si="30"/>
        <v>2039</v>
      </c>
      <c r="Z137" s="300">
        <f t="shared" si="30"/>
        <v>2040</v>
      </c>
      <c r="AA137" s="300">
        <f t="shared" si="30"/>
        <v>2041</v>
      </c>
      <c r="AB137" s="300">
        <f t="shared" si="30"/>
        <v>2042</v>
      </c>
      <c r="AC137" s="300">
        <f t="shared" si="30"/>
        <v>2043</v>
      </c>
      <c r="AD137" s="300">
        <f t="shared" si="30"/>
        <v>2044</v>
      </c>
      <c r="AE137" s="300">
        <f t="shared" si="30"/>
        <v>2045</v>
      </c>
      <c r="AF137" s="300">
        <f t="shared" si="30"/>
        <v>2046</v>
      </c>
      <c r="AG137" s="300">
        <f t="shared" si="30"/>
        <v>2047</v>
      </c>
      <c r="AH137" s="300">
        <f t="shared" si="30"/>
        <v>2048</v>
      </c>
      <c r="AI137" s="300">
        <f t="shared" si="30"/>
        <v>2049</v>
      </c>
      <c r="AJ137" s="300">
        <f t="shared" ref="AJ137:AY138" si="31">AI137+1</f>
        <v>2050</v>
      </c>
      <c r="AK137" s="300">
        <f t="shared" si="31"/>
        <v>2051</v>
      </c>
      <c r="AL137" s="300">
        <f t="shared" si="31"/>
        <v>2052</v>
      </c>
      <c r="AM137" s="300">
        <f t="shared" si="31"/>
        <v>2053</v>
      </c>
      <c r="AN137" s="300">
        <f t="shared" si="31"/>
        <v>2054</v>
      </c>
      <c r="AO137" s="300">
        <f t="shared" si="31"/>
        <v>2055</v>
      </c>
      <c r="AP137" s="300">
        <f t="shared" si="31"/>
        <v>2056</v>
      </c>
      <c r="AQ137" s="300">
        <f t="shared" si="31"/>
        <v>2057</v>
      </c>
      <c r="AR137" s="300">
        <f t="shared" si="31"/>
        <v>2058</v>
      </c>
      <c r="AS137" s="300">
        <f t="shared" si="31"/>
        <v>2059</v>
      </c>
      <c r="AT137" s="300">
        <f t="shared" si="31"/>
        <v>2060</v>
      </c>
      <c r="AU137" s="300">
        <f t="shared" si="31"/>
        <v>2061</v>
      </c>
      <c r="AV137" s="300">
        <f t="shared" si="31"/>
        <v>2062</v>
      </c>
      <c r="AW137" s="300">
        <f t="shared" si="31"/>
        <v>2063</v>
      </c>
      <c r="AX137" s="300">
        <f t="shared" si="31"/>
        <v>2064</v>
      </c>
      <c r="AY137" s="300">
        <f t="shared" si="31"/>
        <v>2065</v>
      </c>
    </row>
    <row r="138" spans="1:51" s="250" customFormat="1" ht="15.75" x14ac:dyDescent="0.2">
      <c r="A138" s="281"/>
      <c r="B138" s="306">
        <v>0</v>
      </c>
      <c r="C138" s="306">
        <v>0</v>
      </c>
      <c r="D138" s="306">
        <v>0</v>
      </c>
      <c r="E138" s="306">
        <v>0</v>
      </c>
      <c r="F138" s="306">
        <v>1</v>
      </c>
      <c r="G138" s="306">
        <f t="shared" si="29"/>
        <v>2</v>
      </c>
      <c r="H138" s="306">
        <f t="shared" si="29"/>
        <v>3</v>
      </c>
      <c r="I138" s="306">
        <f t="shared" si="29"/>
        <v>4</v>
      </c>
      <c r="J138" s="306">
        <f t="shared" si="29"/>
        <v>5</v>
      </c>
      <c r="K138" s="306">
        <f t="shared" si="29"/>
        <v>6</v>
      </c>
      <c r="L138" s="306">
        <f t="shared" si="29"/>
        <v>7</v>
      </c>
      <c r="M138" s="306">
        <f t="shared" si="29"/>
        <v>8</v>
      </c>
      <c r="N138" s="306">
        <f t="shared" si="29"/>
        <v>9</v>
      </c>
      <c r="O138" s="306">
        <f t="shared" si="29"/>
        <v>10</v>
      </c>
      <c r="P138" s="306">
        <f t="shared" si="29"/>
        <v>11</v>
      </c>
      <c r="Q138" s="306">
        <f t="shared" si="29"/>
        <v>12</v>
      </c>
      <c r="R138" s="306">
        <f t="shared" si="29"/>
        <v>13</v>
      </c>
      <c r="S138" s="306">
        <f t="shared" si="29"/>
        <v>14</v>
      </c>
      <c r="T138" s="306">
        <f t="shared" si="30"/>
        <v>15</v>
      </c>
      <c r="U138" s="306">
        <f t="shared" si="30"/>
        <v>16</v>
      </c>
      <c r="V138" s="306">
        <f t="shared" si="30"/>
        <v>17</v>
      </c>
      <c r="W138" s="306">
        <f t="shared" si="30"/>
        <v>18</v>
      </c>
      <c r="X138" s="306">
        <f t="shared" si="30"/>
        <v>19</v>
      </c>
      <c r="Y138" s="306">
        <f t="shared" si="30"/>
        <v>20</v>
      </c>
      <c r="Z138" s="306">
        <f t="shared" si="30"/>
        <v>21</v>
      </c>
      <c r="AA138" s="306">
        <f t="shared" si="30"/>
        <v>22</v>
      </c>
      <c r="AB138" s="306">
        <f t="shared" si="30"/>
        <v>23</v>
      </c>
      <c r="AC138" s="306">
        <f t="shared" si="30"/>
        <v>24</v>
      </c>
      <c r="AD138" s="306">
        <f t="shared" si="30"/>
        <v>25</v>
      </c>
      <c r="AE138" s="306">
        <f t="shared" si="30"/>
        <v>26</v>
      </c>
      <c r="AF138" s="306">
        <f t="shared" si="30"/>
        <v>27</v>
      </c>
      <c r="AG138" s="306">
        <f t="shared" si="30"/>
        <v>28</v>
      </c>
      <c r="AH138" s="306">
        <f t="shared" si="30"/>
        <v>29</v>
      </c>
      <c r="AI138" s="306">
        <f t="shared" si="30"/>
        <v>30</v>
      </c>
      <c r="AJ138" s="306">
        <f t="shared" si="31"/>
        <v>31</v>
      </c>
      <c r="AK138" s="306">
        <f t="shared" si="31"/>
        <v>32</v>
      </c>
      <c r="AL138" s="306">
        <f t="shared" si="31"/>
        <v>33</v>
      </c>
      <c r="AM138" s="306">
        <f t="shared" si="31"/>
        <v>34</v>
      </c>
      <c r="AN138" s="306">
        <f t="shared" si="31"/>
        <v>35</v>
      </c>
      <c r="AO138" s="306">
        <f t="shared" si="31"/>
        <v>36</v>
      </c>
      <c r="AP138" s="306">
        <f>AO138+1</f>
        <v>37</v>
      </c>
      <c r="AQ138" s="306">
        <f t="shared" si="31"/>
        <v>38</v>
      </c>
      <c r="AR138" s="306">
        <f t="shared" si="31"/>
        <v>39</v>
      </c>
      <c r="AS138" s="306">
        <f t="shared" si="31"/>
        <v>40</v>
      </c>
      <c r="AT138" s="306">
        <f t="shared" si="31"/>
        <v>41</v>
      </c>
      <c r="AU138" s="306">
        <f t="shared" si="31"/>
        <v>42</v>
      </c>
      <c r="AV138" s="306">
        <f t="shared" si="31"/>
        <v>43</v>
      </c>
      <c r="AW138" s="306">
        <f t="shared" si="31"/>
        <v>44</v>
      </c>
      <c r="AX138" s="306">
        <f t="shared" si="31"/>
        <v>45</v>
      </c>
      <c r="AY138" s="306">
        <f t="shared" si="31"/>
        <v>46</v>
      </c>
    </row>
    <row r="139" spans="1:51" s="250" customFormat="1" x14ac:dyDescent="0.2">
      <c r="A139" s="281"/>
      <c r="B139" s="307">
        <f>AVERAGE(A138:B138)</f>
        <v>0</v>
      </c>
      <c r="C139" s="307">
        <f>AVERAGE(B138:C138)</f>
        <v>0</v>
      </c>
      <c r="D139" s="307">
        <f>AVERAGE(C138:D138)</f>
        <v>0</v>
      </c>
      <c r="E139" s="307">
        <f>AVERAGE(D138:E138)</f>
        <v>0</v>
      </c>
      <c r="F139" s="307">
        <f t="shared" ref="F139:AO139" si="32">AVERAGE(E138:F138)</f>
        <v>0.5</v>
      </c>
      <c r="G139" s="307">
        <f t="shared" si="32"/>
        <v>1.5</v>
      </c>
      <c r="H139" s="307">
        <f t="shared" si="32"/>
        <v>2.5</v>
      </c>
      <c r="I139" s="307">
        <f t="shared" si="32"/>
        <v>3.5</v>
      </c>
      <c r="J139" s="307">
        <f t="shared" si="32"/>
        <v>4.5</v>
      </c>
      <c r="K139" s="307">
        <f t="shared" si="32"/>
        <v>5.5</v>
      </c>
      <c r="L139" s="307">
        <f t="shared" si="32"/>
        <v>6.5</v>
      </c>
      <c r="M139" s="307">
        <f t="shared" si="32"/>
        <v>7.5</v>
      </c>
      <c r="N139" s="307">
        <f t="shared" si="32"/>
        <v>8.5</v>
      </c>
      <c r="O139" s="307">
        <f t="shared" si="32"/>
        <v>9.5</v>
      </c>
      <c r="P139" s="307">
        <f t="shared" si="32"/>
        <v>10.5</v>
      </c>
      <c r="Q139" s="307">
        <f t="shared" si="32"/>
        <v>11.5</v>
      </c>
      <c r="R139" s="307">
        <f t="shared" si="32"/>
        <v>12.5</v>
      </c>
      <c r="S139" s="307">
        <f t="shared" si="32"/>
        <v>13.5</v>
      </c>
      <c r="T139" s="307">
        <f t="shared" si="32"/>
        <v>14.5</v>
      </c>
      <c r="U139" s="307">
        <f t="shared" si="32"/>
        <v>15.5</v>
      </c>
      <c r="V139" s="307">
        <f t="shared" si="32"/>
        <v>16.5</v>
      </c>
      <c r="W139" s="307">
        <f t="shared" si="32"/>
        <v>17.5</v>
      </c>
      <c r="X139" s="307">
        <f t="shared" si="32"/>
        <v>18.5</v>
      </c>
      <c r="Y139" s="307">
        <f t="shared" si="32"/>
        <v>19.5</v>
      </c>
      <c r="Z139" s="307">
        <f t="shared" si="32"/>
        <v>20.5</v>
      </c>
      <c r="AA139" s="307">
        <f t="shared" si="32"/>
        <v>21.5</v>
      </c>
      <c r="AB139" s="307">
        <f t="shared" si="32"/>
        <v>22.5</v>
      </c>
      <c r="AC139" s="307">
        <f t="shared" si="32"/>
        <v>23.5</v>
      </c>
      <c r="AD139" s="307">
        <f t="shared" si="32"/>
        <v>24.5</v>
      </c>
      <c r="AE139" s="307">
        <f t="shared" si="32"/>
        <v>25.5</v>
      </c>
      <c r="AF139" s="307">
        <f t="shared" si="32"/>
        <v>26.5</v>
      </c>
      <c r="AG139" s="307">
        <f t="shared" si="32"/>
        <v>27.5</v>
      </c>
      <c r="AH139" s="307">
        <f t="shared" si="32"/>
        <v>28.5</v>
      </c>
      <c r="AI139" s="307">
        <f t="shared" si="32"/>
        <v>29.5</v>
      </c>
      <c r="AJ139" s="307">
        <f t="shared" si="32"/>
        <v>30.5</v>
      </c>
      <c r="AK139" s="307">
        <f t="shared" si="32"/>
        <v>31.5</v>
      </c>
      <c r="AL139" s="307">
        <f t="shared" si="32"/>
        <v>32.5</v>
      </c>
      <c r="AM139" s="307">
        <f t="shared" si="32"/>
        <v>33.5</v>
      </c>
      <c r="AN139" s="307">
        <f t="shared" si="32"/>
        <v>34.5</v>
      </c>
      <c r="AO139" s="307">
        <f t="shared" si="32"/>
        <v>35.5</v>
      </c>
      <c r="AP139" s="307">
        <f>AVERAGE(AO138:AP138)</f>
        <v>36.5</v>
      </c>
      <c r="AQ139" s="307">
        <f t="shared" ref="AQ139:AY139" si="33">AVERAGE(AP138:AQ138)</f>
        <v>37.5</v>
      </c>
      <c r="AR139" s="307">
        <f t="shared" si="33"/>
        <v>38.5</v>
      </c>
      <c r="AS139" s="307">
        <f t="shared" si="33"/>
        <v>39.5</v>
      </c>
      <c r="AT139" s="307">
        <f t="shared" si="33"/>
        <v>40.5</v>
      </c>
      <c r="AU139" s="307">
        <f t="shared" si="33"/>
        <v>41.5</v>
      </c>
      <c r="AV139" s="307">
        <f t="shared" si="33"/>
        <v>42.5</v>
      </c>
      <c r="AW139" s="307">
        <f t="shared" si="33"/>
        <v>43.5</v>
      </c>
      <c r="AX139" s="307">
        <f t="shared" si="33"/>
        <v>44.5</v>
      </c>
      <c r="AY139" s="307">
        <f t="shared" si="33"/>
        <v>45.5</v>
      </c>
    </row>
    <row r="140" spans="1:51" s="250" customFormat="1" ht="12.75" x14ac:dyDescent="0.2">
      <c r="A140" s="281"/>
      <c r="AQ140" s="249"/>
    </row>
    <row r="141" spans="1:51" s="250" customFormat="1" ht="12.75" x14ac:dyDescent="0.2">
      <c r="A141" s="281"/>
    </row>
    <row r="142" spans="1:51" s="250" customFormat="1" ht="12.75" x14ac:dyDescent="0.2">
      <c r="A142" s="281"/>
    </row>
    <row r="143" spans="1:51" s="250" customFormat="1" ht="12.75" x14ac:dyDescent="0.2">
      <c r="A143" s="281"/>
    </row>
    <row r="144" spans="1:51" s="250" customFormat="1" ht="12.75" x14ac:dyDescent="0.2">
      <c r="A144" s="281"/>
    </row>
    <row r="145" spans="1:71" s="250" customFormat="1" ht="12.75" x14ac:dyDescent="0.2">
      <c r="A145" s="281"/>
    </row>
    <row r="146" spans="1:71" s="250" customFormat="1" ht="12.75" x14ac:dyDescent="0.2">
      <c r="A146" s="281"/>
    </row>
    <row r="147" spans="1:71" s="250" customFormat="1" ht="12.75" x14ac:dyDescent="0.2">
      <c r="A147" s="281"/>
    </row>
    <row r="148" spans="1:71" s="250" customFormat="1" ht="12.75" x14ac:dyDescent="0.2">
      <c r="A148" s="281"/>
    </row>
    <row r="149" spans="1:71" s="250" customFormat="1" ht="12.75" x14ac:dyDescent="0.2">
      <c r="A149" s="281"/>
    </row>
    <row r="150" spans="1:71" s="250" customFormat="1" ht="12.75" x14ac:dyDescent="0.2">
      <c r="A150" s="281"/>
    </row>
    <row r="151" spans="1:71" s="250" customFormat="1" ht="12.75" x14ac:dyDescent="0.2">
      <c r="A151" s="281"/>
    </row>
    <row r="152" spans="1:71" s="250" customFormat="1" ht="12.75" x14ac:dyDescent="0.2">
      <c r="A152" s="281"/>
    </row>
    <row r="153" spans="1:71" s="250" customFormat="1" ht="12.75" x14ac:dyDescent="0.2">
      <c r="A153" s="281"/>
    </row>
    <row r="154" spans="1:71" s="250" customFormat="1" ht="12.75" x14ac:dyDescent="0.2">
      <c r="A154" s="266"/>
      <c r="B154" s="262"/>
      <c r="C154" s="262"/>
      <c r="D154" s="262"/>
      <c r="E154" s="262"/>
      <c r="F154" s="262"/>
      <c r="G154" s="262"/>
      <c r="H154" s="262"/>
      <c r="I154" s="262"/>
      <c r="J154" s="262"/>
      <c r="K154" s="262"/>
      <c r="L154" s="262"/>
      <c r="M154" s="262"/>
      <c r="N154" s="262"/>
      <c r="O154" s="262"/>
      <c r="P154" s="262"/>
      <c r="Q154" s="262"/>
      <c r="R154" s="262"/>
      <c r="S154" s="262"/>
      <c r="T154" s="262"/>
      <c r="U154" s="262"/>
      <c r="V154" s="262"/>
      <c r="W154" s="262"/>
      <c r="X154" s="262"/>
      <c r="Y154" s="262"/>
      <c r="Z154" s="262"/>
      <c r="AA154" s="262"/>
      <c r="AB154" s="262"/>
      <c r="AC154" s="262"/>
      <c r="AD154" s="262"/>
      <c r="AE154" s="262"/>
      <c r="AF154" s="262"/>
      <c r="AG154" s="262"/>
      <c r="AH154" s="262"/>
      <c r="AI154" s="262"/>
      <c r="AJ154" s="262"/>
      <c r="AK154" s="262"/>
      <c r="AL154" s="262"/>
      <c r="AM154" s="262"/>
      <c r="AN154" s="262"/>
      <c r="AO154" s="262"/>
      <c r="AP154" s="262"/>
      <c r="AQ154" s="249"/>
      <c r="AR154" s="249"/>
      <c r="AS154" s="249"/>
      <c r="AT154" s="262"/>
      <c r="AU154" s="262"/>
      <c r="AV154" s="262"/>
      <c r="AW154" s="262"/>
      <c r="AX154" s="262"/>
      <c r="AY154" s="262"/>
      <c r="AZ154" s="262"/>
      <c r="BA154" s="262"/>
      <c r="BB154" s="262"/>
      <c r="BC154" s="262"/>
      <c r="BD154" s="262"/>
      <c r="BE154" s="262"/>
      <c r="BF154" s="262"/>
      <c r="BG154" s="262"/>
      <c r="BH154" s="262"/>
      <c r="BI154" s="262"/>
      <c r="BJ154" s="262"/>
      <c r="BK154" s="262"/>
      <c r="BL154" s="262"/>
      <c r="BM154" s="262"/>
      <c r="BN154" s="262"/>
      <c r="BO154" s="262"/>
      <c r="BP154" s="262"/>
      <c r="BQ154" s="262"/>
      <c r="BR154" s="262"/>
      <c r="BS154" s="262"/>
    </row>
    <row r="155" spans="1:71" s="250" customFormat="1" ht="12.75" x14ac:dyDescent="0.2">
      <c r="A155" s="266"/>
      <c r="B155" s="262"/>
      <c r="C155" s="262"/>
      <c r="D155" s="262"/>
      <c r="E155" s="262"/>
      <c r="F155" s="262"/>
      <c r="G155" s="262"/>
      <c r="H155" s="262"/>
      <c r="I155" s="262"/>
      <c r="J155" s="262"/>
      <c r="K155" s="262"/>
      <c r="L155" s="262"/>
      <c r="M155" s="262"/>
      <c r="N155" s="262"/>
      <c r="O155" s="262"/>
      <c r="P155" s="262"/>
      <c r="Q155" s="262"/>
      <c r="R155" s="262"/>
      <c r="S155" s="262"/>
      <c r="T155" s="262"/>
      <c r="U155" s="262"/>
      <c r="V155" s="262"/>
      <c r="W155" s="262"/>
      <c r="X155" s="262"/>
      <c r="Y155" s="262"/>
      <c r="Z155" s="262"/>
      <c r="AA155" s="262"/>
      <c r="AB155" s="262"/>
      <c r="AC155" s="262"/>
      <c r="AD155" s="262"/>
      <c r="AE155" s="262"/>
      <c r="AF155" s="262"/>
      <c r="AG155" s="262"/>
      <c r="AH155" s="262"/>
      <c r="AI155" s="262"/>
      <c r="AJ155" s="262"/>
      <c r="AK155" s="262"/>
      <c r="AL155" s="262"/>
      <c r="AM155" s="262"/>
      <c r="AN155" s="262"/>
      <c r="AO155" s="262"/>
      <c r="AP155" s="262"/>
      <c r="AQ155" s="249"/>
      <c r="AR155" s="249"/>
      <c r="AS155" s="249"/>
      <c r="AT155" s="262"/>
      <c r="AU155" s="262"/>
      <c r="AV155" s="262"/>
      <c r="AW155" s="262"/>
      <c r="AX155" s="262"/>
      <c r="AY155" s="262"/>
      <c r="AZ155" s="262"/>
      <c r="BA155" s="262"/>
      <c r="BB155" s="262"/>
      <c r="BC155" s="262"/>
      <c r="BD155" s="262"/>
      <c r="BE155" s="262"/>
      <c r="BF155" s="262"/>
      <c r="BG155" s="262"/>
      <c r="BH155" s="262"/>
      <c r="BI155" s="262"/>
      <c r="BJ155" s="262"/>
      <c r="BK155" s="262"/>
      <c r="BL155" s="262"/>
      <c r="BM155" s="262"/>
      <c r="BN155" s="262"/>
      <c r="BO155" s="262"/>
      <c r="BP155" s="262"/>
      <c r="BQ155" s="262"/>
      <c r="BR155" s="262"/>
      <c r="BS155" s="262"/>
    </row>
    <row r="156" spans="1:71" s="250" customFormat="1" ht="12.75" x14ac:dyDescent="0.2">
      <c r="A156" s="266"/>
      <c r="B156" s="262"/>
      <c r="C156" s="262"/>
      <c r="D156" s="262"/>
      <c r="E156" s="262"/>
      <c r="F156" s="262"/>
      <c r="G156" s="262"/>
      <c r="H156" s="262"/>
      <c r="I156" s="262"/>
      <c r="J156" s="262"/>
      <c r="K156" s="262"/>
      <c r="L156" s="262"/>
      <c r="M156" s="262"/>
      <c r="N156" s="262"/>
      <c r="O156" s="262"/>
      <c r="P156" s="262"/>
      <c r="Q156" s="262"/>
      <c r="R156" s="262"/>
      <c r="S156" s="262"/>
      <c r="T156" s="262"/>
      <c r="U156" s="262"/>
      <c r="V156" s="262"/>
      <c r="W156" s="262"/>
      <c r="X156" s="262"/>
      <c r="Y156" s="262"/>
      <c r="Z156" s="262"/>
      <c r="AA156" s="262"/>
      <c r="AB156" s="262"/>
      <c r="AC156" s="262"/>
      <c r="AD156" s="262"/>
      <c r="AE156" s="262"/>
      <c r="AF156" s="262"/>
      <c r="AG156" s="262"/>
      <c r="AH156" s="262"/>
      <c r="AI156" s="262"/>
      <c r="AJ156" s="262"/>
      <c r="AK156" s="262"/>
      <c r="AL156" s="262"/>
      <c r="AM156" s="262"/>
      <c r="AN156" s="262"/>
      <c r="AO156" s="262"/>
      <c r="AP156" s="262"/>
      <c r="AQ156" s="249"/>
      <c r="AR156" s="249"/>
      <c r="AS156" s="249"/>
      <c r="AT156" s="262"/>
      <c r="AU156" s="262"/>
      <c r="AV156" s="262"/>
      <c r="AW156" s="262"/>
      <c r="AX156" s="262"/>
      <c r="AY156" s="262"/>
      <c r="AZ156" s="262"/>
      <c r="BA156" s="262"/>
      <c r="BB156" s="262"/>
      <c r="BC156" s="262"/>
      <c r="BD156" s="262"/>
      <c r="BE156" s="262"/>
      <c r="BF156" s="262"/>
      <c r="BG156" s="262"/>
      <c r="BH156" s="262"/>
      <c r="BI156" s="262"/>
      <c r="BJ156" s="262"/>
      <c r="BK156" s="262"/>
      <c r="BL156" s="262"/>
      <c r="BM156" s="262"/>
      <c r="BN156" s="262"/>
      <c r="BO156" s="262"/>
      <c r="BP156" s="262"/>
      <c r="BQ156" s="262"/>
      <c r="BR156" s="262"/>
      <c r="BS156" s="262"/>
    </row>
    <row r="157" spans="1:71" s="250" customFormat="1" ht="12.75" x14ac:dyDescent="0.2">
      <c r="A157" s="266"/>
      <c r="B157" s="262"/>
      <c r="C157" s="262"/>
      <c r="D157" s="262"/>
      <c r="E157" s="262"/>
      <c r="F157" s="262"/>
      <c r="G157" s="262"/>
      <c r="H157" s="262"/>
      <c r="I157" s="262"/>
      <c r="J157" s="262"/>
      <c r="K157" s="262"/>
      <c r="L157" s="262"/>
      <c r="M157" s="262"/>
      <c r="N157" s="262"/>
      <c r="O157" s="262"/>
      <c r="P157" s="262"/>
      <c r="Q157" s="262"/>
      <c r="R157" s="262"/>
      <c r="S157" s="262"/>
      <c r="T157" s="262"/>
      <c r="U157" s="262"/>
      <c r="V157" s="262"/>
      <c r="W157" s="262"/>
      <c r="X157" s="262"/>
      <c r="Y157" s="262"/>
      <c r="Z157" s="262"/>
      <c r="AA157" s="262"/>
      <c r="AB157" s="262"/>
      <c r="AC157" s="262"/>
      <c r="AD157" s="262"/>
      <c r="AE157" s="262"/>
      <c r="AF157" s="262"/>
      <c r="AG157" s="262"/>
      <c r="AH157" s="262"/>
      <c r="AI157" s="262"/>
      <c r="AJ157" s="262"/>
      <c r="AK157" s="262"/>
      <c r="AL157" s="262"/>
      <c r="AM157" s="262"/>
      <c r="AN157" s="262"/>
      <c r="AO157" s="262"/>
      <c r="AP157" s="262"/>
      <c r="AQ157" s="249"/>
      <c r="AR157" s="249"/>
      <c r="AS157" s="249"/>
      <c r="AT157" s="262"/>
      <c r="AU157" s="262"/>
      <c r="AV157" s="262"/>
      <c r="AW157" s="262"/>
      <c r="AX157" s="262"/>
      <c r="AY157" s="262"/>
      <c r="AZ157" s="262"/>
      <c r="BA157" s="262"/>
      <c r="BB157" s="262"/>
      <c r="BC157" s="262"/>
      <c r="BD157" s="262"/>
      <c r="BE157" s="262"/>
      <c r="BF157" s="262"/>
      <c r="BG157" s="262"/>
      <c r="BH157" s="262"/>
      <c r="BI157" s="262"/>
      <c r="BJ157" s="262"/>
      <c r="BK157" s="262"/>
      <c r="BL157" s="262"/>
      <c r="BM157" s="262"/>
      <c r="BN157" s="262"/>
      <c r="BO157" s="262"/>
      <c r="BP157" s="262"/>
      <c r="BQ157" s="262"/>
      <c r="BR157" s="262"/>
      <c r="BS157" s="262"/>
    </row>
    <row r="158" spans="1:71" s="250" customFormat="1" ht="12.75" x14ac:dyDescent="0.2">
      <c r="A158" s="266"/>
      <c r="B158" s="262"/>
      <c r="C158" s="262"/>
      <c r="D158" s="262"/>
      <c r="E158" s="262"/>
      <c r="F158" s="262"/>
      <c r="G158" s="262"/>
      <c r="H158" s="262"/>
      <c r="I158" s="262"/>
      <c r="J158" s="262"/>
      <c r="K158" s="262"/>
      <c r="L158" s="262"/>
      <c r="M158" s="262"/>
      <c r="N158" s="262"/>
      <c r="O158" s="262"/>
      <c r="P158" s="262"/>
      <c r="Q158" s="262"/>
      <c r="R158" s="262"/>
      <c r="S158" s="262"/>
      <c r="T158" s="262"/>
      <c r="U158" s="262"/>
      <c r="V158" s="262"/>
      <c r="W158" s="262"/>
      <c r="X158" s="262"/>
      <c r="Y158" s="262"/>
      <c r="Z158" s="262"/>
      <c r="AA158" s="262"/>
      <c r="AB158" s="262"/>
      <c r="AC158" s="262"/>
      <c r="AD158" s="262"/>
      <c r="AE158" s="262"/>
      <c r="AF158" s="262"/>
      <c r="AG158" s="262"/>
      <c r="AH158" s="262"/>
      <c r="AI158" s="262"/>
      <c r="AJ158" s="262"/>
      <c r="AK158" s="262"/>
      <c r="AL158" s="262"/>
      <c r="AM158" s="262"/>
      <c r="AN158" s="262"/>
      <c r="AO158" s="262"/>
      <c r="AP158" s="262"/>
      <c r="AQ158" s="249"/>
      <c r="AR158" s="249"/>
      <c r="AS158" s="249"/>
      <c r="AT158" s="262"/>
      <c r="AU158" s="262"/>
      <c r="AV158" s="262"/>
      <c r="AW158" s="262"/>
      <c r="AX158" s="262"/>
      <c r="AY158" s="262"/>
      <c r="AZ158" s="262"/>
      <c r="BA158" s="262"/>
      <c r="BB158" s="262"/>
      <c r="BC158" s="262"/>
      <c r="BD158" s="262"/>
      <c r="BE158" s="262"/>
      <c r="BF158" s="262"/>
      <c r="BG158" s="262"/>
      <c r="BH158" s="262"/>
      <c r="BI158" s="262"/>
      <c r="BJ158" s="262"/>
      <c r="BK158" s="262"/>
      <c r="BL158" s="262"/>
      <c r="BM158" s="262"/>
      <c r="BN158" s="262"/>
      <c r="BO158" s="262"/>
      <c r="BP158" s="262"/>
      <c r="BQ158" s="262"/>
      <c r="BR158" s="262"/>
      <c r="BS158" s="262"/>
    </row>
    <row r="159" spans="1:71" s="250" customFormat="1" ht="12.75" x14ac:dyDescent="0.2">
      <c r="A159" s="266"/>
      <c r="B159" s="262"/>
      <c r="C159" s="262"/>
      <c r="D159" s="262"/>
      <c r="E159" s="262"/>
      <c r="F159" s="262"/>
      <c r="G159" s="262"/>
      <c r="H159" s="262"/>
      <c r="I159" s="262"/>
      <c r="J159" s="262"/>
      <c r="K159" s="262"/>
      <c r="L159" s="262"/>
      <c r="M159" s="262"/>
      <c r="N159" s="262"/>
      <c r="O159" s="262"/>
      <c r="P159" s="262"/>
      <c r="Q159" s="262"/>
      <c r="R159" s="262"/>
      <c r="S159" s="262"/>
      <c r="T159" s="262"/>
      <c r="U159" s="262"/>
      <c r="V159" s="262"/>
      <c r="W159" s="262"/>
      <c r="X159" s="262"/>
      <c r="Y159" s="262"/>
      <c r="Z159" s="262"/>
      <c r="AA159" s="262"/>
      <c r="AB159" s="262"/>
      <c r="AC159" s="262"/>
      <c r="AD159" s="262"/>
      <c r="AE159" s="262"/>
      <c r="AF159" s="262"/>
      <c r="AG159" s="262"/>
      <c r="AH159" s="262"/>
      <c r="AI159" s="262"/>
      <c r="AJ159" s="262"/>
      <c r="AK159" s="262"/>
      <c r="AL159" s="262"/>
      <c r="AM159" s="262"/>
      <c r="AN159" s="262"/>
      <c r="AO159" s="262"/>
      <c r="AP159" s="262"/>
      <c r="AQ159" s="249"/>
      <c r="AR159" s="249"/>
      <c r="AS159" s="249"/>
      <c r="AT159" s="262"/>
      <c r="AU159" s="262"/>
      <c r="AV159" s="262"/>
      <c r="AW159" s="262"/>
      <c r="AX159" s="262"/>
      <c r="AY159" s="262"/>
      <c r="AZ159" s="262"/>
      <c r="BA159" s="262"/>
      <c r="BB159" s="262"/>
      <c r="BC159" s="262"/>
      <c r="BD159" s="262"/>
      <c r="BE159" s="262"/>
      <c r="BF159" s="262"/>
      <c r="BG159" s="262"/>
      <c r="BH159" s="262"/>
      <c r="BI159" s="262"/>
      <c r="BJ159" s="262"/>
      <c r="BK159" s="262"/>
      <c r="BL159" s="262"/>
      <c r="BM159" s="262"/>
      <c r="BN159" s="262"/>
      <c r="BO159" s="262"/>
      <c r="BP159" s="262"/>
      <c r="BQ159" s="262"/>
      <c r="BR159" s="262"/>
      <c r="BS159" s="262"/>
    </row>
    <row r="160" spans="1:71" s="250" customFormat="1" ht="12.75" x14ac:dyDescent="0.2">
      <c r="A160" s="266"/>
      <c r="B160" s="262"/>
      <c r="C160" s="262"/>
      <c r="D160" s="262"/>
      <c r="E160" s="262"/>
      <c r="F160" s="262"/>
      <c r="G160" s="262"/>
      <c r="H160" s="262"/>
      <c r="I160" s="262"/>
      <c r="J160" s="262"/>
      <c r="K160" s="262"/>
      <c r="L160" s="262"/>
      <c r="M160" s="262"/>
      <c r="N160" s="262"/>
      <c r="O160" s="262"/>
      <c r="P160" s="262"/>
      <c r="Q160" s="262"/>
      <c r="R160" s="262"/>
      <c r="S160" s="262"/>
      <c r="T160" s="262"/>
      <c r="U160" s="262"/>
      <c r="V160" s="262"/>
      <c r="W160" s="262"/>
      <c r="X160" s="262"/>
      <c r="Y160" s="262"/>
      <c r="Z160" s="262"/>
      <c r="AA160" s="262"/>
      <c r="AB160" s="262"/>
      <c r="AC160" s="262"/>
      <c r="AD160" s="262"/>
      <c r="AE160" s="262"/>
      <c r="AF160" s="262"/>
      <c r="AG160" s="262"/>
      <c r="AH160" s="262"/>
      <c r="AI160" s="262"/>
      <c r="AJ160" s="262"/>
      <c r="AK160" s="262"/>
      <c r="AL160" s="262"/>
      <c r="AM160" s="262"/>
      <c r="AN160" s="262"/>
      <c r="AO160" s="262"/>
      <c r="AP160" s="262"/>
      <c r="AQ160" s="249"/>
      <c r="AR160" s="249"/>
      <c r="AS160" s="249"/>
      <c r="AT160" s="262"/>
      <c r="AU160" s="262"/>
      <c r="AV160" s="262"/>
      <c r="AW160" s="262"/>
      <c r="AX160" s="262"/>
      <c r="AY160" s="262"/>
      <c r="AZ160" s="262"/>
      <c r="BA160" s="262"/>
      <c r="BB160" s="262"/>
      <c r="BC160" s="262"/>
      <c r="BD160" s="262"/>
      <c r="BE160" s="262"/>
      <c r="BF160" s="262"/>
      <c r="BG160" s="262"/>
      <c r="BH160" s="262"/>
      <c r="BI160" s="262"/>
      <c r="BJ160" s="262"/>
      <c r="BK160" s="262"/>
      <c r="BL160" s="262"/>
      <c r="BM160" s="262"/>
      <c r="BN160" s="262"/>
      <c r="BO160" s="262"/>
      <c r="BP160" s="262"/>
      <c r="BQ160" s="262"/>
      <c r="BR160" s="262"/>
      <c r="BS160" s="262"/>
    </row>
    <row r="161" spans="1:71" s="250" customFormat="1" ht="12.75" x14ac:dyDescent="0.2">
      <c r="A161" s="266"/>
      <c r="B161" s="262"/>
      <c r="C161" s="262"/>
      <c r="D161" s="262"/>
      <c r="E161" s="262"/>
      <c r="F161" s="262"/>
      <c r="G161" s="262"/>
      <c r="H161" s="262"/>
      <c r="I161" s="262"/>
      <c r="J161" s="262"/>
      <c r="K161" s="262"/>
      <c r="L161" s="262"/>
      <c r="M161" s="262"/>
      <c r="N161" s="262"/>
      <c r="O161" s="262"/>
      <c r="P161" s="262"/>
      <c r="Q161" s="262"/>
      <c r="R161" s="262"/>
      <c r="S161" s="262"/>
      <c r="T161" s="262"/>
      <c r="U161" s="262"/>
      <c r="V161" s="262"/>
      <c r="W161" s="262"/>
      <c r="X161" s="262"/>
      <c r="Y161" s="262"/>
      <c r="Z161" s="262"/>
      <c r="AA161" s="262"/>
      <c r="AB161" s="262"/>
      <c r="AC161" s="262"/>
      <c r="AD161" s="262"/>
      <c r="AE161" s="262"/>
      <c r="AF161" s="262"/>
      <c r="AG161" s="262"/>
      <c r="AH161" s="262"/>
      <c r="AI161" s="262"/>
      <c r="AJ161" s="262"/>
      <c r="AK161" s="262"/>
      <c r="AL161" s="262"/>
      <c r="AM161" s="262"/>
      <c r="AN161" s="262"/>
      <c r="AO161" s="262"/>
      <c r="AP161" s="262"/>
      <c r="AQ161" s="249"/>
      <c r="AR161" s="249"/>
      <c r="AS161" s="249"/>
      <c r="AT161" s="262"/>
      <c r="AU161" s="262"/>
      <c r="AV161" s="262"/>
      <c r="AW161" s="262"/>
      <c r="AX161" s="262"/>
      <c r="AY161" s="262"/>
      <c r="AZ161" s="262"/>
      <c r="BA161" s="262"/>
      <c r="BB161" s="262"/>
      <c r="BC161" s="262"/>
      <c r="BD161" s="262"/>
      <c r="BE161" s="262"/>
      <c r="BF161" s="262"/>
      <c r="BG161" s="262"/>
      <c r="BH161" s="262"/>
      <c r="BI161" s="262"/>
      <c r="BJ161" s="262"/>
      <c r="BK161" s="262"/>
      <c r="BL161" s="262"/>
      <c r="BM161" s="262"/>
      <c r="BN161" s="262"/>
      <c r="BO161" s="262"/>
      <c r="BP161" s="262"/>
      <c r="BQ161" s="262"/>
      <c r="BR161" s="262"/>
      <c r="BS161" s="262"/>
    </row>
    <row r="162" spans="1:71" s="250" customFormat="1" ht="12.75" x14ac:dyDescent="0.2">
      <c r="A162" s="266"/>
      <c r="B162" s="262"/>
      <c r="C162" s="262"/>
      <c r="D162" s="262"/>
      <c r="E162" s="262"/>
      <c r="F162" s="262"/>
      <c r="G162" s="262"/>
      <c r="H162" s="262"/>
      <c r="I162" s="262"/>
      <c r="J162" s="262"/>
      <c r="K162" s="262"/>
      <c r="L162" s="262"/>
      <c r="M162" s="262"/>
      <c r="N162" s="262"/>
      <c r="O162" s="262"/>
      <c r="P162" s="262"/>
      <c r="Q162" s="262"/>
      <c r="R162" s="262"/>
      <c r="S162" s="262"/>
      <c r="T162" s="262"/>
      <c r="U162" s="262"/>
      <c r="V162" s="262"/>
      <c r="W162" s="262"/>
      <c r="X162" s="262"/>
      <c r="Y162" s="262"/>
      <c r="Z162" s="262"/>
      <c r="AA162" s="262"/>
      <c r="AB162" s="262"/>
      <c r="AC162" s="262"/>
      <c r="AD162" s="262"/>
      <c r="AE162" s="262"/>
      <c r="AF162" s="262"/>
      <c r="AG162" s="262"/>
      <c r="AH162" s="262"/>
      <c r="AI162" s="262"/>
      <c r="AJ162" s="262"/>
      <c r="AK162" s="262"/>
      <c r="AL162" s="262"/>
      <c r="AM162" s="262"/>
      <c r="AN162" s="262"/>
      <c r="AO162" s="262"/>
      <c r="AP162" s="262"/>
      <c r="AQ162" s="249"/>
      <c r="AR162" s="249"/>
      <c r="AS162" s="249"/>
      <c r="AT162" s="262"/>
      <c r="AU162" s="262"/>
      <c r="AV162" s="262"/>
      <c r="AW162" s="262"/>
      <c r="AX162" s="262"/>
      <c r="AY162" s="262"/>
      <c r="AZ162" s="262"/>
      <c r="BA162" s="262"/>
      <c r="BB162" s="262"/>
      <c r="BC162" s="262"/>
      <c r="BD162" s="262"/>
      <c r="BE162" s="262"/>
      <c r="BF162" s="262"/>
      <c r="BG162" s="262"/>
      <c r="BH162" s="262"/>
      <c r="BI162" s="262"/>
      <c r="BJ162" s="262"/>
      <c r="BK162" s="262"/>
      <c r="BL162" s="262"/>
      <c r="BM162" s="262"/>
      <c r="BN162" s="262"/>
      <c r="BO162" s="262"/>
      <c r="BP162" s="262"/>
      <c r="BQ162" s="262"/>
      <c r="BR162" s="262"/>
      <c r="BS162" s="262"/>
    </row>
    <row r="163" spans="1:71" s="250" customFormat="1" ht="12.75" x14ac:dyDescent="0.2">
      <c r="A163" s="266"/>
      <c r="B163" s="262"/>
      <c r="C163" s="262"/>
      <c r="D163" s="262"/>
      <c r="E163" s="262"/>
      <c r="F163" s="262"/>
      <c r="G163" s="262"/>
      <c r="H163" s="262"/>
      <c r="I163" s="262"/>
      <c r="J163" s="262"/>
      <c r="K163" s="262"/>
      <c r="L163" s="262"/>
      <c r="M163" s="262"/>
      <c r="N163" s="262"/>
      <c r="O163" s="262"/>
      <c r="P163" s="262"/>
      <c r="Q163" s="262"/>
      <c r="R163" s="262"/>
      <c r="S163" s="262"/>
      <c r="T163" s="262"/>
      <c r="U163" s="262"/>
      <c r="V163" s="262"/>
      <c r="W163" s="262"/>
      <c r="X163" s="262"/>
      <c r="Y163" s="262"/>
      <c r="Z163" s="262"/>
      <c r="AA163" s="262"/>
      <c r="AB163" s="262"/>
      <c r="AC163" s="262"/>
      <c r="AD163" s="262"/>
      <c r="AE163" s="262"/>
      <c r="AF163" s="262"/>
      <c r="AG163" s="262"/>
      <c r="AH163" s="262"/>
      <c r="AI163" s="262"/>
      <c r="AJ163" s="262"/>
      <c r="AK163" s="262"/>
      <c r="AL163" s="262"/>
      <c r="AM163" s="262"/>
      <c r="AN163" s="262"/>
      <c r="AO163" s="262"/>
      <c r="AP163" s="262"/>
      <c r="AQ163" s="249"/>
      <c r="AR163" s="249"/>
      <c r="AS163" s="249"/>
      <c r="AT163" s="262"/>
      <c r="AU163" s="262"/>
      <c r="AV163" s="262"/>
      <c r="AW163" s="262"/>
      <c r="AX163" s="262"/>
      <c r="AY163" s="262"/>
      <c r="AZ163" s="262"/>
      <c r="BA163" s="262"/>
      <c r="BB163" s="262"/>
      <c r="BC163" s="262"/>
      <c r="BD163" s="262"/>
      <c r="BE163" s="262"/>
      <c r="BF163" s="262"/>
      <c r="BG163" s="262"/>
      <c r="BH163" s="262"/>
      <c r="BI163" s="262"/>
      <c r="BJ163" s="262"/>
      <c r="BK163" s="262"/>
      <c r="BL163" s="262"/>
      <c r="BM163" s="262"/>
      <c r="BN163" s="262"/>
      <c r="BO163" s="262"/>
      <c r="BP163" s="262"/>
      <c r="BQ163" s="262"/>
      <c r="BR163" s="262"/>
      <c r="BS163" s="262"/>
    </row>
    <row r="164" spans="1:71" s="250" customFormat="1" ht="12.75" x14ac:dyDescent="0.2">
      <c r="A164" s="266"/>
      <c r="B164" s="262"/>
      <c r="C164" s="262"/>
      <c r="D164" s="262"/>
      <c r="E164" s="262"/>
      <c r="F164" s="262"/>
      <c r="G164" s="262"/>
      <c r="H164" s="262"/>
      <c r="I164" s="262"/>
      <c r="J164" s="262"/>
      <c r="K164" s="262"/>
      <c r="L164" s="262"/>
      <c r="M164" s="262"/>
      <c r="N164" s="262"/>
      <c r="O164" s="262"/>
      <c r="P164" s="262"/>
      <c r="Q164" s="262"/>
      <c r="R164" s="262"/>
      <c r="S164" s="262"/>
      <c r="T164" s="262"/>
      <c r="U164" s="262"/>
      <c r="V164" s="262"/>
      <c r="W164" s="262"/>
      <c r="X164" s="262"/>
      <c r="Y164" s="262"/>
      <c r="Z164" s="262"/>
      <c r="AA164" s="262"/>
      <c r="AB164" s="262"/>
      <c r="AC164" s="262"/>
      <c r="AD164" s="262"/>
      <c r="AE164" s="262"/>
      <c r="AF164" s="262"/>
      <c r="AG164" s="262"/>
      <c r="AH164" s="262"/>
      <c r="AI164" s="262"/>
      <c r="AJ164" s="262"/>
      <c r="AK164" s="262"/>
      <c r="AL164" s="262"/>
      <c r="AM164" s="262"/>
      <c r="AN164" s="262"/>
      <c r="AO164" s="262"/>
      <c r="AP164" s="262"/>
      <c r="AQ164" s="249"/>
      <c r="AR164" s="249"/>
      <c r="AS164" s="249"/>
      <c r="AT164" s="262"/>
      <c r="AU164" s="262"/>
      <c r="AV164" s="262"/>
      <c r="AW164" s="262"/>
      <c r="AX164" s="262"/>
      <c r="AY164" s="262"/>
      <c r="AZ164" s="262"/>
      <c r="BA164" s="262"/>
      <c r="BB164" s="262"/>
      <c r="BC164" s="262"/>
      <c r="BD164" s="262"/>
      <c r="BE164" s="262"/>
      <c r="BF164" s="262"/>
      <c r="BG164" s="262"/>
      <c r="BH164" s="262"/>
      <c r="BI164" s="262"/>
      <c r="BJ164" s="262"/>
      <c r="BK164" s="262"/>
      <c r="BL164" s="262"/>
      <c r="BM164" s="262"/>
      <c r="BN164" s="262"/>
      <c r="BO164" s="262"/>
      <c r="BP164" s="262"/>
      <c r="BQ164" s="262"/>
      <c r="BR164" s="262"/>
      <c r="BS164" s="262"/>
    </row>
    <row r="165" spans="1:71" s="250" customFormat="1" ht="12.75" x14ac:dyDescent="0.2">
      <c r="A165" s="266"/>
      <c r="B165" s="262"/>
      <c r="C165" s="262"/>
      <c r="D165" s="262"/>
      <c r="E165" s="262"/>
      <c r="F165" s="262"/>
      <c r="G165" s="262"/>
      <c r="H165" s="262"/>
      <c r="I165" s="262"/>
      <c r="J165" s="262"/>
      <c r="K165" s="262"/>
      <c r="L165" s="262"/>
      <c r="M165" s="262"/>
      <c r="N165" s="262"/>
      <c r="O165" s="262"/>
      <c r="P165" s="262"/>
      <c r="Q165" s="262"/>
      <c r="R165" s="262"/>
      <c r="S165" s="262"/>
      <c r="T165" s="262"/>
      <c r="U165" s="262"/>
      <c r="V165" s="262"/>
      <c r="W165" s="262"/>
      <c r="X165" s="262"/>
      <c r="Y165" s="262"/>
      <c r="Z165" s="262"/>
      <c r="AA165" s="262"/>
      <c r="AB165" s="262"/>
      <c r="AC165" s="262"/>
      <c r="AD165" s="262"/>
      <c r="AE165" s="262"/>
      <c r="AF165" s="262"/>
      <c r="AG165" s="262"/>
      <c r="AH165" s="262"/>
      <c r="AI165" s="262"/>
      <c r="AJ165" s="262"/>
      <c r="AK165" s="262"/>
      <c r="AL165" s="262"/>
      <c r="AM165" s="262"/>
      <c r="AN165" s="262"/>
      <c r="AO165" s="262"/>
      <c r="AP165" s="262"/>
      <c r="AQ165" s="249"/>
      <c r="AR165" s="249"/>
      <c r="AS165" s="249"/>
      <c r="AT165" s="262"/>
      <c r="AU165" s="262"/>
      <c r="AV165" s="262"/>
      <c r="AW165" s="262"/>
      <c r="AX165" s="262"/>
      <c r="AY165" s="262"/>
      <c r="AZ165" s="262"/>
      <c r="BA165" s="262"/>
      <c r="BB165" s="262"/>
      <c r="BC165" s="262"/>
      <c r="BD165" s="262"/>
      <c r="BE165" s="262"/>
      <c r="BF165" s="262"/>
      <c r="BG165" s="262"/>
      <c r="BH165" s="262"/>
      <c r="BI165" s="262"/>
      <c r="BJ165" s="262"/>
      <c r="BK165" s="262"/>
      <c r="BL165" s="262"/>
      <c r="BM165" s="262"/>
      <c r="BN165" s="262"/>
      <c r="BO165" s="262"/>
      <c r="BP165" s="262"/>
      <c r="BQ165" s="262"/>
      <c r="BR165" s="262"/>
      <c r="BS165" s="262"/>
    </row>
    <row r="166" spans="1:71" s="250" customFormat="1" ht="12.75" x14ac:dyDescent="0.2">
      <c r="A166" s="266"/>
      <c r="B166" s="262"/>
      <c r="C166" s="262"/>
      <c r="D166" s="262"/>
      <c r="E166" s="262"/>
      <c r="F166" s="262"/>
      <c r="G166" s="262"/>
      <c r="H166" s="262"/>
      <c r="I166" s="262"/>
      <c r="J166" s="262"/>
      <c r="K166" s="262"/>
      <c r="L166" s="262"/>
      <c r="M166" s="262"/>
      <c r="N166" s="262"/>
      <c r="O166" s="262"/>
      <c r="P166" s="262"/>
      <c r="Q166" s="262"/>
      <c r="R166" s="262"/>
      <c r="S166" s="262"/>
      <c r="T166" s="262"/>
      <c r="U166" s="262"/>
      <c r="V166" s="262"/>
      <c r="W166" s="262"/>
      <c r="X166" s="262"/>
      <c r="Y166" s="262"/>
      <c r="Z166" s="262"/>
      <c r="AA166" s="262"/>
      <c r="AB166" s="262"/>
      <c r="AC166" s="262"/>
      <c r="AD166" s="262"/>
      <c r="AE166" s="262"/>
      <c r="AF166" s="262"/>
      <c r="AG166" s="262"/>
      <c r="AH166" s="262"/>
      <c r="AI166" s="262"/>
      <c r="AJ166" s="262"/>
      <c r="AK166" s="262"/>
      <c r="AL166" s="262"/>
      <c r="AM166" s="262"/>
      <c r="AN166" s="262"/>
      <c r="AO166" s="262"/>
      <c r="AP166" s="262"/>
      <c r="AQ166" s="249"/>
      <c r="AR166" s="249"/>
      <c r="AS166" s="249"/>
      <c r="AT166" s="262"/>
      <c r="AU166" s="262"/>
      <c r="AV166" s="262"/>
      <c r="AW166" s="262"/>
      <c r="AX166" s="262"/>
      <c r="AY166" s="262"/>
      <c r="AZ166" s="262"/>
      <c r="BA166" s="262"/>
      <c r="BB166" s="262"/>
      <c r="BC166" s="262"/>
      <c r="BD166" s="262"/>
      <c r="BE166" s="262"/>
      <c r="BF166" s="262"/>
      <c r="BG166" s="262"/>
      <c r="BH166" s="262"/>
      <c r="BI166" s="262"/>
      <c r="BJ166" s="262"/>
      <c r="BK166" s="262"/>
      <c r="BL166" s="262"/>
      <c r="BM166" s="262"/>
      <c r="BN166" s="262"/>
      <c r="BO166" s="262"/>
      <c r="BP166" s="262"/>
      <c r="BQ166" s="262"/>
      <c r="BR166" s="262"/>
      <c r="BS166" s="262"/>
    </row>
    <row r="167" spans="1:71" s="250" customFormat="1" ht="12.75" x14ac:dyDescent="0.2">
      <c r="A167" s="266"/>
      <c r="B167" s="262"/>
      <c r="C167" s="262"/>
      <c r="D167" s="262"/>
      <c r="E167" s="262"/>
      <c r="F167" s="262"/>
      <c r="G167" s="262"/>
      <c r="H167" s="262"/>
      <c r="I167" s="262"/>
      <c r="J167" s="262"/>
      <c r="K167" s="262"/>
      <c r="L167" s="262"/>
      <c r="M167" s="262"/>
      <c r="N167" s="262"/>
      <c r="O167" s="262"/>
      <c r="P167" s="262"/>
      <c r="Q167" s="262"/>
      <c r="R167" s="262"/>
      <c r="S167" s="262"/>
      <c r="T167" s="262"/>
      <c r="U167" s="262"/>
      <c r="V167" s="262"/>
      <c r="W167" s="262"/>
      <c r="X167" s="262"/>
      <c r="Y167" s="262"/>
      <c r="Z167" s="262"/>
      <c r="AA167" s="262"/>
      <c r="AB167" s="262"/>
      <c r="AC167" s="262"/>
      <c r="AD167" s="262"/>
      <c r="AE167" s="262"/>
      <c r="AF167" s="262"/>
      <c r="AG167" s="262"/>
      <c r="AH167" s="262"/>
      <c r="AI167" s="262"/>
      <c r="AJ167" s="262"/>
      <c r="AK167" s="262"/>
      <c r="AL167" s="262"/>
      <c r="AM167" s="262"/>
      <c r="AN167" s="262"/>
      <c r="AO167" s="262"/>
      <c r="AP167" s="262"/>
      <c r="AQ167" s="249"/>
      <c r="AR167" s="249"/>
      <c r="AS167" s="249"/>
      <c r="AT167" s="262"/>
      <c r="AU167" s="262"/>
      <c r="AV167" s="262"/>
      <c r="AW167" s="262"/>
      <c r="AX167" s="262"/>
      <c r="AY167" s="262"/>
      <c r="AZ167" s="262"/>
      <c r="BA167" s="262"/>
      <c r="BB167" s="262"/>
      <c r="BC167" s="262"/>
      <c r="BD167" s="262"/>
      <c r="BE167" s="262"/>
      <c r="BF167" s="262"/>
      <c r="BG167" s="262"/>
      <c r="BH167" s="262"/>
      <c r="BI167" s="262"/>
      <c r="BJ167" s="262"/>
      <c r="BK167" s="262"/>
      <c r="BL167" s="262"/>
      <c r="BM167" s="262"/>
      <c r="BN167" s="262"/>
      <c r="BO167" s="262"/>
      <c r="BP167" s="262"/>
      <c r="BQ167" s="262"/>
      <c r="BR167" s="262"/>
      <c r="BS167" s="262"/>
    </row>
    <row r="168" spans="1:71" s="250" customFormat="1" ht="12.75" x14ac:dyDescent="0.2">
      <c r="A168" s="266"/>
      <c r="B168" s="262"/>
      <c r="C168" s="262"/>
      <c r="D168" s="262"/>
      <c r="E168" s="262"/>
      <c r="F168" s="262"/>
      <c r="G168" s="262"/>
      <c r="H168" s="262"/>
      <c r="I168" s="262"/>
      <c r="J168" s="262"/>
      <c r="K168" s="262"/>
      <c r="L168" s="262"/>
      <c r="M168" s="262"/>
      <c r="N168" s="262"/>
      <c r="O168" s="262"/>
      <c r="P168" s="262"/>
      <c r="Q168" s="262"/>
      <c r="R168" s="262"/>
      <c r="S168" s="262"/>
      <c r="T168" s="262"/>
      <c r="U168" s="262"/>
      <c r="V168" s="262"/>
      <c r="W168" s="262"/>
      <c r="X168" s="262"/>
      <c r="Y168" s="262"/>
      <c r="Z168" s="262"/>
      <c r="AA168" s="262"/>
      <c r="AB168" s="262"/>
      <c r="AC168" s="262"/>
      <c r="AD168" s="262"/>
      <c r="AE168" s="262"/>
      <c r="AF168" s="262"/>
      <c r="AG168" s="262"/>
      <c r="AH168" s="262"/>
      <c r="AI168" s="262"/>
      <c r="AJ168" s="262"/>
      <c r="AK168" s="262"/>
      <c r="AL168" s="262"/>
      <c r="AM168" s="262"/>
      <c r="AN168" s="262"/>
      <c r="AO168" s="262"/>
      <c r="AP168" s="262"/>
      <c r="AQ168" s="249"/>
      <c r="AR168" s="249"/>
      <c r="AS168" s="249"/>
      <c r="AT168" s="262"/>
      <c r="AU168" s="262"/>
      <c r="AV168" s="262"/>
      <c r="AW168" s="262"/>
      <c r="AX168" s="262"/>
      <c r="AY168" s="262"/>
      <c r="AZ168" s="262"/>
      <c r="BA168" s="262"/>
      <c r="BB168" s="262"/>
      <c r="BC168" s="262"/>
      <c r="BD168" s="262"/>
      <c r="BE168" s="262"/>
      <c r="BF168" s="262"/>
      <c r="BG168" s="262"/>
      <c r="BH168" s="262"/>
      <c r="BI168" s="262"/>
      <c r="BJ168" s="262"/>
      <c r="BK168" s="262"/>
      <c r="BL168" s="262"/>
      <c r="BM168" s="262"/>
      <c r="BN168" s="262"/>
      <c r="BO168" s="262"/>
      <c r="BP168" s="262"/>
      <c r="BQ168" s="262"/>
      <c r="BR168" s="262"/>
      <c r="BS168" s="262"/>
    </row>
    <row r="169" spans="1:71" s="250" customFormat="1" ht="12.75" x14ac:dyDescent="0.2">
      <c r="A169" s="266"/>
      <c r="B169" s="262"/>
      <c r="C169" s="262"/>
      <c r="D169" s="262"/>
      <c r="E169" s="262"/>
      <c r="F169" s="262"/>
      <c r="G169" s="262"/>
      <c r="H169" s="262"/>
      <c r="I169" s="262"/>
      <c r="J169" s="262"/>
      <c r="K169" s="262"/>
      <c r="L169" s="262"/>
      <c r="M169" s="262"/>
      <c r="N169" s="262"/>
      <c r="O169" s="262"/>
      <c r="P169" s="262"/>
      <c r="Q169" s="262"/>
      <c r="R169" s="262"/>
      <c r="S169" s="262"/>
      <c r="T169" s="262"/>
      <c r="U169" s="262"/>
      <c r="V169" s="262"/>
      <c r="W169" s="262"/>
      <c r="X169" s="262"/>
      <c r="Y169" s="262"/>
      <c r="Z169" s="262"/>
      <c r="AA169" s="262"/>
      <c r="AB169" s="262"/>
      <c r="AC169" s="262"/>
      <c r="AD169" s="262"/>
      <c r="AE169" s="262"/>
      <c r="AF169" s="262"/>
      <c r="AG169" s="262"/>
      <c r="AH169" s="262"/>
      <c r="AI169" s="262"/>
      <c r="AJ169" s="262"/>
      <c r="AK169" s="262"/>
      <c r="AL169" s="262"/>
      <c r="AM169" s="262"/>
      <c r="AN169" s="262"/>
      <c r="AO169" s="262"/>
      <c r="AP169" s="262"/>
      <c r="AQ169" s="249"/>
      <c r="AR169" s="249"/>
      <c r="AS169" s="249"/>
      <c r="AT169" s="262"/>
      <c r="AU169" s="262"/>
      <c r="AV169" s="262"/>
      <c r="AW169" s="262"/>
      <c r="AX169" s="262"/>
      <c r="AY169" s="262"/>
      <c r="AZ169" s="262"/>
      <c r="BA169" s="262"/>
      <c r="BB169" s="262"/>
      <c r="BC169" s="262"/>
      <c r="BD169" s="262"/>
      <c r="BE169" s="262"/>
      <c r="BF169" s="262"/>
      <c r="BG169" s="262"/>
      <c r="BH169" s="262"/>
      <c r="BI169" s="262"/>
      <c r="BJ169" s="262"/>
      <c r="BK169" s="262"/>
      <c r="BL169" s="262"/>
      <c r="BM169" s="262"/>
      <c r="BN169" s="262"/>
      <c r="BO169" s="262"/>
      <c r="BP169" s="262"/>
      <c r="BQ169" s="262"/>
      <c r="BR169" s="262"/>
      <c r="BS169" s="262"/>
    </row>
    <row r="170" spans="1:71" s="250" customFormat="1" ht="12.75" x14ac:dyDescent="0.2">
      <c r="A170" s="266"/>
      <c r="B170" s="262"/>
      <c r="C170" s="262"/>
      <c r="D170" s="262"/>
      <c r="E170" s="262"/>
      <c r="F170" s="262"/>
      <c r="G170" s="262"/>
      <c r="H170" s="262"/>
      <c r="I170" s="262"/>
      <c r="J170" s="262"/>
      <c r="K170" s="262"/>
      <c r="L170" s="262"/>
      <c r="M170" s="262"/>
      <c r="N170" s="262"/>
      <c r="O170" s="262"/>
      <c r="P170" s="262"/>
      <c r="Q170" s="262"/>
      <c r="R170" s="262"/>
      <c r="S170" s="262"/>
      <c r="T170" s="262"/>
      <c r="U170" s="262"/>
      <c r="V170" s="262"/>
      <c r="W170" s="262"/>
      <c r="X170" s="262"/>
      <c r="Y170" s="262"/>
      <c r="Z170" s="262"/>
      <c r="AA170" s="262"/>
      <c r="AB170" s="262"/>
      <c r="AC170" s="262"/>
      <c r="AD170" s="262"/>
      <c r="AE170" s="262"/>
      <c r="AF170" s="262"/>
      <c r="AG170" s="262"/>
      <c r="AH170" s="262"/>
      <c r="AI170" s="262"/>
      <c r="AJ170" s="262"/>
      <c r="AK170" s="262"/>
      <c r="AL170" s="262"/>
      <c r="AM170" s="262"/>
      <c r="AN170" s="262"/>
      <c r="AO170" s="262"/>
      <c r="AP170" s="262"/>
      <c r="AQ170" s="249"/>
      <c r="AR170" s="249"/>
      <c r="AS170" s="249"/>
      <c r="AT170" s="262"/>
      <c r="AU170" s="262"/>
      <c r="AV170" s="262"/>
      <c r="AW170" s="262"/>
      <c r="AX170" s="262"/>
      <c r="AY170" s="262"/>
      <c r="AZ170" s="262"/>
      <c r="BA170" s="262"/>
      <c r="BB170" s="262"/>
      <c r="BC170" s="262"/>
      <c r="BD170" s="262"/>
      <c r="BE170" s="262"/>
      <c r="BF170" s="262"/>
      <c r="BG170" s="262"/>
      <c r="BH170" s="262"/>
      <c r="BI170" s="262"/>
      <c r="BJ170" s="262"/>
      <c r="BK170" s="262"/>
      <c r="BL170" s="262"/>
      <c r="BM170" s="262"/>
      <c r="BN170" s="262"/>
      <c r="BO170" s="262"/>
      <c r="BP170" s="262"/>
      <c r="BQ170" s="262"/>
      <c r="BR170" s="262"/>
      <c r="BS170" s="262"/>
    </row>
    <row r="171" spans="1:71" s="250" customFormat="1" ht="12.75" x14ac:dyDescent="0.2">
      <c r="A171" s="266"/>
      <c r="B171" s="262"/>
      <c r="C171" s="262"/>
      <c r="D171" s="262"/>
      <c r="E171" s="262"/>
      <c r="F171" s="262"/>
      <c r="G171" s="262"/>
      <c r="H171" s="262"/>
      <c r="I171" s="262"/>
      <c r="J171" s="262"/>
      <c r="K171" s="262"/>
      <c r="L171" s="262"/>
      <c r="M171" s="262"/>
      <c r="N171" s="262"/>
      <c r="O171" s="262"/>
      <c r="P171" s="262"/>
      <c r="Q171" s="262"/>
      <c r="R171" s="262"/>
      <c r="S171" s="262"/>
      <c r="T171" s="262"/>
      <c r="U171" s="262"/>
      <c r="V171" s="262"/>
      <c r="W171" s="262"/>
      <c r="X171" s="262"/>
      <c r="Y171" s="262"/>
      <c r="Z171" s="262"/>
      <c r="AA171" s="262"/>
      <c r="AB171" s="262"/>
      <c r="AC171" s="262"/>
      <c r="AD171" s="262"/>
      <c r="AE171" s="262"/>
      <c r="AF171" s="262"/>
      <c r="AG171" s="262"/>
      <c r="AH171" s="262"/>
      <c r="AI171" s="262"/>
      <c r="AJ171" s="262"/>
      <c r="AK171" s="262"/>
      <c r="AL171" s="262"/>
      <c r="AM171" s="262"/>
      <c r="AN171" s="262"/>
      <c r="AO171" s="262"/>
      <c r="AP171" s="262"/>
      <c r="AQ171" s="249"/>
      <c r="AR171" s="249"/>
      <c r="AS171" s="249"/>
      <c r="AT171" s="262"/>
      <c r="AU171" s="262"/>
      <c r="AV171" s="262"/>
      <c r="AW171" s="262"/>
      <c r="AX171" s="262"/>
      <c r="AY171" s="262"/>
      <c r="AZ171" s="262"/>
      <c r="BA171" s="262"/>
      <c r="BB171" s="262"/>
      <c r="BC171" s="262"/>
      <c r="BD171" s="262"/>
      <c r="BE171" s="262"/>
      <c r="BF171" s="262"/>
      <c r="BG171" s="262"/>
      <c r="BH171" s="262"/>
      <c r="BI171" s="262"/>
      <c r="BJ171" s="262"/>
      <c r="BK171" s="262"/>
      <c r="BL171" s="262"/>
      <c r="BM171" s="262"/>
      <c r="BN171" s="262"/>
      <c r="BO171" s="262"/>
      <c r="BP171" s="262"/>
      <c r="BQ171" s="262"/>
      <c r="BR171" s="262"/>
      <c r="BS171" s="262"/>
    </row>
    <row r="172" spans="1:71" s="250" customFormat="1" ht="12.75" x14ac:dyDescent="0.2">
      <c r="A172" s="266"/>
      <c r="B172" s="262"/>
      <c r="C172" s="262"/>
      <c r="D172" s="262"/>
      <c r="E172" s="262"/>
      <c r="F172" s="262"/>
      <c r="G172" s="262"/>
      <c r="H172" s="262"/>
      <c r="I172" s="262"/>
      <c r="J172" s="262"/>
      <c r="K172" s="262"/>
      <c r="L172" s="262"/>
      <c r="M172" s="262"/>
      <c r="N172" s="262"/>
      <c r="O172" s="262"/>
      <c r="P172" s="262"/>
      <c r="Q172" s="262"/>
      <c r="R172" s="262"/>
      <c r="S172" s="262"/>
      <c r="T172" s="262"/>
      <c r="U172" s="262"/>
      <c r="V172" s="262"/>
      <c r="W172" s="262"/>
      <c r="X172" s="262"/>
      <c r="Y172" s="262"/>
      <c r="Z172" s="262"/>
      <c r="AA172" s="262"/>
      <c r="AB172" s="262"/>
      <c r="AC172" s="262"/>
      <c r="AD172" s="262"/>
      <c r="AE172" s="262"/>
      <c r="AF172" s="262"/>
      <c r="AG172" s="262"/>
      <c r="AH172" s="262"/>
      <c r="AI172" s="262"/>
      <c r="AJ172" s="262"/>
      <c r="AK172" s="262"/>
      <c r="AL172" s="262"/>
      <c r="AM172" s="262"/>
      <c r="AN172" s="262"/>
      <c r="AO172" s="262"/>
      <c r="AP172" s="262"/>
      <c r="AQ172" s="249"/>
      <c r="AR172" s="249"/>
      <c r="AS172" s="249"/>
      <c r="AT172" s="262"/>
      <c r="AU172" s="262"/>
      <c r="AV172" s="262"/>
      <c r="AW172" s="262"/>
      <c r="AX172" s="262"/>
      <c r="AY172" s="262"/>
      <c r="AZ172" s="262"/>
      <c r="BA172" s="262"/>
      <c r="BB172" s="262"/>
      <c r="BC172" s="262"/>
      <c r="BD172" s="262"/>
      <c r="BE172" s="262"/>
      <c r="BF172" s="262"/>
      <c r="BG172" s="262"/>
      <c r="BH172" s="262"/>
      <c r="BI172" s="262"/>
      <c r="BJ172" s="262"/>
      <c r="BK172" s="262"/>
      <c r="BL172" s="262"/>
      <c r="BM172" s="262"/>
      <c r="BN172" s="262"/>
      <c r="BO172" s="262"/>
      <c r="BP172" s="262"/>
      <c r="BQ172" s="262"/>
      <c r="BR172" s="262"/>
      <c r="BS172" s="262"/>
    </row>
    <row r="173" spans="1:71" s="250" customFormat="1" ht="12.75" x14ac:dyDescent="0.2">
      <c r="A173" s="266"/>
      <c r="B173" s="262"/>
      <c r="C173" s="262"/>
      <c r="D173" s="262"/>
      <c r="E173" s="262"/>
      <c r="F173" s="262"/>
      <c r="G173" s="262"/>
      <c r="H173" s="262"/>
      <c r="I173" s="262"/>
      <c r="J173" s="262"/>
      <c r="K173" s="262"/>
      <c r="L173" s="262"/>
      <c r="M173" s="262"/>
      <c r="N173" s="262"/>
      <c r="O173" s="262"/>
      <c r="P173" s="262"/>
      <c r="Q173" s="262"/>
      <c r="R173" s="262"/>
      <c r="S173" s="262"/>
      <c r="T173" s="262"/>
      <c r="U173" s="262"/>
      <c r="V173" s="262"/>
      <c r="W173" s="262"/>
      <c r="X173" s="262"/>
      <c r="Y173" s="262"/>
      <c r="Z173" s="262"/>
      <c r="AA173" s="262"/>
      <c r="AB173" s="262"/>
      <c r="AC173" s="262"/>
      <c r="AD173" s="262"/>
      <c r="AE173" s="262"/>
      <c r="AF173" s="262"/>
      <c r="AG173" s="262"/>
      <c r="AH173" s="262"/>
      <c r="AI173" s="262"/>
      <c r="AJ173" s="262"/>
      <c r="AK173" s="262"/>
      <c r="AL173" s="262"/>
      <c r="AM173" s="262"/>
      <c r="AN173" s="262"/>
      <c r="AO173" s="262"/>
      <c r="AP173" s="262"/>
      <c r="AQ173" s="249"/>
      <c r="AR173" s="249"/>
      <c r="AS173" s="249"/>
      <c r="AT173" s="262"/>
      <c r="AU173" s="262"/>
      <c r="AV173" s="262"/>
      <c r="AW173" s="262"/>
      <c r="AX173" s="262"/>
      <c r="AY173" s="262"/>
      <c r="AZ173" s="262"/>
      <c r="BA173" s="262"/>
      <c r="BB173" s="262"/>
      <c r="BC173" s="262"/>
      <c r="BD173" s="262"/>
      <c r="BE173" s="262"/>
      <c r="BF173" s="262"/>
      <c r="BG173" s="262"/>
      <c r="BH173" s="262"/>
      <c r="BI173" s="262"/>
      <c r="BJ173" s="262"/>
      <c r="BK173" s="262"/>
      <c r="BL173" s="262"/>
      <c r="BM173" s="262"/>
      <c r="BN173" s="262"/>
      <c r="BO173" s="262"/>
      <c r="BP173" s="262"/>
      <c r="BQ173" s="262"/>
      <c r="BR173" s="262"/>
      <c r="BS173" s="262"/>
    </row>
    <row r="174" spans="1:71" s="250" customFormat="1" ht="12.75" x14ac:dyDescent="0.2">
      <c r="A174" s="266"/>
      <c r="B174" s="262"/>
      <c r="C174" s="262"/>
      <c r="D174" s="262"/>
      <c r="E174" s="262"/>
      <c r="F174" s="262"/>
      <c r="G174" s="262"/>
      <c r="H174" s="262"/>
      <c r="I174" s="262"/>
      <c r="J174" s="262"/>
      <c r="K174" s="262"/>
      <c r="L174" s="262"/>
      <c r="M174" s="262"/>
      <c r="N174" s="262"/>
      <c r="O174" s="262"/>
      <c r="P174" s="262"/>
      <c r="Q174" s="262"/>
      <c r="R174" s="262"/>
      <c r="S174" s="262"/>
      <c r="T174" s="262"/>
      <c r="U174" s="262"/>
      <c r="V174" s="262"/>
      <c r="W174" s="262"/>
      <c r="X174" s="262"/>
      <c r="Y174" s="262"/>
      <c r="Z174" s="262"/>
      <c r="AA174" s="262"/>
      <c r="AB174" s="262"/>
      <c r="AC174" s="262"/>
      <c r="AD174" s="262"/>
      <c r="AE174" s="262"/>
      <c r="AF174" s="262"/>
      <c r="AG174" s="262"/>
      <c r="AH174" s="262"/>
      <c r="AI174" s="262"/>
      <c r="AJ174" s="262"/>
      <c r="AK174" s="262"/>
      <c r="AL174" s="262"/>
      <c r="AM174" s="262"/>
      <c r="AN174" s="262"/>
      <c r="AO174" s="262"/>
      <c r="AP174" s="262"/>
      <c r="AQ174" s="249"/>
      <c r="AR174" s="249"/>
      <c r="AS174" s="249"/>
      <c r="AT174" s="262"/>
      <c r="AU174" s="262"/>
      <c r="AV174" s="262"/>
      <c r="AW174" s="262"/>
      <c r="AX174" s="262"/>
      <c r="AY174" s="262"/>
      <c r="AZ174" s="262"/>
      <c r="BA174" s="262"/>
      <c r="BB174" s="262"/>
      <c r="BC174" s="262"/>
      <c r="BD174" s="262"/>
      <c r="BE174" s="262"/>
      <c r="BF174" s="262"/>
      <c r="BG174" s="262"/>
      <c r="BH174" s="262"/>
      <c r="BI174" s="262"/>
      <c r="BJ174" s="262"/>
      <c r="BK174" s="262"/>
      <c r="BL174" s="262"/>
      <c r="BM174" s="262"/>
      <c r="BN174" s="262"/>
      <c r="BO174" s="262"/>
      <c r="BP174" s="262"/>
      <c r="BQ174" s="262"/>
      <c r="BR174" s="262"/>
      <c r="BS174" s="262"/>
    </row>
    <row r="175" spans="1:71" s="250" customFormat="1" ht="12.75" x14ac:dyDescent="0.2">
      <c r="A175" s="266"/>
      <c r="B175" s="262"/>
      <c r="C175" s="262"/>
      <c r="D175" s="262"/>
      <c r="E175" s="262"/>
      <c r="F175" s="262"/>
      <c r="G175" s="262"/>
      <c r="H175" s="262"/>
      <c r="I175" s="262"/>
      <c r="J175" s="262"/>
      <c r="K175" s="262"/>
      <c r="L175" s="262"/>
      <c r="M175" s="262"/>
      <c r="N175" s="262"/>
      <c r="O175" s="262"/>
      <c r="P175" s="262"/>
      <c r="Q175" s="262"/>
      <c r="R175" s="262"/>
      <c r="S175" s="262"/>
      <c r="T175" s="262"/>
      <c r="U175" s="262"/>
      <c r="V175" s="262"/>
      <c r="W175" s="262"/>
      <c r="X175" s="262"/>
      <c r="Y175" s="262"/>
      <c r="Z175" s="262"/>
      <c r="AA175" s="262"/>
      <c r="AB175" s="262"/>
      <c r="AC175" s="262"/>
      <c r="AD175" s="262"/>
      <c r="AE175" s="262"/>
      <c r="AF175" s="262"/>
      <c r="AG175" s="262"/>
      <c r="AH175" s="262"/>
      <c r="AI175" s="262"/>
      <c r="AJ175" s="262"/>
      <c r="AK175" s="262"/>
      <c r="AL175" s="262"/>
      <c r="AM175" s="262"/>
      <c r="AN175" s="262"/>
      <c r="AO175" s="262"/>
      <c r="AP175" s="262"/>
      <c r="AQ175" s="249"/>
      <c r="AR175" s="249"/>
      <c r="AS175" s="249"/>
      <c r="AT175" s="262"/>
      <c r="AU175" s="262"/>
      <c r="AV175" s="262"/>
      <c r="AW175" s="262"/>
      <c r="AX175" s="262"/>
      <c r="AY175" s="262"/>
      <c r="AZ175" s="262"/>
      <c r="BA175" s="262"/>
      <c r="BB175" s="262"/>
      <c r="BC175" s="262"/>
      <c r="BD175" s="262"/>
      <c r="BE175" s="262"/>
      <c r="BF175" s="262"/>
      <c r="BG175" s="262"/>
      <c r="BH175" s="262"/>
      <c r="BI175" s="262"/>
      <c r="BJ175" s="262"/>
      <c r="BK175" s="262"/>
      <c r="BL175" s="262"/>
      <c r="BM175" s="262"/>
      <c r="BN175" s="262"/>
      <c r="BO175" s="262"/>
      <c r="BP175" s="262"/>
      <c r="BQ175" s="262"/>
      <c r="BR175" s="262"/>
      <c r="BS175" s="262"/>
    </row>
    <row r="176" spans="1:71" s="250" customFormat="1" ht="12.75" x14ac:dyDescent="0.2">
      <c r="A176" s="266"/>
      <c r="B176" s="262"/>
      <c r="C176" s="262"/>
      <c r="D176" s="262"/>
      <c r="E176" s="262"/>
      <c r="F176" s="262"/>
      <c r="G176" s="262"/>
      <c r="H176" s="262"/>
      <c r="I176" s="262"/>
      <c r="J176" s="262"/>
      <c r="K176" s="262"/>
      <c r="L176" s="262"/>
      <c r="M176" s="262"/>
      <c r="N176" s="262"/>
      <c r="O176" s="262"/>
      <c r="P176" s="262"/>
      <c r="Q176" s="262"/>
      <c r="R176" s="262"/>
      <c r="S176" s="262"/>
      <c r="T176" s="262"/>
      <c r="U176" s="262"/>
      <c r="V176" s="262"/>
      <c r="W176" s="262"/>
      <c r="X176" s="262"/>
      <c r="Y176" s="262"/>
      <c r="Z176" s="262"/>
      <c r="AA176" s="262"/>
      <c r="AB176" s="262"/>
      <c r="AC176" s="262"/>
      <c r="AD176" s="262"/>
      <c r="AE176" s="262"/>
      <c r="AF176" s="262"/>
      <c r="AG176" s="262"/>
      <c r="AH176" s="262"/>
      <c r="AI176" s="262"/>
      <c r="AJ176" s="262"/>
      <c r="AK176" s="262"/>
      <c r="AL176" s="262"/>
      <c r="AM176" s="262"/>
      <c r="AN176" s="262"/>
      <c r="AO176" s="262"/>
      <c r="AP176" s="262"/>
      <c r="AQ176" s="249"/>
      <c r="AR176" s="249"/>
      <c r="AS176" s="249"/>
      <c r="AT176" s="262"/>
      <c r="AU176" s="262"/>
      <c r="AV176" s="262"/>
      <c r="AW176" s="262"/>
      <c r="AX176" s="262"/>
      <c r="AY176" s="262"/>
      <c r="AZ176" s="262"/>
      <c r="BA176" s="262"/>
      <c r="BB176" s="262"/>
      <c r="BC176" s="262"/>
      <c r="BD176" s="262"/>
      <c r="BE176" s="262"/>
      <c r="BF176" s="262"/>
      <c r="BG176" s="262"/>
      <c r="BH176" s="262"/>
      <c r="BI176" s="262"/>
      <c r="BJ176" s="262"/>
      <c r="BK176" s="262"/>
      <c r="BL176" s="262"/>
      <c r="BM176" s="262"/>
      <c r="BN176" s="262"/>
      <c r="BO176" s="262"/>
      <c r="BP176" s="262"/>
      <c r="BQ176" s="262"/>
      <c r="BR176" s="262"/>
      <c r="BS176" s="262"/>
    </row>
    <row r="177" spans="1:71" s="250" customFormat="1" ht="12.75" x14ac:dyDescent="0.2">
      <c r="A177" s="266"/>
      <c r="B177" s="262"/>
      <c r="C177" s="262"/>
      <c r="D177" s="262"/>
      <c r="E177" s="262"/>
      <c r="F177" s="262"/>
      <c r="G177" s="262"/>
      <c r="H177" s="262"/>
      <c r="I177" s="262"/>
      <c r="J177" s="262"/>
      <c r="K177" s="262"/>
      <c r="L177" s="262"/>
      <c r="M177" s="262"/>
      <c r="N177" s="262"/>
      <c r="O177" s="262"/>
      <c r="P177" s="262"/>
      <c r="Q177" s="262"/>
      <c r="R177" s="262"/>
      <c r="S177" s="262"/>
      <c r="T177" s="262"/>
      <c r="U177" s="262"/>
      <c r="V177" s="262"/>
      <c r="W177" s="262"/>
      <c r="X177" s="262"/>
      <c r="Y177" s="262"/>
      <c r="Z177" s="262"/>
      <c r="AA177" s="262"/>
      <c r="AB177" s="262"/>
      <c r="AC177" s="262"/>
      <c r="AD177" s="262"/>
      <c r="AE177" s="262"/>
      <c r="AF177" s="262"/>
      <c r="AG177" s="262"/>
      <c r="AH177" s="262"/>
      <c r="AI177" s="262"/>
      <c r="AJ177" s="262"/>
      <c r="AK177" s="262"/>
      <c r="AL177" s="262"/>
      <c r="AM177" s="262"/>
      <c r="AN177" s="262"/>
      <c r="AO177" s="262"/>
      <c r="AP177" s="262"/>
      <c r="AQ177" s="249"/>
      <c r="AR177" s="249"/>
      <c r="AS177" s="249"/>
      <c r="AT177" s="262"/>
      <c r="AU177" s="262"/>
      <c r="AV177" s="262"/>
      <c r="AW177" s="262"/>
      <c r="AX177" s="262"/>
      <c r="AY177" s="262"/>
      <c r="AZ177" s="262"/>
      <c r="BA177" s="262"/>
      <c r="BB177" s="262"/>
      <c r="BC177" s="262"/>
      <c r="BD177" s="262"/>
      <c r="BE177" s="262"/>
      <c r="BF177" s="262"/>
      <c r="BG177" s="262"/>
      <c r="BH177" s="262"/>
      <c r="BI177" s="262"/>
      <c r="BJ177" s="262"/>
      <c r="BK177" s="262"/>
      <c r="BL177" s="262"/>
      <c r="BM177" s="262"/>
      <c r="BN177" s="262"/>
      <c r="BO177" s="262"/>
      <c r="BP177" s="262"/>
      <c r="BQ177" s="262"/>
      <c r="BR177" s="262"/>
      <c r="BS177" s="262"/>
    </row>
    <row r="178" spans="1:71" s="250" customFormat="1" ht="12.75" x14ac:dyDescent="0.2">
      <c r="A178" s="266"/>
      <c r="B178" s="262"/>
      <c r="C178" s="262"/>
      <c r="D178" s="262"/>
      <c r="E178" s="262"/>
      <c r="F178" s="262"/>
      <c r="G178" s="262"/>
      <c r="H178" s="262"/>
      <c r="I178" s="262"/>
      <c r="J178" s="262"/>
      <c r="K178" s="262"/>
      <c r="L178" s="262"/>
      <c r="M178" s="262"/>
      <c r="N178" s="262"/>
      <c r="O178" s="262"/>
      <c r="P178" s="262"/>
      <c r="Q178" s="262"/>
      <c r="R178" s="262"/>
      <c r="S178" s="262"/>
      <c r="T178" s="262"/>
      <c r="U178" s="262"/>
      <c r="V178" s="262"/>
      <c r="W178" s="262"/>
      <c r="X178" s="262"/>
      <c r="Y178" s="262"/>
      <c r="Z178" s="262"/>
      <c r="AA178" s="262"/>
      <c r="AB178" s="262"/>
      <c r="AC178" s="262"/>
      <c r="AD178" s="262"/>
      <c r="AE178" s="262"/>
      <c r="AF178" s="262"/>
      <c r="AG178" s="262"/>
      <c r="AH178" s="262"/>
      <c r="AI178" s="262"/>
      <c r="AJ178" s="262"/>
      <c r="AK178" s="262"/>
      <c r="AL178" s="262"/>
      <c r="AM178" s="262"/>
      <c r="AN178" s="262"/>
      <c r="AO178" s="262"/>
      <c r="AP178" s="262"/>
      <c r="AQ178" s="249"/>
      <c r="AR178" s="249"/>
      <c r="AS178" s="249"/>
      <c r="AT178" s="262"/>
      <c r="AU178" s="262"/>
      <c r="AV178" s="262"/>
      <c r="AW178" s="262"/>
      <c r="AX178" s="262"/>
      <c r="AY178" s="262"/>
      <c r="AZ178" s="262"/>
      <c r="BA178" s="262"/>
      <c r="BB178" s="262"/>
      <c r="BC178" s="262"/>
      <c r="BD178" s="262"/>
      <c r="BE178" s="262"/>
      <c r="BF178" s="262"/>
      <c r="BG178" s="262"/>
      <c r="BH178" s="262"/>
      <c r="BI178" s="262"/>
      <c r="BJ178" s="262"/>
      <c r="BK178" s="262"/>
      <c r="BL178" s="262"/>
      <c r="BM178" s="262"/>
      <c r="BN178" s="262"/>
      <c r="BO178" s="262"/>
      <c r="BP178" s="262"/>
      <c r="BQ178" s="262"/>
      <c r="BR178" s="262"/>
      <c r="BS178" s="262"/>
    </row>
    <row r="179" spans="1:71" s="250" customFormat="1" ht="12.75" x14ac:dyDescent="0.2">
      <c r="A179" s="266"/>
      <c r="B179" s="262">
        <v>1</v>
      </c>
      <c r="C179" s="262">
        <v>2</v>
      </c>
      <c r="D179" s="262">
        <f>C179+1</f>
        <v>3</v>
      </c>
      <c r="E179" s="262">
        <f t="shared" ref="E179:M179" si="34">D179+1</f>
        <v>4</v>
      </c>
      <c r="F179" s="262">
        <f t="shared" si="34"/>
        <v>5</v>
      </c>
      <c r="G179" s="262">
        <f t="shared" si="34"/>
        <v>6</v>
      </c>
      <c r="H179" s="262">
        <f t="shared" si="34"/>
        <v>7</v>
      </c>
      <c r="I179" s="262">
        <f t="shared" si="34"/>
        <v>8</v>
      </c>
      <c r="J179" s="262">
        <f t="shared" si="34"/>
        <v>9</v>
      </c>
      <c r="K179" s="262">
        <f t="shared" si="34"/>
        <v>10</v>
      </c>
      <c r="L179" s="262">
        <f t="shared" si="34"/>
        <v>11</v>
      </c>
      <c r="M179" s="262">
        <f t="shared" si="34"/>
        <v>12</v>
      </c>
      <c r="N179" s="262"/>
      <c r="O179" s="262"/>
      <c r="P179" s="262"/>
      <c r="Q179" s="262"/>
      <c r="R179" s="262"/>
      <c r="S179" s="262"/>
      <c r="T179" s="262"/>
      <c r="U179" s="262"/>
      <c r="V179" s="262"/>
      <c r="W179" s="262"/>
      <c r="X179" s="262"/>
      <c r="Y179" s="262"/>
      <c r="Z179" s="262"/>
      <c r="AA179" s="262"/>
      <c r="AB179" s="262"/>
      <c r="AC179" s="262"/>
      <c r="AD179" s="262"/>
      <c r="AE179" s="262"/>
      <c r="AF179" s="262"/>
      <c r="AG179" s="262"/>
      <c r="AH179" s="262"/>
      <c r="AI179" s="262"/>
      <c r="AJ179" s="262"/>
      <c r="AK179" s="262"/>
      <c r="AL179" s="262"/>
      <c r="AM179" s="262"/>
      <c r="AN179" s="262"/>
      <c r="AO179" s="262"/>
      <c r="AP179" s="262"/>
      <c r="AQ179" s="249"/>
      <c r="AR179" s="249"/>
      <c r="AS179" s="249"/>
      <c r="AT179" s="262"/>
      <c r="AU179" s="262"/>
      <c r="AV179" s="262"/>
      <c r="AW179" s="262"/>
      <c r="AX179" s="262"/>
      <c r="AY179" s="262"/>
      <c r="AZ179" s="262"/>
      <c r="BA179" s="262"/>
      <c r="BB179" s="262"/>
      <c r="BC179" s="262"/>
      <c r="BD179" s="262"/>
      <c r="BE179" s="262"/>
      <c r="BF179" s="262"/>
      <c r="BG179" s="262"/>
      <c r="BH179" s="262"/>
      <c r="BI179" s="262"/>
      <c r="BJ179" s="262"/>
      <c r="BK179" s="262"/>
      <c r="BL179" s="262"/>
      <c r="BM179" s="262"/>
      <c r="BN179" s="262"/>
      <c r="BO179" s="262"/>
      <c r="BP179" s="262"/>
      <c r="BQ179" s="262"/>
      <c r="BR179" s="262"/>
      <c r="BS179" s="262"/>
    </row>
    <row r="180" spans="1:71" s="250" customFormat="1" ht="12.75" x14ac:dyDescent="0.2">
      <c r="A180" s="266"/>
      <c r="B180" s="262"/>
      <c r="C180" s="262"/>
      <c r="D180" s="262"/>
      <c r="E180" s="262"/>
      <c r="F180" s="262"/>
      <c r="G180" s="262"/>
      <c r="H180" s="262"/>
      <c r="I180" s="262"/>
      <c r="J180" s="262"/>
      <c r="K180" s="262"/>
      <c r="L180" s="262"/>
      <c r="M180" s="262"/>
      <c r="N180" s="262"/>
      <c r="O180" s="262"/>
      <c r="P180" s="262"/>
      <c r="Q180" s="262"/>
      <c r="R180" s="262"/>
      <c r="S180" s="262"/>
      <c r="T180" s="262"/>
      <c r="U180" s="262"/>
      <c r="V180" s="262"/>
      <c r="W180" s="262"/>
      <c r="X180" s="262"/>
      <c r="Y180" s="262"/>
      <c r="Z180" s="262"/>
      <c r="AA180" s="262"/>
      <c r="AB180" s="262"/>
      <c r="AC180" s="262"/>
      <c r="AD180" s="262"/>
      <c r="AE180" s="262"/>
      <c r="AF180" s="262"/>
      <c r="AG180" s="262"/>
      <c r="AH180" s="262"/>
      <c r="AI180" s="262"/>
      <c r="AJ180" s="262"/>
      <c r="AK180" s="262"/>
      <c r="AL180" s="262"/>
      <c r="AM180" s="262"/>
      <c r="AN180" s="262"/>
      <c r="AO180" s="262"/>
      <c r="AP180" s="262"/>
      <c r="AQ180" s="249"/>
      <c r="AR180" s="249"/>
      <c r="AS180" s="249"/>
      <c r="AT180" s="262"/>
      <c r="AU180" s="262"/>
      <c r="AV180" s="262"/>
      <c r="AW180" s="262"/>
      <c r="AX180" s="262"/>
      <c r="AY180" s="262"/>
      <c r="AZ180" s="262"/>
      <c r="BA180" s="262"/>
      <c r="BB180" s="262"/>
      <c r="BC180" s="262"/>
      <c r="BD180" s="262"/>
      <c r="BE180" s="262"/>
      <c r="BF180" s="262"/>
      <c r="BG180" s="262"/>
      <c r="BH180" s="262"/>
      <c r="BI180" s="262"/>
      <c r="BJ180" s="262"/>
      <c r="BK180" s="262"/>
      <c r="BL180" s="262"/>
      <c r="BM180" s="262"/>
      <c r="BN180" s="262"/>
      <c r="BO180" s="262"/>
      <c r="BP180" s="262"/>
      <c r="BQ180" s="262"/>
      <c r="BR180" s="262"/>
      <c r="BS180" s="262"/>
    </row>
    <row r="181" spans="1:71" s="250" customFormat="1" ht="12.75" x14ac:dyDescent="0.2">
      <c r="A181" s="266"/>
      <c r="B181" s="262"/>
      <c r="C181" s="262"/>
      <c r="D181" s="262"/>
      <c r="E181" s="262"/>
      <c r="F181" s="262"/>
      <c r="G181" s="262"/>
      <c r="H181" s="262"/>
      <c r="I181" s="262"/>
      <c r="J181" s="262"/>
      <c r="K181" s="262"/>
      <c r="L181" s="262"/>
      <c r="M181" s="262"/>
      <c r="N181" s="262"/>
      <c r="O181" s="262"/>
      <c r="P181" s="262"/>
      <c r="Q181" s="262"/>
      <c r="R181" s="262"/>
      <c r="S181" s="262"/>
      <c r="T181" s="262"/>
      <c r="U181" s="262"/>
      <c r="V181" s="262"/>
      <c r="W181" s="262"/>
      <c r="X181" s="262"/>
      <c r="Y181" s="262"/>
      <c r="Z181" s="262"/>
      <c r="AA181" s="262"/>
      <c r="AB181" s="262"/>
      <c r="AC181" s="262"/>
      <c r="AD181" s="262"/>
      <c r="AE181" s="262"/>
      <c r="AF181" s="262"/>
      <c r="AG181" s="262"/>
      <c r="AH181" s="262"/>
      <c r="AI181" s="262"/>
      <c r="AJ181" s="262"/>
      <c r="AK181" s="262"/>
      <c r="AL181" s="262"/>
      <c r="AM181" s="262"/>
      <c r="AN181" s="262"/>
      <c r="AO181" s="262"/>
      <c r="AP181" s="262"/>
      <c r="AQ181" s="249"/>
      <c r="AR181" s="249"/>
      <c r="AS181" s="249"/>
      <c r="AT181" s="262"/>
      <c r="AU181" s="262"/>
      <c r="AV181" s="262"/>
      <c r="AW181" s="262"/>
      <c r="AX181" s="262"/>
      <c r="AY181" s="262"/>
      <c r="AZ181" s="262"/>
      <c r="BA181" s="262"/>
      <c r="BB181" s="262"/>
      <c r="BC181" s="262"/>
      <c r="BD181" s="262"/>
      <c r="BE181" s="262"/>
      <c r="BF181" s="262"/>
      <c r="BG181" s="262"/>
      <c r="BH181" s="262"/>
      <c r="BI181" s="262"/>
      <c r="BJ181" s="262"/>
      <c r="BK181" s="262"/>
      <c r="BL181" s="262"/>
      <c r="BM181" s="262"/>
      <c r="BN181" s="262"/>
      <c r="BO181" s="262"/>
      <c r="BP181" s="262"/>
      <c r="BQ181" s="262"/>
      <c r="BR181" s="262"/>
      <c r="BS181" s="262"/>
    </row>
    <row r="182" spans="1:71" s="250" customFormat="1" ht="12.75" x14ac:dyDescent="0.2">
      <c r="A182" s="266"/>
      <c r="B182" s="262"/>
      <c r="C182" s="262"/>
      <c r="D182" s="262"/>
      <c r="E182" s="262"/>
      <c r="F182" s="262"/>
      <c r="G182" s="262"/>
      <c r="H182" s="262"/>
      <c r="I182" s="262"/>
      <c r="J182" s="262"/>
      <c r="K182" s="262"/>
      <c r="L182" s="262"/>
      <c r="M182" s="262"/>
      <c r="N182" s="262"/>
      <c r="O182" s="262"/>
      <c r="P182" s="262"/>
      <c r="Q182" s="262"/>
      <c r="R182" s="262"/>
      <c r="S182" s="262"/>
      <c r="T182" s="262"/>
      <c r="U182" s="262"/>
      <c r="V182" s="262"/>
      <c r="W182" s="262"/>
      <c r="X182" s="262"/>
      <c r="Y182" s="262"/>
      <c r="Z182" s="262"/>
      <c r="AA182" s="262"/>
      <c r="AB182" s="262"/>
      <c r="AC182" s="262"/>
      <c r="AD182" s="262"/>
      <c r="AE182" s="262"/>
      <c r="AF182" s="262"/>
      <c r="AG182" s="262"/>
      <c r="AH182" s="262"/>
      <c r="AI182" s="262"/>
      <c r="AJ182" s="262"/>
      <c r="AK182" s="262"/>
      <c r="AL182" s="262"/>
      <c r="AM182" s="262"/>
      <c r="AN182" s="262"/>
      <c r="AO182" s="262"/>
      <c r="AP182" s="262"/>
      <c r="AQ182" s="249"/>
      <c r="AR182" s="249"/>
      <c r="AS182" s="249"/>
      <c r="AT182" s="262"/>
      <c r="AU182" s="262"/>
      <c r="AV182" s="262"/>
      <c r="AW182" s="262"/>
      <c r="AX182" s="262"/>
      <c r="AY182" s="262"/>
      <c r="AZ182" s="262"/>
      <c r="BA182" s="262"/>
      <c r="BB182" s="262"/>
      <c r="BC182" s="262"/>
      <c r="BD182" s="262"/>
      <c r="BE182" s="262"/>
      <c r="BF182" s="262"/>
      <c r="BG182" s="262"/>
      <c r="BH182" s="262"/>
      <c r="BI182" s="262"/>
      <c r="BJ182" s="262"/>
      <c r="BK182" s="262"/>
      <c r="BL182" s="262"/>
      <c r="BM182" s="262"/>
      <c r="BN182" s="262"/>
      <c r="BO182" s="262"/>
      <c r="BP182" s="262"/>
      <c r="BQ182" s="262"/>
      <c r="BR182" s="262"/>
      <c r="BS182" s="262"/>
    </row>
  </sheetData>
  <mergeCells count="19">
    <mergeCell ref="D120:D123"/>
    <mergeCell ref="G120:G123"/>
    <mergeCell ref="A15:P15"/>
    <mergeCell ref="A16:P16"/>
    <mergeCell ref="A18:P18"/>
    <mergeCell ref="D27:F27"/>
    <mergeCell ref="D28:F28"/>
    <mergeCell ref="D29:F29"/>
    <mergeCell ref="D30:F30"/>
    <mergeCell ref="A93:AC93"/>
    <mergeCell ref="A94:I94"/>
    <mergeCell ref="B114:C114"/>
    <mergeCell ref="D114:E114"/>
    <mergeCell ref="A13:P13"/>
    <mergeCell ref="A5:P5"/>
    <mergeCell ref="A7:P7"/>
    <mergeCell ref="A9:P9"/>
    <mergeCell ref="A10:P10"/>
    <mergeCell ref="A12:P1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6.2. Паспорт фин осв ввод факт</vt:lpstr>
      <vt:lpstr>5.анализ эк эфф.1</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2022-03-25T11:37:03Z</dcterms:modified>
</cp:coreProperties>
</file>