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М 22-12 кондиционер\"/>
    </mc:Choice>
  </mc:AlternateContent>
  <xr:revisionPtr revIDLastSave="0" documentId="13_ncr:1_{2853E418-1371-4ECB-8210-FCBF82B7760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50" i="7" l="1"/>
  <c r="C51" i="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D52" i="15"/>
  <c r="R25" i="15"/>
  <c r="R26" i="15"/>
  <c r="R27" i="15"/>
  <c r="R28" i="15"/>
  <c r="R29" i="15"/>
  <c r="R30" i="15"/>
  <c r="R31" i="15"/>
  <c r="R32" i="15"/>
  <c r="R33" i="15"/>
  <c r="R34" i="15"/>
  <c r="R35" i="15"/>
  <c r="R36" i="15"/>
  <c r="R37" i="15"/>
  <c r="R38" i="15"/>
  <c r="R39" i="15"/>
  <c r="R40" i="15"/>
  <c r="R41" i="15"/>
  <c r="R42" i="15"/>
  <c r="R43" i="15"/>
  <c r="R44" i="15"/>
  <c r="R45" i="15"/>
  <c r="R46" i="15"/>
  <c r="R47" i="15"/>
  <c r="R48" i="15"/>
  <c r="R49" i="15"/>
  <c r="R50" i="15"/>
  <c r="R51" i="15"/>
  <c r="R52" i="15"/>
  <c r="R53" i="15"/>
  <c r="R54" i="15"/>
  <c r="R55" i="15"/>
  <c r="R56" i="15"/>
  <c r="R57" i="15"/>
  <c r="R58" i="15"/>
  <c r="R59" i="15"/>
  <c r="R60" i="15"/>
  <c r="R61" i="15"/>
  <c r="R62" i="15"/>
  <c r="R63" i="15"/>
  <c r="R64" i="15"/>
  <c r="R24" i="15"/>
  <c r="D24" i="15"/>
  <c r="D27" i="15"/>
  <c r="D33" i="15"/>
  <c r="D30"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D87" i="27"/>
  <c r="C87" i="27"/>
  <c r="B87" i="27"/>
  <c r="B90" i="27" s="1"/>
  <c r="M67" i="27"/>
  <c r="L76" i="27"/>
  <c r="L65" i="27"/>
  <c r="L59" i="27" s="1"/>
  <c r="N138" i="27"/>
  <c r="H106" i="27"/>
  <c r="J107" i="27"/>
  <c r="C89" i="27" l="1"/>
  <c r="E84" i="27"/>
  <c r="E89"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Y90" i="27" s="1"/>
  <c r="X90" i="27"/>
  <c r="Y72" i="27"/>
  <c r="Z71" i="27"/>
  <c r="AB80" i="27"/>
  <c r="AB66" i="27"/>
  <c r="AB68" i="27" s="1"/>
  <c r="AB79" i="27"/>
  <c r="AG106" i="27"/>
  <c r="AC49" i="27" s="1"/>
  <c r="AC58" i="27" s="1"/>
  <c r="AA75" i="27"/>
  <c r="AA70" i="27"/>
  <c r="AM138" i="27"/>
  <c r="AM139" i="27"/>
  <c r="Y88" i="27" l="1"/>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Z84" i="27"/>
  <c r="Z89" i="27" s="1"/>
  <c r="Z88" i="27"/>
  <c r="AA86" i="27"/>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F30" i="15" l="1"/>
  <c r="B59" i="22"/>
  <c r="B46" i="22"/>
  <c r="B72" i="22"/>
  <c r="B88" i="22"/>
  <c r="B68" i="22"/>
  <c r="B30" i="22"/>
  <c r="B83" i="22" s="1"/>
  <c r="B63" i="22"/>
  <c r="B76" i="22"/>
  <c r="B51" i="22"/>
  <c r="B80" i="22"/>
  <c r="B90" i="22"/>
  <c r="B42" i="22"/>
  <c r="B55" i="22"/>
  <c r="E24" i="15"/>
  <c r="E30" i="15"/>
  <c r="F27" i="15" l="1"/>
  <c r="F52" i="15"/>
  <c r="E52" i="15"/>
  <c r="F24"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<sst xmlns="http://schemas.openxmlformats.org/spreadsheetml/2006/main" count="1393" uniqueCount="611">
  <si>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</si>
  <si>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</si>
  <si>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</si>
  <si>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</si>
  <si>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</si>
  <si>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</si>
  <si>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</si>
  <si>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</si>
  <si>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</si>
  <si>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</si>
  <si>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</si>
  <si>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</si>
  <si>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</si>
  <si>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</si>
  <si>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</si>
  <si>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</si>
  <si>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</si>
  <si>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</si>
  <si>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</si>
  <si>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</si>
  <si>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</si>
  <si>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</si>
  <si>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</si>
  <si>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</si>
  <si>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</si>
  <si>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</si>
  <si>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</si>
  <si>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</si>
  <si>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</si>
  <si>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</si>
  <si>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</si>
  <si>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</si>
  <si>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</si>
  <si>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</si>
  <si>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</si>
  <si>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</si>
  <si>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</si>
  <si>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</si>
  <si>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</si>
  <si>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</si>
  <si>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</si>
  <si>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</si>
  <si>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</si>
  <si>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</si>
  <si>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</si>
  <si>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</si>
  <si>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</si>
  <si>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</si>
  <si>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</si>
  <si>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</si>
  <si>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</si>
  <si>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</si>
  <si>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</si>
  <si>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</si>
  <si>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</si>
  <si>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</si>
  <si>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</si>
  <si>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</si>
  <si>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</si>
  <si>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</si>
  <si>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</si>
  <si>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</si>
  <si>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</si>
  <si>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</si>
  <si>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</si>
  <si>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</si>
  <si>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</si>
  <si>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</si>
  <si>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</si>
  <si>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</si>
  <si>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</si>
  <si>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</si>
  <si>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</si>
  <si>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</si>
  <si>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</si>
  <si>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</si>
  <si>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</si>
  <si>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</si>
  <si>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</si>
  <si>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</si>
  <si>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</si>
  <si>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</si>
  <si>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</si>
  <si>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</si>
  <si>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</si>
  <si>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</si>
  <si>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</si>
  <si>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</si>
  <si>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</si>
  <si>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</si>
  <si>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</si>
  <si>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</si>
  <si>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</si>
  <si>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</si>
  <si>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</si>
  <si>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</si>
  <si>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</si>
  <si>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</si>
  <si>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</si>
  <si>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</si>
  <si>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</si>
  <si>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</si>
  <si>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</si>
  <si>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</si>
  <si>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</si>
  <si>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</si>
  <si>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</si>
  <si>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</si>
  <si>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</si>
  <si>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</si>
  <si>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</si>
  <si>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</si>
  <si>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</si>
  <si>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</si>
  <si>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</si>
  <si>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</si>
  <si>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</si>
  <si>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</si>
  <si>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</si>
  <si>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</si>
  <si>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</si>
  <si>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</si>
  <si>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</si>
  <si>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</si>
  <si>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</si>
  <si>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</si>
  <si>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</si>
  <si>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</si>
  <si>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</si>
  <si>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</si>
  <si>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</si>
  <si>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</si>
  <si>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</si>
  <si>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</si>
  <si>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</si>
  <si>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</si>
  <si>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</si>
  <si>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</si>
  <si>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</si>
  <si>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</si>
  <si>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</si>
  <si>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</si>
  <si>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</si>
  <si>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</si>
  <si>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</si>
  <si>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</si>
  <si>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</si>
  <si>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</si>
  <si>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</si>
  <si>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</si>
  <si>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</si>
  <si>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</si>
  <si>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</si>
  <si>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</si>
  <si>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</si>
  <si>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</si>
  <si>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</si>
  <si>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</si>
  <si>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</si>
  <si>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</si>
  <si>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</si>
  <si>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</si>
  <si>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</si>
  <si>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</si>
  <si>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</si>
  <si>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</si>
  <si>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</si>
  <si>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</si>
  <si>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</si>
  <si>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</si>
  <si>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</si>
  <si>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</si>
  <si>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</si>
  <si>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</si>
  <si>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</si>
  <si>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</si>
  <si>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</si>
  <si>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</si>
  <si>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</si>
  <si>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</si>
  <si>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</si>
  <si>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</si>
  <si>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</si>
  <si>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</si>
  <si>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</si>
  <si>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</si>
  <si>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</si>
  <si>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</si>
  <si>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</si>
  <si>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</si>
  <si>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</si>
  <si>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</si>
  <si>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</si>
  <si>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</si>
  <si>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</si>
  <si>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</si>
  <si>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</si>
  <si>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</si>
  <si>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</si>
  <si>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</si>
  <si>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</si>
  <si>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</si>
  <si>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</si>
  <si>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</si>
  <si>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</si>
  <si>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</si>
  <si>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</si>
  <si>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</si>
  <si>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</si>
  <si>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</si>
  <si>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</si>
  <si>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</si>
  <si>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</si>
  <si>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</si>
  <si>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</si>
  <si>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</si>
  <si>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</si>
  <si>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</si>
  <si>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</si>
  <si>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</si>
  <si>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</si>
  <si>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</si>
  <si>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</si>
  <si>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</si>
  <si>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</si>
  <si>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</si>
  <si>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</si>
  <si>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</si>
  <si>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</si>
  <si>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</si>
  <si>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</si>
  <si>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</si>
  <si>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</si>
  <si>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</si>
  <si>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</si>
  <si>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</si>
  <si>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</si>
  <si>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</si>
  <si>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</si>
  <si>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</si>
  <si>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</si>
  <si>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</si>
  <si>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</si>
  <si>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</si>
  <si>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</si>
  <si>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</si>
  <si>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</si>
  <si>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</si>
  <si>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</si>
  <si>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</si>
  <si>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</si>
  <si>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</si>
  <si>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</si>
  <si>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</si>
  <si>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</si>
  <si>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</si>
  <si>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</si>
  <si>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</si>
  <si>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</si>
  <si>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</si>
  <si>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</si>
  <si>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</si>
  <si>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</si>
  <si>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</si>
  <si>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</si>
  <si>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</si>
  <si>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</si>
  <si>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</si>
  <si>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</si>
  <si>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</si>
  <si>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</si>
  <si>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</si>
  <si>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</si>
  <si>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</si>
  <si>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</si>
  <si>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</si>
  <si>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</si>
  <si>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</si>
  <si>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</si>
  <si>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</si>
  <si>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</si>
  <si>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</si>
  <si>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</si>
  <si>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</si>
  <si>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</si>
  <si>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</si>
  <si>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</si>
  <si>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</si>
  <si>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</si>
  <si>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</si>
  <si>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</si>
  <si>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</si>
  <si>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</si>
  <si>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</si>
  <si>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</si>
  <si>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</si>
  <si>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</si>
  <si>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</si>
  <si>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</si>
  <si>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</si>
  <si>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</si>
  <si>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</si>
  <si>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</si>
  <si>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</si>
  <si>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</si>
  <si>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</si>
  <si>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</si>
  <si>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</si>
  <si>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</si>
  <si>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</si>
  <si>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</si>
  <si>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</si>
  <si>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</si>
  <si>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</si>
  <si>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</si>
  <si>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</si>
  <si>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</si>
  <si>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</si>
  <si>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</si>
  <si>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</si>
  <si>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</si>
  <si>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</si>
  <si>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</si>
  <si>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</si>
  <si>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</si>
  <si>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</si>
  <si>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</si>
  <si>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</si>
  <si>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</si>
  <si>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</si>
  <si>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</si>
  <si>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</si>
  <si>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</si>
  <si>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</si>
  <si>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</si>
  <si>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</si>
  <si>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</si>
  <si>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</si>
  <si>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</si>
  <si>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</si>
  <si>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</si>
  <si>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</si>
  <si>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</si>
  <si>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</si>
  <si>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</si>
  <si>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</si>
  <si>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</si>
  <si>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</si>
  <si>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</si>
  <si>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</si>
  <si>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</si>
  <si>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</si>
  <si>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</si>
  <si>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</si>
  <si>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</si>
  <si>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</si>
  <si>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</si>
  <si>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</si>
  <si>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</si>
  <si>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</si>
  <si>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</si>
  <si>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</si>
  <si>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</si>
  <si>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</si>
  <si>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</si>
  <si>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</si>
  <si>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</si>
  <si>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</si>
  <si>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</si>
  <si>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</si>
  <si>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</si>
  <si>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</si>
  <si>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</si>
  <si>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</si>
  <si>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</si>
  <si>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</si>
  <si>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</si>
  <si>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</si>
  <si>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</si>
  <si>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</si>
  <si>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</si>
  <si>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</si>
  <si>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</si>
  <si>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</si>
  <si>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</si>
  <si>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</si>
  <si>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</si>
  <si>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</si>
  <si>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</si>
  <si>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</si>
  <si>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</si>
  <si>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</si>
  <si>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</si>
  <si>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</si>
  <si>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</si>
  <si>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</si>
  <si>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</si>
  <si>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</si>
  <si>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</si>
  <si>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</si>
  <si>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</si>
  <si>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</si>
  <si>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</si>
  <si>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</si>
  <si>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</si>
  <si>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</si>
  <si>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</si>
  <si>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</si>
  <si>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</si>
  <si>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</si>
  <si>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</si>
  <si>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</si>
  <si>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</si>
  <si>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</si>
  <si>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</si>
  <si>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</si>
  <si>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</si>
  <si>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</si>
  <si>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</si>
  <si>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</si>
  <si>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</si>
  <si>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</si>
  <si>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</si>
  <si>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</si>
  <si>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</si>
  <si>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</si>
  <si>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</si>
  <si>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</si>
  <si>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</si>
  <si>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</si>
  <si>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</si>
  <si>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</si>
  <si>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</si>
  <si>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</si>
  <si>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</si>
  <si>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</si>
  <si>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</si>
  <si>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</si>
  <si>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</si>
  <si>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</si>
  <si>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</si>
  <si>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</si>
  <si>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</si>
  <si>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</si>
  <si>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</si>
  <si>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</si>
  <si>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</si>
  <si>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</si>
  <si>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</si>
  <si>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</si>
  <si>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</si>
  <si>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</si>
  <si>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</si>
  <si>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</si>
  <si>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</si>
  <si>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</si>
  <si>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</si>
  <si>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</si>
  <si>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</si>
  <si>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</si>
  <si>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</si>
  <si>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</si>
  <si>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</si>
  <si>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</si>
  <si>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</si>
  <si>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</si>
  <si>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</si>
  <si>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</si>
  <si>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</si>
  <si>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</si>
  <si>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</si>
  <si>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</si>
  <si>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</si>
  <si>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</si>
  <si>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</si>
  <si>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</si>
  <si>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</si>
  <si>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</si>
  <si>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</si>
  <si>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</si>
  <si>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</si>
  <si>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</si>
  <si>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</si>
  <si>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</si>
  <si>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</si>
  <si>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</si>
  <si>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</si>
  <si>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</si>
  <si>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</si>
  <si>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</si>
  <si>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</si>
  <si>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</si>
  <si>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</si>
  <si>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</si>
  <si>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</si>
  <si>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</si>
  <si>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</si>
  <si>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</si>
  <si>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</si>
  <si>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</si>
  <si>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</si>
  <si>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</si>
  <si>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</si>
  <si>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</si>
  <si>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</si>
  <si>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</si>
  <si>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</si>
  <si>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</si>
  <si>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</si>
  <si>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</si>
  <si>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</si>
  <si>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</si>
  <si>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</si>
  <si>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</si>
  <si>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</si>
  <si>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</si>
  <si>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</si>
  <si>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</si>
  <si>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</si>
  <si>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</si>
  <si>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</si>
  <si>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</si>
  <si>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</si>
  <si>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</si>
  <si>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</si>
  <si>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</si>
  <si>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</si>
  <si>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</si>
  <si>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</si>
  <si>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</si>
  <si>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</si>
  <si>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</si>
  <si>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</si>
  <si>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</si>
  <si>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</si>
  <si>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</si>
  <si>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</si>
  <si>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</si>
  <si>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</si>
  <si>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</si>
  <si>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</si>
  <si>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</si>
  <si>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</si>
  <si>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</si>
  <si>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</si>
  <si>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</si>
  <si>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</si>
  <si>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</si>
  <si>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</si>
  <si>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</si>
  <si>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</si>
  <si>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</si>
  <si>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</si>
  <si>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</si>
  <si>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</si>
  <si>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</si>
  <si>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</si>
  <si>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</si>
  <si>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</si>
  <si>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</si>
  <si>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</si>
  <si>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</si>
  <si>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</si>
  <si>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</si>
  <si>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</si>
  <si>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</si>
  <si>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</si>
  <si>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</si>
  <si>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</si>
  <si>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</si>
  <si>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</si>
  <si>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</si>
  <si>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</si>
  <si>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</si>
  <si>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</si>
  <si>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</si>
  <si>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</si>
  <si>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</si>
  <si>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</si>
  <si>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</si>
  <si>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</si>
  <si>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</si>
  <si>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</si>
  <si>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</si>
  <si>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</si>
  <si>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</si>
  <si>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</si>
  <si>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</si>
  <si>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</si>
  <si>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</si>
  <si>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</si>
  <si>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</si>
  <si>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</si>
  <si>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</si>
  <si>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</si>
  <si>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</si>
  <si>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</si>
  <si>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</si>
  <si>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</si>
  <si>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</si>
  <si>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</si>
  <si>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</si>
  <si>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</si>
  <si>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</si>
  <si>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</si>
  <si>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</si>
  <si>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</si>
  <si>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</si>
  <si>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22-12</t>
  </si>
  <si>
    <t xml:space="preserve">Монтаж кондиционеров на ПС "Университетская" и ПС "Ижевская" </t>
  </si>
  <si>
    <t xml:space="preserve">Монтаж кондиционеров на ПС "Университетская" и ПС "Ижевская"  - 0,320 млн.рублей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</si>
</sst>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tabSelected="1" view="pageBreakPreview" zoomScaleSheetLayoutView="100" workbookViewId="0">
      <selection activeCell="C54" sqref="C54"/>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548</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549</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608</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609</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607</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ввод'!AC24,2)," млн.рублей")</f>
        <v>0,24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ввод'!AC52,2)," млн.рублей")</f>
        <v>0,2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20" zoomScale="80" zoomScaleNormal="80" zoomScaleSheetLayoutView="70" workbookViewId="0">
      <pane xSplit="4" ySplit="5" topLeftCell="O25" activePane="bottomRight" state="frozen"/>
      <selection activeCell="A20" sqref="A20"/>
      <selection pane="topRight" activeCell="E20" sqref="E20"/>
      <selection pane="bottomLeft" activeCell="A25" sqref="A25"/>
      <selection pane="bottomRight" activeCell="AC24" sqref="AC24:AC6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7" t="str">
        <f>'1. паспорт местоположение'!A12:C12</f>
        <v>M 22-12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1" t="str">
        <f>'1. паспорт местоположение'!A15</f>
        <v xml:space="preserve">Монтаж кондиционеров на ПС "Университетская" и ПС "Ижевская" </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59"/>
      <c r="AB17" s="59"/>
    </row>
    <row r="18" spans="1:32" x14ac:dyDescent="0.25">
      <c r="A18" s="495" t="s">
        <v>479</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59"/>
      <c r="B19" s="59"/>
      <c r="C19" s="59"/>
      <c r="D19" s="59"/>
      <c r="E19" s="59"/>
      <c r="F19" s="59"/>
      <c r="AB19" s="59"/>
    </row>
    <row r="20" spans="1:32" ht="33" customHeight="1" x14ac:dyDescent="0.25">
      <c r="A20" s="485" t="s">
        <v>182</v>
      </c>
      <c r="B20" s="485" t="s">
        <v>181</v>
      </c>
      <c r="C20" s="484" t="s">
        <v>180</v>
      </c>
      <c r="D20" s="484"/>
      <c r="E20" s="488" t="s">
        <v>179</v>
      </c>
      <c r="F20" s="488"/>
      <c r="G20" s="485" t="s">
        <v>553</v>
      </c>
      <c r="H20" s="482" t="s">
        <v>552</v>
      </c>
      <c r="I20" s="483"/>
      <c r="J20" s="483"/>
      <c r="K20" s="483"/>
      <c r="L20" s="482" t="s">
        <v>539</v>
      </c>
      <c r="M20" s="483"/>
      <c r="N20" s="483"/>
      <c r="O20" s="483"/>
      <c r="P20" s="482" t="s">
        <v>538</v>
      </c>
      <c r="Q20" s="483"/>
      <c r="R20" s="483"/>
      <c r="S20" s="483"/>
      <c r="T20" s="482" t="s">
        <v>542</v>
      </c>
      <c r="U20" s="483"/>
      <c r="V20" s="483"/>
      <c r="W20" s="483"/>
      <c r="X20" s="482" t="s">
        <v>606</v>
      </c>
      <c r="Y20" s="483"/>
      <c r="Z20" s="483"/>
      <c r="AA20" s="483"/>
      <c r="AB20" s="493" t="s">
        <v>178</v>
      </c>
      <c r="AC20" s="493"/>
      <c r="AD20" s="69"/>
      <c r="AE20" s="69"/>
      <c r="AF20" s="69"/>
    </row>
    <row r="21" spans="1:32" ht="99.75" customHeight="1" x14ac:dyDescent="0.25">
      <c r="A21" s="486"/>
      <c r="B21" s="486"/>
      <c r="C21" s="484"/>
      <c r="D21" s="484"/>
      <c r="E21" s="488"/>
      <c r="F21" s="488"/>
      <c r="G21" s="486"/>
      <c r="H21" s="484" t="s">
        <v>2</v>
      </c>
      <c r="I21" s="484"/>
      <c r="J21" s="484" t="s">
        <v>554</v>
      </c>
      <c r="K21" s="484"/>
      <c r="L21" s="484" t="s">
        <v>2</v>
      </c>
      <c r="M21" s="484"/>
      <c r="N21" s="484" t="s">
        <v>554</v>
      </c>
      <c r="O21" s="484"/>
      <c r="P21" s="484" t="s">
        <v>2</v>
      </c>
      <c r="Q21" s="484"/>
      <c r="R21" s="484" t="s">
        <v>177</v>
      </c>
      <c r="S21" s="484"/>
      <c r="T21" s="484" t="s">
        <v>2</v>
      </c>
      <c r="U21" s="484"/>
      <c r="V21" s="484" t="s">
        <v>177</v>
      </c>
      <c r="W21" s="484"/>
      <c r="X21" s="484" t="s">
        <v>2</v>
      </c>
      <c r="Y21" s="484"/>
      <c r="Z21" s="484" t="s">
        <v>177</v>
      </c>
      <c r="AA21" s="484"/>
      <c r="AB21" s="493"/>
      <c r="AC21" s="493"/>
    </row>
    <row r="22" spans="1:32" ht="89.25" customHeight="1" x14ac:dyDescent="0.25">
      <c r="A22" s="487"/>
      <c r="B22" s="487"/>
      <c r="C22" s="213" t="s">
        <v>2</v>
      </c>
      <c r="D22" s="213" t="s">
        <v>177</v>
      </c>
      <c r="E22" s="192" t="s">
        <v>551</v>
      </c>
      <c r="F22" s="192" t="s">
        <v>550</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f>SUM(D25:D28)</f>
        <v>0.23740559999999999</v>
      </c>
      <c r="E24" s="227">
        <f t="shared" ref="E24:W24" si="1">SUM(E25:E29)</f>
        <v>0</v>
      </c>
      <c r="F24" s="227">
        <f>D24</f>
        <v>0.23740559999999999</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D24</f>
        <v>0.23740559999999999</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N24+R24+V24+Z24</f>
        <v>0.23740559999999999</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N25+R25+V25+Z25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f>D30*1.2</f>
        <v>0.23740559999999999</v>
      </c>
      <c r="E27" s="232" t="str">
        <f t="shared" si="5"/>
        <v>нд</v>
      </c>
      <c r="F27" s="227">
        <f t="shared" si="2"/>
        <v>0.23740559999999999</v>
      </c>
      <c r="G27" s="232">
        <v>0</v>
      </c>
      <c r="H27" s="227" t="s">
        <v>526</v>
      </c>
      <c r="I27" s="250">
        <v>0</v>
      </c>
      <c r="J27" s="250">
        <v>0</v>
      </c>
      <c r="K27" s="250">
        <v>0</v>
      </c>
      <c r="L27" s="227" t="s">
        <v>526</v>
      </c>
      <c r="M27" s="232">
        <v>0</v>
      </c>
      <c r="N27" s="232">
        <v>0</v>
      </c>
      <c r="O27" s="232">
        <v>0</v>
      </c>
      <c r="P27" s="227" t="s">
        <v>526</v>
      </c>
      <c r="Q27" s="232">
        <v>0</v>
      </c>
      <c r="R27" s="227">
        <f t="shared" si="3"/>
        <v>0.23740559999999999</v>
      </c>
      <c r="S27" s="232">
        <v>0</v>
      </c>
      <c r="T27" s="227" t="s">
        <v>526</v>
      </c>
      <c r="U27" s="232">
        <v>0</v>
      </c>
      <c r="V27" s="232">
        <v>0</v>
      </c>
      <c r="W27" s="232">
        <v>0</v>
      </c>
      <c r="X27" s="227" t="s">
        <v>526</v>
      </c>
      <c r="Y27" s="250">
        <v>0</v>
      </c>
      <c r="Z27" s="250">
        <v>0</v>
      </c>
      <c r="AA27" s="250">
        <v>0</v>
      </c>
      <c r="AB27" s="227" t="s">
        <v>526</v>
      </c>
      <c r="AC27" s="228">
        <f t="shared" si="4"/>
        <v>0.23740559999999999</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f>SUM(D31:D34)</f>
        <v>0.19783800000000001</v>
      </c>
      <c r="E30" s="227" t="str">
        <f t="shared" si="5"/>
        <v>нд</v>
      </c>
      <c r="F30" s="227">
        <f t="shared" si="2"/>
        <v>0.19783800000000001</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 t="shared" si="3"/>
        <v>0.19783800000000001</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0.19783800000000001</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0.03</v>
      </c>
      <c r="E32" s="232" t="str">
        <f t="shared" si="5"/>
        <v>нд</v>
      </c>
      <c r="F32" s="227">
        <f t="shared" si="2"/>
        <v>0.03</v>
      </c>
      <c r="G32" s="232">
        <v>0</v>
      </c>
      <c r="H32" s="227" t="s">
        <v>526</v>
      </c>
      <c r="I32" s="250">
        <v>0</v>
      </c>
      <c r="J32" s="250">
        <v>0</v>
      </c>
      <c r="K32" s="250">
        <v>0</v>
      </c>
      <c r="L32" s="227" t="s">
        <v>526</v>
      </c>
      <c r="M32" s="232">
        <v>0</v>
      </c>
      <c r="N32" s="232">
        <v>0</v>
      </c>
      <c r="O32" s="232">
        <v>0</v>
      </c>
      <c r="P32" s="227" t="s">
        <v>526</v>
      </c>
      <c r="Q32" s="232">
        <v>0</v>
      </c>
      <c r="R32" s="227">
        <f t="shared" si="3"/>
        <v>0.03</v>
      </c>
      <c r="S32" s="232">
        <v>0</v>
      </c>
      <c r="T32" s="227" t="s">
        <v>526</v>
      </c>
      <c r="U32" s="232">
        <v>0</v>
      </c>
      <c r="V32" s="232">
        <v>0</v>
      </c>
      <c r="W32" s="232">
        <v>0</v>
      </c>
      <c r="X32" s="227" t="s">
        <v>526</v>
      </c>
      <c r="Y32" s="250">
        <v>0</v>
      </c>
      <c r="Z32" s="250">
        <v>0</v>
      </c>
      <c r="AA32" s="250">
        <v>0</v>
      </c>
      <c r="AB32" s="227" t="s">
        <v>526</v>
      </c>
      <c r="AC32" s="228">
        <f t="shared" si="4"/>
        <v>0.03</v>
      </c>
    </row>
    <row r="33" spans="1:29" x14ac:dyDescent="0.25">
      <c r="A33" s="225" t="s">
        <v>161</v>
      </c>
      <c r="B33" s="230" t="s">
        <v>160</v>
      </c>
      <c r="C33" s="227" t="s">
        <v>526</v>
      </c>
      <c r="D33" s="227">
        <f>0.197838-0.03</f>
        <v>0.16783800000000001</v>
      </c>
      <c r="E33" s="232" t="str">
        <f t="shared" si="5"/>
        <v>нд</v>
      </c>
      <c r="F33" s="227">
        <f t="shared" si="2"/>
        <v>0.16783800000000001</v>
      </c>
      <c r="G33" s="232">
        <v>0</v>
      </c>
      <c r="H33" s="227" t="s">
        <v>526</v>
      </c>
      <c r="I33" s="250">
        <v>0</v>
      </c>
      <c r="J33" s="250">
        <v>0</v>
      </c>
      <c r="K33" s="250">
        <v>0</v>
      </c>
      <c r="L33" s="227" t="s">
        <v>526</v>
      </c>
      <c r="M33" s="232">
        <v>0</v>
      </c>
      <c r="N33" s="232">
        <v>0</v>
      </c>
      <c r="O33" s="232">
        <v>0</v>
      </c>
      <c r="P33" s="227" t="s">
        <v>526</v>
      </c>
      <c r="Q33" s="232">
        <v>0</v>
      </c>
      <c r="R33" s="227">
        <f t="shared" si="3"/>
        <v>0.16783800000000001</v>
      </c>
      <c r="S33" s="232">
        <v>0</v>
      </c>
      <c r="T33" s="227" t="s">
        <v>526</v>
      </c>
      <c r="U33" s="232">
        <v>0</v>
      </c>
      <c r="V33" s="232">
        <v>0</v>
      </c>
      <c r="W33" s="232">
        <v>0</v>
      </c>
      <c r="X33" s="227" t="s">
        <v>526</v>
      </c>
      <c r="Y33" s="250">
        <v>0</v>
      </c>
      <c r="Z33" s="250">
        <v>0</v>
      </c>
      <c r="AA33" s="250">
        <v>0</v>
      </c>
      <c r="AB33" s="227" t="s">
        <v>526</v>
      </c>
      <c r="AC33" s="228">
        <f t="shared" si="4"/>
        <v>0.16783800000000001</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f>D30</f>
        <v>0.19783800000000001</v>
      </c>
      <c r="E52" s="232" t="str">
        <f t="shared" si="5"/>
        <v>нд</v>
      </c>
      <c r="F52" s="227">
        <f t="shared" si="2"/>
        <v>0.19783800000000001</v>
      </c>
      <c r="G52" s="232">
        <v>0</v>
      </c>
      <c r="H52" s="227" t="s">
        <v>526</v>
      </c>
      <c r="I52" s="250">
        <v>0</v>
      </c>
      <c r="J52" s="250">
        <v>0</v>
      </c>
      <c r="K52" s="250">
        <v>0</v>
      </c>
      <c r="L52" s="227" t="s">
        <v>526</v>
      </c>
      <c r="M52" s="232">
        <v>0</v>
      </c>
      <c r="N52" s="232">
        <v>0</v>
      </c>
      <c r="O52" s="232">
        <v>0</v>
      </c>
      <c r="P52" s="227" t="s">
        <v>526</v>
      </c>
      <c r="Q52" s="232">
        <v>0</v>
      </c>
      <c r="R52" s="227">
        <f t="shared" si="3"/>
        <v>0.19783800000000001</v>
      </c>
      <c r="S52" s="232">
        <v>0</v>
      </c>
      <c r="T52" s="227" t="s">
        <v>526</v>
      </c>
      <c r="U52" s="232">
        <v>0</v>
      </c>
      <c r="V52" s="232">
        <v>0</v>
      </c>
      <c r="W52" s="232">
        <v>0</v>
      </c>
      <c r="X52" s="227" t="s">
        <v>526</v>
      </c>
      <c r="Y52" s="250">
        <v>0</v>
      </c>
      <c r="Z52" s="250">
        <v>0</v>
      </c>
      <c r="AA52" s="250">
        <v>0</v>
      </c>
      <c r="AB52" s="227" t="s">
        <v>526</v>
      </c>
      <c r="AC52" s="228">
        <f t="shared" si="4"/>
        <v>0.19783800000000001</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0"/>
      <c r="C66" s="490"/>
      <c r="D66" s="490"/>
      <c r="E66" s="490"/>
      <c r="F66" s="490"/>
      <c r="G66" s="490"/>
      <c r="H66" s="490"/>
      <c r="I66" s="490"/>
      <c r="J66" s="490"/>
      <c r="K66" s="490"/>
      <c r="L66" s="490"/>
      <c r="M66" s="490"/>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1"/>
      <c r="C68" s="491"/>
      <c r="D68" s="491"/>
      <c r="E68" s="491"/>
      <c r="F68" s="491"/>
      <c r="G68" s="491"/>
      <c r="H68" s="491"/>
      <c r="I68" s="491"/>
      <c r="J68" s="491"/>
      <c r="K68" s="491"/>
      <c r="L68" s="491"/>
      <c r="M68" s="491"/>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0"/>
      <c r="C70" s="490"/>
      <c r="D70" s="490"/>
      <c r="E70" s="490"/>
      <c r="F70" s="490"/>
      <c r="G70" s="490"/>
      <c r="H70" s="490"/>
      <c r="I70" s="490"/>
      <c r="J70" s="490"/>
      <c r="K70" s="490"/>
      <c r="L70" s="490"/>
      <c r="M70" s="490"/>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0"/>
      <c r="C72" s="490"/>
      <c r="D72" s="490"/>
      <c r="E72" s="490"/>
      <c r="F72" s="490"/>
      <c r="G72" s="490"/>
      <c r="H72" s="490"/>
      <c r="I72" s="490"/>
      <c r="J72" s="490"/>
      <c r="K72" s="490"/>
      <c r="L72" s="490"/>
      <c r="M72" s="490"/>
      <c r="N72" s="211"/>
      <c r="O72" s="211"/>
      <c r="P72" s="211"/>
      <c r="Q72" s="211"/>
      <c r="R72" s="211"/>
      <c r="S72" s="211"/>
      <c r="T72" s="211"/>
      <c r="U72" s="211"/>
      <c r="V72" s="211"/>
      <c r="W72" s="211"/>
      <c r="X72" s="252"/>
      <c r="Y72" s="252"/>
      <c r="Z72" s="252"/>
      <c r="AA72" s="252"/>
      <c r="AB72" s="59"/>
    </row>
    <row r="73" spans="1:28" ht="32.25" customHeight="1" x14ac:dyDescent="0.25">
      <c r="A73" s="59"/>
      <c r="B73" s="491"/>
      <c r="C73" s="491"/>
      <c r="D73" s="491"/>
      <c r="E73" s="491"/>
      <c r="F73" s="491"/>
      <c r="G73" s="491"/>
      <c r="H73" s="491"/>
      <c r="I73" s="491"/>
      <c r="J73" s="491"/>
      <c r="K73" s="491"/>
      <c r="L73" s="491"/>
      <c r="M73" s="491"/>
      <c r="N73" s="212"/>
      <c r="O73" s="212"/>
      <c r="P73" s="212"/>
      <c r="Q73" s="212"/>
      <c r="R73" s="212"/>
      <c r="S73" s="212"/>
      <c r="T73" s="212"/>
      <c r="U73" s="212"/>
      <c r="V73" s="212"/>
      <c r="W73" s="212"/>
      <c r="X73" s="253"/>
      <c r="Y73" s="253"/>
      <c r="Z73" s="253"/>
      <c r="AA73" s="253"/>
      <c r="AB73" s="59"/>
    </row>
    <row r="74" spans="1:28" ht="51.75" customHeight="1" x14ac:dyDescent="0.25">
      <c r="A74" s="59"/>
      <c r="B74" s="490"/>
      <c r="C74" s="490"/>
      <c r="D74" s="490"/>
      <c r="E74" s="490"/>
      <c r="F74" s="490"/>
      <c r="G74" s="490"/>
      <c r="H74" s="490"/>
      <c r="I74" s="490"/>
      <c r="J74" s="490"/>
      <c r="K74" s="490"/>
      <c r="L74" s="490"/>
      <c r="M74" s="490"/>
      <c r="N74" s="211"/>
      <c r="O74" s="211"/>
      <c r="P74" s="211"/>
      <c r="Q74" s="211"/>
      <c r="R74" s="211"/>
      <c r="S74" s="211"/>
      <c r="T74" s="211"/>
      <c r="U74" s="211"/>
      <c r="V74" s="211"/>
      <c r="W74" s="211"/>
      <c r="X74" s="252"/>
      <c r="Y74" s="252"/>
      <c r="Z74" s="252"/>
      <c r="AA74" s="252"/>
      <c r="AB74" s="59"/>
    </row>
    <row r="75" spans="1:28" ht="21.75" customHeight="1" x14ac:dyDescent="0.25">
      <c r="A75" s="59"/>
      <c r="B75" s="492"/>
      <c r="C75" s="492"/>
      <c r="D75" s="492"/>
      <c r="E75" s="492"/>
      <c r="F75" s="492"/>
      <c r="G75" s="492"/>
      <c r="H75" s="492"/>
      <c r="I75" s="492"/>
      <c r="J75" s="492"/>
      <c r="K75" s="492"/>
      <c r="L75" s="492"/>
      <c r="M75" s="492"/>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89"/>
      <c r="C77" s="489"/>
      <c r="D77" s="489"/>
      <c r="E77" s="489"/>
      <c r="F77" s="489"/>
      <c r="G77" s="489"/>
      <c r="H77" s="489"/>
      <c r="I77" s="489"/>
      <c r="J77" s="489"/>
      <c r="K77" s="489"/>
      <c r="L77" s="489"/>
      <c r="M77" s="489"/>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5:D64 F25:G64 M24:O63 Q24:S24 U24:W63 L64:Q64 C24:G24 S64:W64 Q25:Q63 S25:S63 R25:R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M 22-12</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1" t="str">
        <f>'1. паспорт местоположение'!A15</f>
        <v xml:space="preserve">Монтаж кондиционеров на ПС "Университетская" и ПС "Ижевская" </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496" t="s">
        <v>492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50</v>
      </c>
      <c r="B22" s="500" t="s">
        <v>22</v>
      </c>
      <c r="C22" s="497" t="s">
        <v>49</v>
      </c>
      <c r="D22" s="497" t="s">
        <v>48</v>
      </c>
      <c r="E22" s="503" t="s">
        <v>503</v>
      </c>
      <c r="F22" s="504"/>
      <c r="G22" s="504"/>
      <c r="H22" s="504"/>
      <c r="I22" s="504"/>
      <c r="J22" s="504"/>
      <c r="K22" s="504"/>
      <c r="L22" s="505"/>
      <c r="M22" s="497" t="s">
        <v>47</v>
      </c>
      <c r="N22" s="497" t="s">
        <v>46</v>
      </c>
      <c r="O22" s="497" t="s">
        <v>45</v>
      </c>
      <c r="P22" s="506" t="s">
        <v>253</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5" customFormat="1" ht="64.5" customHeight="1" x14ac:dyDescent="0.25">
      <c r="A23" s="498"/>
      <c r="B23" s="501"/>
      <c r="C23" s="498"/>
      <c r="D23" s="498"/>
      <c r="E23" s="512" t="s">
        <v>21</v>
      </c>
      <c r="F23" s="514" t="s">
        <v>125</v>
      </c>
      <c r="G23" s="514" t="s">
        <v>124</v>
      </c>
      <c r="H23" s="514" t="s">
        <v>123</v>
      </c>
      <c r="I23" s="518" t="s">
        <v>413</v>
      </c>
      <c r="J23" s="518" t="s">
        <v>414</v>
      </c>
      <c r="K23" s="518" t="s">
        <v>415</v>
      </c>
      <c r="L23" s="514" t="s">
        <v>536</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35" t="s">
        <v>11</v>
      </c>
      <c r="AG24" s="135" t="s">
        <v>10</v>
      </c>
      <c r="AH24" s="136" t="s">
        <v>2</v>
      </c>
      <c r="AI24" s="136" t="s">
        <v>9</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90" zoomScaleNormal="90" zoomScaleSheetLayoutView="90" workbookViewId="0">
      <selection activeCell="B21" sqref="B21"/>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1" t="str">
        <f>'7. Паспорт отчет о закупке'!A5:AV5</f>
        <v>Год раскрытия информации: 2022 год</v>
      </c>
      <c r="B5" s="521"/>
      <c r="C5" s="72"/>
      <c r="D5" s="72"/>
      <c r="E5" s="72"/>
      <c r="F5" s="72"/>
      <c r="G5" s="72"/>
      <c r="H5" s="72"/>
    </row>
    <row r="6" spans="1:8" ht="18.75" x14ac:dyDescent="0.3">
      <c r="A6" s="214"/>
      <c r="B6" s="214"/>
      <c r="C6" s="214"/>
      <c r="D6" s="214"/>
      <c r="E6" s="214"/>
      <c r="F6" s="214"/>
      <c r="G6" s="214"/>
      <c r="H6" s="214"/>
    </row>
    <row r="7" spans="1:8" ht="18.75" x14ac:dyDescent="0.25">
      <c r="A7" s="416" t="s">
        <v>7</v>
      </c>
      <c r="B7" s="416"/>
      <c r="C7" s="140"/>
      <c r="D7" s="140"/>
      <c r="E7" s="140"/>
      <c r="F7" s="140"/>
      <c r="G7" s="140"/>
      <c r="H7" s="140"/>
    </row>
    <row r="8" spans="1:8" ht="18.75" x14ac:dyDescent="0.25">
      <c r="A8" s="140"/>
      <c r="B8" s="140"/>
      <c r="C8" s="140"/>
      <c r="D8" s="140"/>
      <c r="E8" s="140"/>
      <c r="F8" s="140"/>
      <c r="G8" s="140"/>
      <c r="H8" s="140"/>
    </row>
    <row r="9" spans="1:8" x14ac:dyDescent="0.25">
      <c r="A9" s="417" t="str">
        <f>'7. Паспорт отчет о закупке'!A9:AV9</f>
        <v>Акционерное общество "Западная энергетическая компания"</v>
      </c>
      <c r="B9" s="417"/>
      <c r="C9" s="155"/>
      <c r="D9" s="155"/>
      <c r="E9" s="155"/>
      <c r="F9" s="155"/>
      <c r="G9" s="155"/>
      <c r="H9" s="155"/>
    </row>
    <row r="10" spans="1:8" x14ac:dyDescent="0.25">
      <c r="A10" s="412" t="s">
        <v>6</v>
      </c>
      <c r="B10" s="412"/>
      <c r="C10" s="142"/>
      <c r="D10" s="142"/>
      <c r="E10" s="142"/>
      <c r="F10" s="142"/>
      <c r="G10" s="142"/>
      <c r="H10" s="142"/>
    </row>
    <row r="11" spans="1:8" ht="18.75" x14ac:dyDescent="0.25">
      <c r="A11" s="140"/>
      <c r="B11" s="140"/>
      <c r="C11" s="140"/>
      <c r="D11" s="140"/>
      <c r="E11" s="140"/>
      <c r="F11" s="140"/>
      <c r="G11" s="140"/>
      <c r="H11" s="140"/>
    </row>
    <row r="12" spans="1:8" x14ac:dyDescent="0.25">
      <c r="A12" s="417" t="str">
        <f>'7. Паспорт отчет о закупке'!A12:AV12</f>
        <v>M 22-12</v>
      </c>
      <c r="B12" s="417"/>
      <c r="C12" s="155"/>
      <c r="D12" s="155"/>
      <c r="E12" s="155"/>
      <c r="F12" s="155"/>
      <c r="G12" s="155"/>
      <c r="H12" s="155"/>
    </row>
    <row r="13" spans="1:8" x14ac:dyDescent="0.25">
      <c r="A13" s="412" t="s">
        <v>5</v>
      </c>
      <c r="B13" s="412"/>
      <c r="C13" s="142"/>
      <c r="D13" s="142"/>
      <c r="E13" s="142"/>
      <c r="F13" s="142"/>
      <c r="G13" s="142"/>
      <c r="H13" s="142"/>
    </row>
    <row r="14" spans="1:8" ht="18.75" x14ac:dyDescent="0.25">
      <c r="A14" s="10"/>
      <c r="B14" s="10"/>
      <c r="C14" s="10"/>
      <c r="D14" s="10"/>
      <c r="E14" s="10"/>
      <c r="F14" s="10"/>
      <c r="G14" s="10"/>
      <c r="H14" s="10"/>
    </row>
    <row r="15" spans="1:8" ht="53.25" customHeight="1" x14ac:dyDescent="0.25">
      <c r="A15" s="453" t="str">
        <f>'7. Паспорт отчет о закупке'!A15:AV15</f>
        <v xml:space="preserve">Монтаж кондиционеров на ПС "Университетская" и ПС "Ижевская" </v>
      </c>
      <c r="B15" s="453"/>
      <c r="C15" s="155"/>
      <c r="D15" s="155"/>
      <c r="E15" s="155"/>
      <c r="F15" s="155"/>
      <c r="G15" s="155"/>
      <c r="H15" s="155"/>
    </row>
    <row r="16" spans="1:8" x14ac:dyDescent="0.25">
      <c r="A16" s="412" t="s">
        <v>4</v>
      </c>
      <c r="B16" s="412"/>
      <c r="C16" s="142"/>
      <c r="D16" s="142"/>
      <c r="E16" s="142"/>
      <c r="F16" s="142"/>
      <c r="G16" s="142"/>
      <c r="H16" s="142"/>
    </row>
    <row r="17" spans="1:4" x14ac:dyDescent="0.25">
      <c r="B17" s="114"/>
    </row>
    <row r="18" spans="1:4" x14ac:dyDescent="0.25">
      <c r="A18" s="522" t="s">
        <v>493</v>
      </c>
      <c r="B18" s="523"/>
    </row>
    <row r="19" spans="1:4" x14ac:dyDescent="0.25">
      <c r="B19" s="41"/>
    </row>
    <row r="20" spans="1:4" ht="16.5" thickBot="1" x14ac:dyDescent="0.3">
      <c r="B20" s="115"/>
    </row>
    <row r="21" spans="1:4" ht="83.25" customHeight="1" thickBot="1" x14ac:dyDescent="0.3">
      <c r="A21" s="116" t="s">
        <v>363</v>
      </c>
      <c r="B21" s="400" t="str">
        <f>A15</f>
        <v xml:space="preserve">Монтаж кондиционеров на ПС "Университетская" и ПС "Ижевская" </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555</v>
      </c>
      <c r="B27" s="189">
        <f>'6.2. Паспорт фин осв ввод'!D24</f>
        <v>0.23740559999999999</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556</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30.75" thickBot="1" x14ac:dyDescent="0.3">
      <c r="A103" s="131" t="s">
        <v>398</v>
      </c>
      <c r="B103" s="249" t="str">
        <f>'3.3 паспорт описание'!C24</f>
        <v xml:space="preserve">Монтаж кондиционеров на ПС "Университетская" и ПС "Ижевская" </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4" t="s">
        <v>534</v>
      </c>
      <c r="C109" s="59"/>
      <c r="D109" s="59"/>
    </row>
    <row r="110" spans="1:4" x14ac:dyDescent="0.25">
      <c r="A110" s="125" t="s">
        <v>405</v>
      </c>
      <c r="B110" s="525"/>
      <c r="C110" s="59"/>
      <c r="D110" s="59"/>
    </row>
    <row r="111" spans="1:4" x14ac:dyDescent="0.25">
      <c r="A111" s="125" t="s">
        <v>406</v>
      </c>
      <c r="B111" s="525"/>
      <c r="C111" s="59"/>
      <c r="D111" s="59"/>
    </row>
    <row r="112" spans="1:4" x14ac:dyDescent="0.25">
      <c r="A112" s="125" t="s">
        <v>407</v>
      </c>
      <c r="B112" s="525"/>
      <c r="C112" s="59"/>
      <c r="D112" s="59"/>
    </row>
    <row r="113" spans="1:4" x14ac:dyDescent="0.25">
      <c r="A113" s="125" t="s">
        <v>408</v>
      </c>
      <c r="B113" s="525"/>
      <c r="C113" s="59"/>
      <c r="D113" s="59"/>
    </row>
    <row r="114" spans="1:4" ht="16.5" thickBot="1" x14ac:dyDescent="0.3">
      <c r="A114" s="134" t="s">
        <v>409</v>
      </c>
      <c r="B114" s="526"/>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M 22-12</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1" t="str">
        <f>'1. паспорт местоположение'!A15:C15</f>
        <v xml:space="preserve">Монтаж кондиционеров на ПС "Университетская" и ПС "Ижевская" </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468</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9" t="s">
        <v>3</v>
      </c>
      <c r="B19" s="419" t="s">
        <v>94</v>
      </c>
      <c r="C19" s="420" t="s">
        <v>362</v>
      </c>
      <c r="D19" s="419" t="s">
        <v>361</v>
      </c>
      <c r="E19" s="419" t="s">
        <v>93</v>
      </c>
      <c r="F19" s="419" t="s">
        <v>92</v>
      </c>
      <c r="G19" s="419" t="s">
        <v>357</v>
      </c>
      <c r="H19" s="419" t="s">
        <v>91</v>
      </c>
      <c r="I19" s="419" t="s">
        <v>90</v>
      </c>
      <c r="J19" s="419" t="s">
        <v>89</v>
      </c>
      <c r="K19" s="419" t="s">
        <v>88</v>
      </c>
      <c r="L19" s="419" t="s">
        <v>87</v>
      </c>
      <c r="M19" s="419" t="s">
        <v>86</v>
      </c>
      <c r="N19" s="419" t="s">
        <v>85</v>
      </c>
      <c r="O19" s="419" t="s">
        <v>84</v>
      </c>
      <c r="P19" s="419" t="s">
        <v>83</v>
      </c>
      <c r="Q19" s="419" t="s">
        <v>360</v>
      </c>
      <c r="R19" s="419"/>
      <c r="S19" s="422" t="s">
        <v>462</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39" t="s">
        <v>358</v>
      </c>
      <c r="R20" s="40" t="s">
        <v>359</v>
      </c>
      <c r="S20" s="422"/>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"Западная энергетическая компания"</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M 22-12</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1" t="str">
        <f>'1. паспорт местоположение'!A15</f>
        <v xml:space="preserve">Монтаж кондиционеров на ПС "Университетская" и ПС "Ижевская" </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6" t="s">
        <v>473</v>
      </c>
      <c r="B19" s="426"/>
      <c r="C19" s="426"/>
      <c r="D19" s="426"/>
      <c r="E19" s="426"/>
      <c r="F19" s="426"/>
      <c r="G19" s="426"/>
      <c r="H19" s="426"/>
      <c r="I19" s="426"/>
      <c r="J19" s="426"/>
      <c r="K19" s="426"/>
      <c r="L19" s="426"/>
      <c r="M19" s="426"/>
      <c r="N19" s="426"/>
      <c r="O19" s="426"/>
      <c r="P19" s="426"/>
      <c r="Q19" s="426"/>
      <c r="R19" s="426"/>
      <c r="S19" s="426"/>
      <c r="T19" s="426"/>
    </row>
    <row r="20" spans="1:113" s="52"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217</v>
      </c>
      <c r="C21" s="432"/>
      <c r="D21" s="435" t="s">
        <v>116</v>
      </c>
      <c r="E21" s="431" t="s">
        <v>502</v>
      </c>
      <c r="F21" s="432"/>
      <c r="G21" s="431" t="s">
        <v>267</v>
      </c>
      <c r="H21" s="432"/>
      <c r="I21" s="431" t="s">
        <v>115</v>
      </c>
      <c r="J21" s="432"/>
      <c r="K21" s="435" t="s">
        <v>114</v>
      </c>
      <c r="L21" s="431" t="s">
        <v>113</v>
      </c>
      <c r="M21" s="432"/>
      <c r="N21" s="431" t="s">
        <v>498</v>
      </c>
      <c r="O21" s="432"/>
      <c r="P21" s="435" t="s">
        <v>112</v>
      </c>
      <c r="Q21" s="423" t="s">
        <v>111</v>
      </c>
      <c r="R21" s="424"/>
      <c r="S21" s="423" t="s">
        <v>110</v>
      </c>
      <c r="T21" s="425"/>
    </row>
    <row r="22" spans="1:113" ht="204.75" customHeight="1" x14ac:dyDescent="0.25">
      <c r="A22" s="429"/>
      <c r="B22" s="433"/>
      <c r="C22" s="434"/>
      <c r="D22" s="438"/>
      <c r="E22" s="433"/>
      <c r="F22" s="434"/>
      <c r="G22" s="433"/>
      <c r="H22" s="434"/>
      <c r="I22" s="433"/>
      <c r="J22" s="434"/>
      <c r="K22" s="436"/>
      <c r="L22" s="433"/>
      <c r="M22" s="434"/>
      <c r="N22" s="433"/>
      <c r="O22" s="434"/>
      <c r="P22" s="436"/>
      <c r="Q22" s="96" t="s">
        <v>109</v>
      </c>
      <c r="R22" s="96" t="s">
        <v>472</v>
      </c>
      <c r="S22" s="96" t="s">
        <v>108</v>
      </c>
      <c r="T22" s="96" t="s">
        <v>107</v>
      </c>
    </row>
    <row r="23" spans="1:113" ht="51.75" customHeight="1" x14ac:dyDescent="0.25">
      <c r="A23" s="430"/>
      <c r="B23" s="145" t="s">
        <v>105</v>
      </c>
      <c r="C23" s="145" t="s">
        <v>106</v>
      </c>
      <c r="D23" s="43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7" t="s">
        <v>508</v>
      </c>
      <c r="C29" s="437"/>
      <c r="D29" s="437"/>
      <c r="E29" s="437"/>
      <c r="F29" s="437"/>
      <c r="G29" s="437"/>
      <c r="H29" s="437"/>
      <c r="I29" s="437"/>
      <c r="J29" s="437"/>
      <c r="K29" s="437"/>
      <c r="L29" s="437"/>
      <c r="M29" s="437"/>
      <c r="N29" s="437"/>
      <c r="O29" s="437"/>
      <c r="P29" s="437"/>
      <c r="Q29" s="437"/>
      <c r="R29" s="43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"Западная энергетическая компания"</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M 22-12</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1" t="str">
        <f>'1. паспорт местоположение'!A15</f>
        <v xml:space="preserve">Монтаж кондиционеров на ПС "Университетская" и ПС "Ижевская" </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475</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2" customFormat="1" ht="21" customHeight="1" x14ac:dyDescent="0.25"/>
    <row r="21" spans="1:27" ht="15.75" customHeight="1" x14ac:dyDescent="0.25">
      <c r="A21" s="439" t="s">
        <v>3</v>
      </c>
      <c r="B21" s="441" t="s">
        <v>482</v>
      </c>
      <c r="C21" s="442"/>
      <c r="D21" s="441" t="s">
        <v>484</v>
      </c>
      <c r="E21" s="442"/>
      <c r="F21" s="423" t="s">
        <v>88</v>
      </c>
      <c r="G21" s="425"/>
      <c r="H21" s="425"/>
      <c r="I21" s="424"/>
      <c r="J21" s="439" t="s">
        <v>485</v>
      </c>
      <c r="K21" s="441" t="s">
        <v>486</v>
      </c>
      <c r="L21" s="442"/>
      <c r="M21" s="441" t="s">
        <v>487</v>
      </c>
      <c r="N21" s="442"/>
      <c r="O21" s="441" t="s">
        <v>474</v>
      </c>
      <c r="P21" s="442"/>
      <c r="Q21" s="441" t="s">
        <v>121</v>
      </c>
      <c r="R21" s="442"/>
      <c r="S21" s="439" t="s">
        <v>120</v>
      </c>
      <c r="T21" s="439" t="s">
        <v>488</v>
      </c>
      <c r="U21" s="439" t="s">
        <v>483</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"Западная энергетическая компания"</v>
      </c>
      <c r="B9" s="417"/>
      <c r="C9" s="417"/>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M 22-12</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1" t="str">
        <f>'1. паспорт местоположение'!A15</f>
        <v xml:space="preserve">Монтаж кондиционеров на ПС "Университетская" и ПС "Ижевская" </v>
      </c>
      <c r="B15" s="411"/>
      <c r="C15" s="411"/>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467</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604</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 xml:space="preserve">Монтаж кондиционеров на ПС "Университетская" и ПС "Ижевская" </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0"/>
      <c r="AB6" s="140"/>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0"/>
      <c r="AB7" s="140"/>
    </row>
    <row r="8" spans="1:28" x14ac:dyDescent="0.25">
      <c r="A8" s="417" t="str">
        <f>'1. паспорт местоположение'!A9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2"/>
      <c r="AB9" s="142"/>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0"/>
      <c r="AB10" s="140"/>
    </row>
    <row r="11" spans="1:28" x14ac:dyDescent="0.25">
      <c r="A11" s="417" t="str">
        <f>'1. паспорт местоположение'!A12:C12</f>
        <v>M 22-12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1" t="str">
        <f>'1. паспорт местоположение'!A15</f>
        <v xml:space="preserve">Монтаж кондиционеров на ПС "Университетская" и ПС "Ижевская" </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41"/>
      <c r="AB14" s="141"/>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2"/>
      <c r="AB15" s="142"/>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51"/>
      <c r="AB16" s="151"/>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51"/>
      <c r="AB17" s="151"/>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51"/>
      <c r="AB18" s="151"/>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51"/>
      <c r="AB19" s="151"/>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52"/>
      <c r="AB20" s="152"/>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52"/>
      <c r="AB21" s="152"/>
    </row>
    <row r="22" spans="1:28" x14ac:dyDescent="0.25">
      <c r="A22" s="448" t="s">
        <v>499</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53"/>
      <c r="AB22" s="153"/>
    </row>
    <row r="23" spans="1:28" ht="32.25" customHeight="1" x14ac:dyDescent="0.25">
      <c r="A23" s="450" t="s">
        <v>353</v>
      </c>
      <c r="B23" s="451"/>
      <c r="C23" s="451"/>
      <c r="D23" s="451"/>
      <c r="E23" s="451"/>
      <c r="F23" s="451"/>
      <c r="G23" s="451"/>
      <c r="H23" s="451"/>
      <c r="I23" s="451"/>
      <c r="J23" s="451"/>
      <c r="K23" s="451"/>
      <c r="L23" s="452"/>
      <c r="M23" s="449" t="s">
        <v>354</v>
      </c>
      <c r="N23" s="449"/>
      <c r="O23" s="449"/>
      <c r="P23" s="449"/>
      <c r="Q23" s="449"/>
      <c r="R23" s="449"/>
      <c r="S23" s="449"/>
      <c r="T23" s="449"/>
      <c r="U23" s="449"/>
      <c r="V23" s="449"/>
      <c r="W23" s="449"/>
      <c r="X23" s="449"/>
      <c r="Y23" s="449"/>
      <c r="Z23" s="449"/>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40"/>
      <c r="O7" s="140"/>
      <c r="P7" s="140"/>
      <c r="Q7" s="140"/>
      <c r="R7" s="140"/>
      <c r="S7" s="140"/>
      <c r="T7" s="140"/>
      <c r="U7" s="140"/>
      <c r="V7" s="140"/>
      <c r="W7" s="140"/>
      <c r="X7" s="140"/>
    </row>
    <row r="8" spans="1:26" s="11" customFormat="1" ht="18.75" x14ac:dyDescent="0.2">
      <c r="A8" s="416"/>
      <c r="B8" s="416"/>
      <c r="C8" s="416"/>
      <c r="D8" s="416"/>
      <c r="E8" s="416"/>
      <c r="F8" s="416"/>
      <c r="G8" s="416"/>
      <c r="H8" s="416"/>
      <c r="I8" s="416"/>
      <c r="J8" s="416"/>
      <c r="K8" s="416"/>
      <c r="L8" s="416"/>
      <c r="M8" s="416"/>
      <c r="N8" s="140"/>
      <c r="O8" s="140"/>
      <c r="P8" s="140"/>
      <c r="Q8" s="140"/>
      <c r="R8" s="140"/>
      <c r="S8" s="140"/>
      <c r="T8" s="140"/>
      <c r="U8" s="140"/>
      <c r="V8" s="140"/>
      <c r="W8" s="140"/>
      <c r="X8" s="140"/>
    </row>
    <row r="9" spans="1:26" s="11" customFormat="1" ht="18.75" x14ac:dyDescent="0.2">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140"/>
      <c r="O9" s="140"/>
      <c r="P9" s="140"/>
      <c r="Q9" s="140"/>
      <c r="R9" s="140"/>
      <c r="S9" s="140"/>
      <c r="T9" s="140"/>
      <c r="U9" s="140"/>
      <c r="V9" s="140"/>
      <c r="W9" s="140"/>
      <c r="X9" s="140"/>
    </row>
    <row r="10" spans="1:26" s="11" customFormat="1" ht="18.75" x14ac:dyDescent="0.2">
      <c r="A10" s="412" t="s">
        <v>6</v>
      </c>
      <c r="B10" s="412"/>
      <c r="C10" s="412"/>
      <c r="D10" s="412"/>
      <c r="E10" s="412"/>
      <c r="F10" s="412"/>
      <c r="G10" s="412"/>
      <c r="H10" s="412"/>
      <c r="I10" s="412"/>
      <c r="J10" s="412"/>
      <c r="K10" s="412"/>
      <c r="L10" s="412"/>
      <c r="M10" s="412"/>
      <c r="N10" s="140"/>
      <c r="O10" s="140"/>
      <c r="P10" s="140"/>
      <c r="Q10" s="140"/>
      <c r="R10" s="140"/>
      <c r="S10" s="140"/>
      <c r="T10" s="140"/>
      <c r="U10" s="140"/>
      <c r="V10" s="140"/>
      <c r="W10" s="140"/>
      <c r="X10" s="140"/>
    </row>
    <row r="11" spans="1:26" s="11" customFormat="1" ht="18.75" x14ac:dyDescent="0.2">
      <c r="A11" s="416"/>
      <c r="B11" s="416"/>
      <c r="C11" s="416"/>
      <c r="D11" s="416"/>
      <c r="E11" s="416"/>
      <c r="F11" s="416"/>
      <c r="G11" s="416"/>
      <c r="H11" s="416"/>
      <c r="I11" s="416"/>
      <c r="J11" s="416"/>
      <c r="K11" s="416"/>
      <c r="L11" s="416"/>
      <c r="M11" s="416"/>
      <c r="N11" s="140"/>
      <c r="O11" s="140"/>
      <c r="P11" s="140"/>
      <c r="Q11" s="140"/>
      <c r="R11" s="140"/>
      <c r="S11" s="140"/>
      <c r="T11" s="140"/>
      <c r="U11" s="140"/>
      <c r="V11" s="140"/>
      <c r="W11" s="140"/>
      <c r="X11" s="140"/>
    </row>
    <row r="12" spans="1:26" s="11" customFormat="1" ht="18.75" x14ac:dyDescent="0.2">
      <c r="A12" s="417" t="str">
        <f>'1. паспорт местоположение'!A12:C12</f>
        <v>M 22-12</v>
      </c>
      <c r="B12" s="417"/>
      <c r="C12" s="417"/>
      <c r="D12" s="417"/>
      <c r="E12" s="417"/>
      <c r="F12" s="417"/>
      <c r="G12" s="417"/>
      <c r="H12" s="417"/>
      <c r="I12" s="417"/>
      <c r="J12" s="417"/>
      <c r="K12" s="417"/>
      <c r="L12" s="417"/>
      <c r="M12" s="417"/>
      <c r="N12" s="140"/>
      <c r="O12" s="140"/>
      <c r="P12" s="140"/>
      <c r="Q12" s="140"/>
      <c r="R12" s="140"/>
      <c r="S12" s="140"/>
      <c r="T12" s="140"/>
      <c r="U12" s="140"/>
      <c r="V12" s="140"/>
      <c r="W12" s="140"/>
      <c r="X12" s="140"/>
    </row>
    <row r="13" spans="1:26" s="11" customFormat="1" ht="18.75" x14ac:dyDescent="0.2">
      <c r="A13" s="412" t="s">
        <v>5</v>
      </c>
      <c r="B13" s="412"/>
      <c r="C13" s="412"/>
      <c r="D13" s="412"/>
      <c r="E13" s="412"/>
      <c r="F13" s="412"/>
      <c r="G13" s="412"/>
      <c r="H13" s="412"/>
      <c r="I13" s="412"/>
      <c r="J13" s="412"/>
      <c r="K13" s="412"/>
      <c r="L13" s="412"/>
      <c r="M13" s="412"/>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3" t="str">
        <f>'1. паспорт местоположение'!A15</f>
        <v xml:space="preserve">Монтаж кондиционеров на ПС "Университетская" и ПС "Ижевская" </v>
      </c>
      <c r="B15" s="453"/>
      <c r="C15" s="453"/>
      <c r="D15" s="453"/>
      <c r="E15" s="453"/>
      <c r="F15" s="453"/>
      <c r="G15" s="453"/>
      <c r="H15" s="453"/>
      <c r="I15" s="453"/>
      <c r="J15" s="453"/>
      <c r="K15" s="453"/>
      <c r="L15" s="453"/>
      <c r="M15" s="453"/>
      <c r="N15" s="155"/>
      <c r="O15" s="155"/>
      <c r="P15" s="155"/>
      <c r="Q15" s="155"/>
      <c r="R15" s="155"/>
      <c r="S15" s="155"/>
      <c r="T15" s="155"/>
      <c r="U15" s="155"/>
      <c r="V15" s="155"/>
      <c r="W15" s="155"/>
      <c r="X15" s="155"/>
    </row>
    <row r="16" spans="1:26" s="3" customFormat="1" ht="15" customHeight="1" x14ac:dyDescent="0.2">
      <c r="A16" s="412" t="s">
        <v>4</v>
      </c>
      <c r="B16" s="412"/>
      <c r="C16" s="412"/>
      <c r="D16" s="412"/>
      <c r="E16" s="412"/>
      <c r="F16" s="412"/>
      <c r="G16" s="412"/>
      <c r="H16" s="412"/>
      <c r="I16" s="412"/>
      <c r="J16" s="412"/>
      <c r="K16" s="412"/>
      <c r="L16" s="412"/>
      <c r="M16" s="412"/>
      <c r="N16" s="142"/>
      <c r="O16" s="142"/>
      <c r="P16" s="142"/>
      <c r="Q16" s="142"/>
      <c r="R16" s="142"/>
      <c r="S16" s="142"/>
      <c r="T16" s="142"/>
      <c r="U16" s="142"/>
      <c r="V16" s="142"/>
      <c r="W16" s="142"/>
      <c r="X16" s="142"/>
    </row>
    <row r="17" spans="1:24" s="3" customFormat="1" ht="15" customHeight="1" x14ac:dyDescent="0.2">
      <c r="A17" s="413"/>
      <c r="B17" s="413"/>
      <c r="C17" s="413"/>
      <c r="D17" s="413"/>
      <c r="E17" s="413"/>
      <c r="F17" s="413"/>
      <c r="G17" s="413"/>
      <c r="H17" s="413"/>
      <c r="I17" s="413"/>
      <c r="J17" s="413"/>
      <c r="K17" s="413"/>
      <c r="L17" s="413"/>
      <c r="M17" s="413"/>
      <c r="N17" s="208"/>
      <c r="O17" s="208"/>
      <c r="P17" s="208"/>
      <c r="Q17" s="208"/>
      <c r="R17" s="208"/>
      <c r="S17" s="208"/>
      <c r="T17" s="208"/>
      <c r="U17" s="208"/>
    </row>
    <row r="18" spans="1:24" s="3" customFormat="1" ht="91.5" customHeight="1" x14ac:dyDescent="0.2">
      <c r="A18" s="454" t="s">
        <v>476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08"/>
      <c r="O19" s="208"/>
      <c r="P19" s="208"/>
      <c r="Q19" s="208"/>
      <c r="R19" s="208"/>
      <c r="S19" s="208"/>
      <c r="T19" s="208"/>
      <c r="U19" s="208"/>
    </row>
    <row r="20" spans="1:24" s="3" customFormat="1" ht="51" customHeight="1" x14ac:dyDescent="0.2">
      <c r="A20" s="455"/>
      <c r="B20" s="455"/>
      <c r="C20" s="455"/>
      <c r="D20" s="455"/>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5" sqref="A15:P15"/>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60" t="str">
        <f>'[1]1. паспорт местоположение'!A5:C5</f>
        <v>Год раскрытия информации: 2022 год</v>
      </c>
      <c r="B5" s="460"/>
      <c r="C5" s="460"/>
      <c r="D5" s="460"/>
      <c r="E5" s="460"/>
      <c r="F5" s="460"/>
      <c r="G5" s="460"/>
      <c r="H5" s="460"/>
      <c r="I5" s="460"/>
      <c r="J5" s="460"/>
      <c r="K5" s="460"/>
      <c r="L5" s="460"/>
      <c r="M5" s="460"/>
      <c r="N5" s="460"/>
      <c r="O5" s="460"/>
      <c r="P5" s="46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60" t="s">
        <v>7</v>
      </c>
      <c r="B7" s="460"/>
      <c r="C7" s="460"/>
      <c r="D7" s="460"/>
      <c r="E7" s="460"/>
      <c r="F7" s="460"/>
      <c r="G7" s="460"/>
      <c r="H7" s="460"/>
      <c r="I7" s="460"/>
      <c r="J7" s="460"/>
      <c r="K7" s="460"/>
      <c r="L7" s="460"/>
      <c r="M7" s="460"/>
      <c r="N7" s="460"/>
      <c r="O7" s="460"/>
      <c r="P7" s="46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61" t="str">
        <f>'[1]1. паспорт местоположение'!A9:C9</f>
        <v xml:space="preserve">Акционерное общество "Западная энергетическая компания" </v>
      </c>
      <c r="B9" s="461"/>
      <c r="C9" s="461"/>
      <c r="D9" s="461"/>
      <c r="E9" s="461"/>
      <c r="F9" s="461"/>
      <c r="G9" s="461"/>
      <c r="H9" s="461"/>
      <c r="I9" s="461"/>
      <c r="J9" s="461"/>
      <c r="K9" s="461"/>
      <c r="L9" s="461"/>
      <c r="M9" s="461"/>
      <c r="N9" s="461"/>
      <c r="O9" s="461"/>
      <c r="P9" s="46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59" t="s">
        <v>6</v>
      </c>
      <c r="B10" s="459"/>
      <c r="C10" s="459"/>
      <c r="D10" s="459"/>
      <c r="E10" s="459"/>
      <c r="F10" s="459"/>
      <c r="G10" s="459"/>
      <c r="H10" s="459"/>
      <c r="I10" s="459"/>
      <c r="J10" s="459"/>
      <c r="K10" s="459"/>
      <c r="L10" s="459"/>
      <c r="M10" s="459"/>
      <c r="N10" s="459"/>
      <c r="O10" s="459"/>
      <c r="P10" s="45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61" t="str">
        <f>'1. паспорт местоположение'!A12:C12</f>
        <v>M 22-12</v>
      </c>
      <c r="B12" s="461"/>
      <c r="C12" s="461"/>
      <c r="D12" s="461"/>
      <c r="E12" s="461"/>
      <c r="F12" s="461"/>
      <c r="G12" s="461"/>
      <c r="H12" s="461"/>
      <c r="I12" s="461"/>
      <c r="J12" s="461"/>
      <c r="K12" s="461"/>
      <c r="L12" s="461"/>
      <c r="M12" s="461"/>
      <c r="N12" s="461"/>
      <c r="O12" s="461"/>
      <c r="P12" s="46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59" t="s">
        <v>5</v>
      </c>
      <c r="B13" s="459"/>
      <c r="C13" s="459"/>
      <c r="D13" s="459"/>
      <c r="E13" s="459"/>
      <c r="F13" s="459"/>
      <c r="G13" s="459"/>
      <c r="H13" s="459"/>
      <c r="I13" s="459"/>
      <c r="J13" s="459"/>
      <c r="K13" s="459"/>
      <c r="L13" s="459"/>
      <c r="M13" s="459"/>
      <c r="N13" s="459"/>
      <c r="O13" s="459"/>
      <c r="P13" s="45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4" t="str">
        <f>'1. паспорт местоположение'!A15:C15</f>
        <v xml:space="preserve">Монтаж кондиционеров на ПС "Университетская" и ПС "Ижевская" </v>
      </c>
      <c r="B15" s="464"/>
      <c r="C15" s="464"/>
      <c r="D15" s="464"/>
      <c r="E15" s="464"/>
      <c r="F15" s="464"/>
      <c r="G15" s="464"/>
      <c r="H15" s="464"/>
      <c r="I15" s="464"/>
      <c r="J15" s="464"/>
      <c r="K15" s="464"/>
      <c r="L15" s="464"/>
      <c r="M15" s="464"/>
      <c r="N15" s="464"/>
      <c r="O15" s="464"/>
      <c r="P15" s="464"/>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5" t="s">
        <v>4</v>
      </c>
      <c r="B16" s="465"/>
      <c r="C16" s="465"/>
      <c r="D16" s="465"/>
      <c r="E16" s="465"/>
      <c r="F16" s="465"/>
      <c r="G16" s="465"/>
      <c r="H16" s="465"/>
      <c r="I16" s="465"/>
      <c r="J16" s="465"/>
      <c r="K16" s="465"/>
      <c r="L16" s="465"/>
      <c r="M16" s="465"/>
      <c r="N16" s="465"/>
      <c r="O16" s="465"/>
      <c r="P16" s="465"/>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6" t="s">
        <v>477</v>
      </c>
      <c r="B18" s="466"/>
      <c r="C18" s="466"/>
      <c r="D18" s="466"/>
      <c r="E18" s="466"/>
      <c r="F18" s="466"/>
      <c r="G18" s="466"/>
      <c r="H18" s="466"/>
      <c r="I18" s="466"/>
      <c r="J18" s="466"/>
      <c r="K18" s="466"/>
      <c r="L18" s="466"/>
      <c r="M18" s="466"/>
      <c r="N18" s="466"/>
      <c r="O18" s="466"/>
      <c r="P18" s="466"/>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197838</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7" t="s">
        <v>324</v>
      </c>
      <c r="E27" s="468"/>
      <c r="F27" s="469"/>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19.783799999999999</v>
      </c>
      <c r="C28" s="272"/>
      <c r="D28" s="467" t="s">
        <v>322</v>
      </c>
      <c r="E28" s="468"/>
      <c r="F28" s="469"/>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7" t="s">
        <v>557</v>
      </c>
      <c r="E29" s="468"/>
      <c r="F29" s="469"/>
      <c r="G29" s="289">
        <f>L87</f>
        <v>-294823.17803536443</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7"/>
      <c r="E30" s="468"/>
      <c r="F30" s="469"/>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558</v>
      </c>
      <c r="B34" s="284">
        <f>B24*0.0003</f>
        <v>59.351399999999998</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559</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-4178.3385600000001</v>
      </c>
      <c r="D59" s="324">
        <f t="shared" si="3"/>
        <v>-4178.3385600000001</v>
      </c>
      <c r="E59" s="324">
        <f t="shared" si="3"/>
        <v>-4178.3385600000001</v>
      </c>
      <c r="F59" s="324">
        <f>SUM(F60:F65)</f>
        <v>-4178.3385600000001</v>
      </c>
      <c r="G59" s="324">
        <f t="shared" si="3"/>
        <v>-4004.2411200000001</v>
      </c>
      <c r="H59" s="324">
        <f t="shared" si="3"/>
        <v>-3830.1436800000006</v>
      </c>
      <c r="I59" s="324">
        <f t="shared" si="3"/>
        <v>-3656.0462400000006</v>
      </c>
      <c r="J59" s="324">
        <f t="shared" si="3"/>
        <v>-3481.948800000001</v>
      </c>
      <c r="K59" s="324">
        <f t="shared" si="3"/>
        <v>-3307.851360000001</v>
      </c>
      <c r="L59" s="324">
        <f t="shared" si="3"/>
        <v>-3157.4944800000017</v>
      </c>
      <c r="M59" s="324">
        <f t="shared" si="3"/>
        <v>-2959.6564800000015</v>
      </c>
      <c r="N59" s="324">
        <f t="shared" si="3"/>
        <v>-2856.7807200000016</v>
      </c>
      <c r="O59" s="324">
        <f t="shared" si="3"/>
        <v>-2611.4616000000015</v>
      </c>
      <c r="P59" s="324">
        <f t="shared" si="3"/>
        <v>-6267.5078399999993</v>
      </c>
      <c r="Q59" s="324">
        <f t="shared" si="3"/>
        <v>-2263.2667200000014</v>
      </c>
      <c r="R59" s="324">
        <f t="shared" si="3"/>
        <v>-336245.04873394396</v>
      </c>
      <c r="S59" s="324">
        <f t="shared" si="3"/>
        <v>-1915.0718400000012</v>
      </c>
      <c r="T59" s="324">
        <f t="shared" si="3"/>
        <v>-1740.9744000000012</v>
      </c>
      <c r="U59" s="324">
        <f t="shared" si="3"/>
        <v>-1566.876960000001</v>
      </c>
      <c r="V59" s="324">
        <f t="shared" ref="V59:AE59" si="4">SUM(V60:V65)</f>
        <v>-1464.0012000000011</v>
      </c>
      <c r="W59" s="324">
        <f t="shared" si="4"/>
        <v>-1218.682080000001</v>
      </c>
      <c r="X59" s="324">
        <f t="shared" si="4"/>
        <v>-335200.464093944</v>
      </c>
      <c r="Y59" s="324">
        <f t="shared" si="4"/>
        <v>-870.48720000000071</v>
      </c>
      <c r="Z59" s="324">
        <f t="shared" si="4"/>
        <v>-696.38976000000071</v>
      </c>
      <c r="AA59" s="324">
        <f t="shared" si="4"/>
        <v>-522.2923200000007</v>
      </c>
      <c r="AB59" s="324">
        <f t="shared" si="4"/>
        <v>-348.19488000000069</v>
      </c>
      <c r="AC59" s="324">
        <f t="shared" si="4"/>
        <v>0</v>
      </c>
      <c r="AD59" s="324">
        <f t="shared" si="4"/>
        <v>-71.221679999999992</v>
      </c>
      <c r="AE59" s="324">
        <f t="shared" si="4"/>
        <v>0</v>
      </c>
    </row>
    <row r="60" spans="1:31" s="262" customFormat="1" ht="12.75" x14ac:dyDescent="0.2">
      <c r="A60" s="325" t="s">
        <v>299</v>
      </c>
      <c r="B60" s="318"/>
      <c r="C60" s="318"/>
      <c r="D60" s="318"/>
      <c r="E60" s="318"/>
      <c r="F60" s="318"/>
      <c r="G60" s="318"/>
      <c r="H60" s="318"/>
      <c r="I60" s="318"/>
      <c r="J60" s="318"/>
      <c r="K60" s="318"/>
      <c r="L60" s="318">
        <f>-B28*1.2</f>
        <v>-23.740559999999999</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558</v>
      </c>
      <c r="B62" s="318"/>
      <c r="C62" s="318"/>
      <c r="D62" s="318"/>
      <c r="E62" s="318"/>
      <c r="F62" s="326"/>
      <c r="G62" s="318"/>
      <c r="H62" s="318"/>
      <c r="I62" s="318"/>
      <c r="J62" s="318"/>
      <c r="K62" s="318"/>
      <c r="L62" s="318"/>
      <c r="M62" s="318"/>
      <c r="N62" s="318">
        <f>-B34*1.2</f>
        <v>-71.221679999999992</v>
      </c>
      <c r="O62" s="318"/>
      <c r="P62" s="318"/>
      <c r="Q62" s="318"/>
      <c r="R62" s="318"/>
      <c r="S62" s="318"/>
      <c r="T62" s="318"/>
      <c r="U62" s="318"/>
      <c r="V62" s="318">
        <f>N62</f>
        <v>-71.221679999999992</v>
      </c>
      <c r="W62" s="318"/>
      <c r="X62" s="318"/>
      <c r="Y62" s="318"/>
      <c r="Z62" s="318"/>
      <c r="AA62" s="318"/>
      <c r="AB62" s="318"/>
      <c r="AC62" s="318"/>
      <c r="AD62" s="318">
        <f>V62</f>
        <v>-71.221679999999992</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560</v>
      </c>
      <c r="B65" s="327">
        <v>0</v>
      </c>
      <c r="C65" s="327">
        <f>-($B$24+C67)*0.022</f>
        <v>-4178.3385600000001</v>
      </c>
      <c r="D65" s="327">
        <f t="shared" ref="D65:E65" si="5">-($B$24+D67)*0.022</f>
        <v>-4178.3385600000001</v>
      </c>
      <c r="E65" s="327">
        <f t="shared" si="5"/>
        <v>-4178.3385600000001</v>
      </c>
      <c r="F65" s="327">
        <f>-($B$24+F67)*0.022</f>
        <v>-4178.3385600000001</v>
      </c>
      <c r="G65" s="327">
        <f>-($B$24+G67+F67)*0.022</f>
        <v>-4004.2411200000001</v>
      </c>
      <c r="H65" s="328">
        <f>-($B$24+H67+F67+G67)*0.022</f>
        <v>-3830.1436800000006</v>
      </c>
      <c r="I65" s="328">
        <f>-($B$24+I67+G67+H67+F67)*0.022</f>
        <v>-3656.0462400000006</v>
      </c>
      <c r="J65" s="328">
        <f>-($B$24+J67+H67+I67+G67+F67)*0.022</f>
        <v>-3481.948800000001</v>
      </c>
      <c r="K65" s="328">
        <f>-($B$24+K67+I67+J67+H67+F67+G67)*0.022</f>
        <v>-3307.851360000001</v>
      </c>
      <c r="L65" s="328">
        <f>-($B$24+F67+L67+J67+K67+I67+G67+H67)*0.022</f>
        <v>-3133.7539200000015</v>
      </c>
      <c r="M65" s="328">
        <f>-($B$24+G67+M67+K67+L67+J67+H67+I67+F67)*0.022</f>
        <v>-2959.6564800000015</v>
      </c>
      <c r="N65" s="328">
        <f>-($B$24+H67+N67+L67+M67+K67+I67+J67+F67+G67)*0.022</f>
        <v>-2785.5590400000015</v>
      </c>
      <c r="O65" s="328">
        <f>-($B$24+I67+O67+M67+N67+L67+J67+K67+H67+G67+F67)*0.022</f>
        <v>-2611.4616000000015</v>
      </c>
      <c r="P65" s="328">
        <f>(-$B$24+J67+P67+N67+O67+M67+K67+L67+I67+H67+G67+F67)*0.022</f>
        <v>-6267.5078399999993</v>
      </c>
      <c r="Q65" s="328">
        <f>-($B$24+K67+Q67+O67+P67+N67+L67+M67+J67+I67+H67+F67+G67)*0.022</f>
        <v>-2263.2667200000014</v>
      </c>
      <c r="R65" s="328">
        <f>-($B$24+L67+R67+P67+Q67+O67+M67+N67+K67+J67+I67+G67+F67+H67)*0.022</f>
        <v>-2089.1692800000014</v>
      </c>
      <c r="S65" s="328">
        <f>-($B$24+M67+S67+Q67+R67+P67+N67+O67+L67+K67+J67+H67+I67+F67+G67)*0.022</f>
        <v>-1915.0718400000012</v>
      </c>
      <c r="T65" s="328">
        <f>-($B$24+N67+T67+R67+S67+Q67+O67+P67+M67+L67+K67+I67+J67+G67+F67+H67)*0.022</f>
        <v>-1740.9744000000012</v>
      </c>
      <c r="U65" s="328">
        <f>-($B$24+O67+U67+S67+T67+R67+P67+Q67+N67+M67+L67+J67+K67+H67+G67+F67+I67)*0.022</f>
        <v>-1566.876960000001</v>
      </c>
      <c r="V65" s="328">
        <f>-($B$24+P67+V67+T67+U67+S67+Q67+R67+O67+N67+M67+K67+L67+I67+H67+G67+F67+J67)*0.022</f>
        <v>-1392.779520000001</v>
      </c>
      <c r="W65" s="328">
        <f>-($B$24+Q67+W67+U67+V67+T67+R67+S67+P67+O67+N67+L67+M67+J67+I67+H67+G67+F67+K67)*0.022</f>
        <v>-1218.682080000001</v>
      </c>
      <c r="X65" s="328">
        <f>-($B$24+R67+X67+V67+W67+U67+S67+T67+Q67+P67+O67+M67+N67+K67+J67+I67+H67+F67+G67++L67)*0.022</f>
        <v>-1044.5846400000007</v>
      </c>
      <c r="Y65" s="328">
        <f>-($B$24+S67+Y67+W67+X67+V67+T67+U67+R67+Q67+P67+N67+O67+L67+K67+J67+I67+G67+H67+F67+M67)*0.022</f>
        <v>-870.48720000000071</v>
      </c>
      <c r="Z65" s="328">
        <f>-($B$24+T67+Z67+X67+Y67+W67+U67+V67+S67+R67+Q67+O67+P67+M67+L67+K67+J67+H67+I67+G67+F67+N67)*0.022</f>
        <v>-696.38976000000071</v>
      </c>
      <c r="AA65" s="328">
        <f>-($B$24+U67+AA67+Y67+Z67+X67+V67+W67+T67+S67+R67+P67+Q67+N67+M67+L67+K67+I67+J67+H67+G67+F67+O67)*0.022</f>
        <v>-522.2923200000007</v>
      </c>
      <c r="AB65" s="328">
        <f>-($B$24+V67+AB67+Z67+AA67+Y67+W67+X67+U67+T67+S67+Q67+R67+O67+N67+M67+L67+J67+K67+I67+H67+G67+F67+P67)*0.022</f>
        <v>-348.19488000000069</v>
      </c>
      <c r="AC65" s="328">
        <v>0</v>
      </c>
      <c r="AD65" s="328">
        <v>0</v>
      </c>
      <c r="AE65" s="328">
        <v>0</v>
      </c>
      <c r="AF65" s="328"/>
    </row>
    <row r="66" spans="1:32" s="262" customFormat="1" ht="12.75" x14ac:dyDescent="0.2">
      <c r="A66" s="329" t="s">
        <v>561</v>
      </c>
      <c r="B66" s="258">
        <f t="shared" ref="B66:AE66" si="6">B58+B59</f>
        <v>0</v>
      </c>
      <c r="C66" s="258">
        <f t="shared" si="6"/>
        <v>-4178.3385600000001</v>
      </c>
      <c r="D66" s="258">
        <f t="shared" ref="D66:E66" si="7">D58+D59</f>
        <v>-4178.3385600000001</v>
      </c>
      <c r="E66" s="258">
        <f t="shared" si="7"/>
        <v>-4178.3385600000001</v>
      </c>
      <c r="F66" s="258">
        <f t="shared" si="6"/>
        <v>-4178.3385600000001</v>
      </c>
      <c r="G66" s="258">
        <f t="shared" si="6"/>
        <v>-4004.2411200000001</v>
      </c>
      <c r="H66" s="258">
        <f t="shared" si="6"/>
        <v>-3830.1436800000006</v>
      </c>
      <c r="I66" s="258">
        <f t="shared" si="6"/>
        <v>-3656.0462400000006</v>
      </c>
      <c r="J66" s="258">
        <f t="shared" si="6"/>
        <v>-3481.948800000001</v>
      </c>
      <c r="K66" s="258">
        <f t="shared" si="6"/>
        <v>-3307.851360000001</v>
      </c>
      <c r="L66" s="258">
        <f t="shared" si="6"/>
        <v>-3157.4944800000017</v>
      </c>
      <c r="M66" s="258">
        <f t="shared" si="6"/>
        <v>-2959.6564800000015</v>
      </c>
      <c r="N66" s="258">
        <f t="shared" si="6"/>
        <v>-2856.7807200000016</v>
      </c>
      <c r="O66" s="258">
        <f t="shared" si="6"/>
        <v>-2611.4616000000015</v>
      </c>
      <c r="P66" s="258">
        <f t="shared" si="6"/>
        <v>-6267.5078399999993</v>
      </c>
      <c r="Q66" s="258">
        <f t="shared" si="6"/>
        <v>-2263.2667200000014</v>
      </c>
      <c r="R66" s="258">
        <f t="shared" si="6"/>
        <v>-336245.04873394396</v>
      </c>
      <c r="S66" s="258">
        <f t="shared" si="6"/>
        <v>-1915.0718400000012</v>
      </c>
      <c r="T66" s="258">
        <f t="shared" si="6"/>
        <v>-1740.9744000000012</v>
      </c>
      <c r="U66" s="258">
        <f t="shared" si="6"/>
        <v>-1566.876960000001</v>
      </c>
      <c r="V66" s="258">
        <f t="shared" si="6"/>
        <v>-1464.0012000000011</v>
      </c>
      <c r="W66" s="258">
        <f t="shared" si="6"/>
        <v>-1218.682080000001</v>
      </c>
      <c r="X66" s="258">
        <f t="shared" si="6"/>
        <v>-335200.464093944</v>
      </c>
      <c r="Y66" s="258">
        <f t="shared" si="6"/>
        <v>-870.48720000000071</v>
      </c>
      <c r="Z66" s="258">
        <f t="shared" si="6"/>
        <v>-696.38976000000071</v>
      </c>
      <c r="AA66" s="258">
        <f t="shared" si="6"/>
        <v>-522.2923200000007</v>
      </c>
      <c r="AB66" s="258">
        <f t="shared" si="6"/>
        <v>-348.19488000000069</v>
      </c>
      <c r="AC66" s="258">
        <f t="shared" si="6"/>
        <v>0</v>
      </c>
      <c r="AD66" s="258">
        <f t="shared" si="6"/>
        <v>-71.221679999999992</v>
      </c>
      <c r="AE66" s="258">
        <f t="shared" si="6"/>
        <v>0</v>
      </c>
    </row>
    <row r="67" spans="1:32" s="262" customFormat="1" ht="12.75" x14ac:dyDescent="0.2">
      <c r="A67" s="325" t="s">
        <v>294</v>
      </c>
      <c r="B67" s="330">
        <v>0</v>
      </c>
      <c r="C67" s="330">
        <f>($B$81+$C$81+$D$81+$E$81+$F$81)*$B$27/$B$26</f>
        <v>-7913.52</v>
      </c>
      <c r="D67" s="330">
        <f t="shared" ref="D67:E67" si="8">($B$81+$C$81+$D$81+$E$81+$F$81)*$B$27/$B$26</f>
        <v>-7913.52</v>
      </c>
      <c r="E67" s="330">
        <f t="shared" si="8"/>
        <v>-7913.52</v>
      </c>
      <c r="F67" s="330">
        <f>($B$81+$C$81+$D$81+$E$81+$F$81)*$B$27/$B$26</f>
        <v>-7913.52</v>
      </c>
      <c r="G67" s="330">
        <f>($B$81+$C$81+$D$81+$E$81+$F$81)*$B$27/$B$26</f>
        <v>-7913.52</v>
      </c>
      <c r="H67" s="328">
        <f t="shared" ref="H67:AE67" si="9">G67</f>
        <v>-7913.52</v>
      </c>
      <c r="I67" s="328">
        <f t="shared" si="9"/>
        <v>-7913.52</v>
      </c>
      <c r="J67" s="328">
        <f t="shared" si="9"/>
        <v>-7913.52</v>
      </c>
      <c r="K67" s="328">
        <f t="shared" si="9"/>
        <v>-7913.52</v>
      </c>
      <c r="L67" s="328">
        <f t="shared" si="9"/>
        <v>-7913.52</v>
      </c>
      <c r="M67" s="328">
        <f t="shared" si="9"/>
        <v>-7913.52</v>
      </c>
      <c r="N67" s="328">
        <f t="shared" si="9"/>
        <v>-7913.52</v>
      </c>
      <c r="O67" s="328">
        <f t="shared" si="9"/>
        <v>-7913.52</v>
      </c>
      <c r="P67" s="328">
        <f t="shared" si="9"/>
        <v>-7913.52</v>
      </c>
      <c r="Q67" s="328">
        <f t="shared" si="9"/>
        <v>-7913.52</v>
      </c>
      <c r="R67" s="328">
        <f t="shared" si="9"/>
        <v>-7913.52</v>
      </c>
      <c r="S67" s="328">
        <f t="shared" si="9"/>
        <v>-7913.52</v>
      </c>
      <c r="T67" s="328">
        <f t="shared" si="9"/>
        <v>-7913.52</v>
      </c>
      <c r="U67" s="328">
        <f t="shared" si="9"/>
        <v>-7913.52</v>
      </c>
      <c r="V67" s="328">
        <f t="shared" si="9"/>
        <v>-7913.52</v>
      </c>
      <c r="W67" s="328">
        <f t="shared" si="9"/>
        <v>-7913.52</v>
      </c>
      <c r="X67" s="328">
        <f t="shared" si="9"/>
        <v>-7913.52</v>
      </c>
      <c r="Y67" s="328">
        <f t="shared" si="9"/>
        <v>-7913.52</v>
      </c>
      <c r="Z67" s="328">
        <f t="shared" si="9"/>
        <v>-7913.52</v>
      </c>
      <c r="AA67" s="328">
        <f t="shared" si="9"/>
        <v>-7913.52</v>
      </c>
      <c r="AB67" s="328">
        <f t="shared" si="9"/>
        <v>-7913.52</v>
      </c>
      <c r="AC67" s="328">
        <v>0</v>
      </c>
      <c r="AD67" s="328">
        <f t="shared" si="9"/>
        <v>0</v>
      </c>
      <c r="AE67" s="328">
        <f t="shared" si="9"/>
        <v>0</v>
      </c>
    </row>
    <row r="68" spans="1:32" s="262" customFormat="1" ht="12.75" x14ac:dyDescent="0.2">
      <c r="A68" s="329" t="s">
        <v>562</v>
      </c>
      <c r="B68" s="258">
        <f t="shared" ref="B68:AE68" si="10">B66+B67</f>
        <v>0</v>
      </c>
      <c r="C68" s="258">
        <f t="shared" si="10"/>
        <v>-12091.858560000001</v>
      </c>
      <c r="D68" s="258">
        <f t="shared" si="10"/>
        <v>-12091.858560000001</v>
      </c>
      <c r="E68" s="258">
        <f t="shared" si="10"/>
        <v>-12091.858560000001</v>
      </c>
      <c r="F68" s="258">
        <f t="shared" si="10"/>
        <v>-12091.858560000001</v>
      </c>
      <c r="G68" s="258">
        <f t="shared" si="10"/>
        <v>-11917.761120000001</v>
      </c>
      <c r="H68" s="258">
        <f t="shared" si="10"/>
        <v>-11743.663680000001</v>
      </c>
      <c r="I68" s="258">
        <f t="shared" si="10"/>
        <v>-11569.56624</v>
      </c>
      <c r="J68" s="258">
        <f t="shared" si="10"/>
        <v>-11395.468800000002</v>
      </c>
      <c r="K68" s="258">
        <f t="shared" si="10"/>
        <v>-11221.371360000001</v>
      </c>
      <c r="L68" s="258">
        <f t="shared" si="10"/>
        <v>-11071.014480000002</v>
      </c>
      <c r="M68" s="258">
        <f t="shared" si="10"/>
        <v>-10873.176480000002</v>
      </c>
      <c r="N68" s="258">
        <f t="shared" si="10"/>
        <v>-10770.300720000003</v>
      </c>
      <c r="O68" s="258">
        <f t="shared" si="10"/>
        <v>-10524.981600000003</v>
      </c>
      <c r="P68" s="258">
        <f t="shared" si="10"/>
        <v>-14181.027839999999</v>
      </c>
      <c r="Q68" s="258">
        <f t="shared" si="10"/>
        <v>-10176.786720000002</v>
      </c>
      <c r="R68" s="258">
        <f t="shared" si="10"/>
        <v>-344158.56873394398</v>
      </c>
      <c r="S68" s="258">
        <f t="shared" si="10"/>
        <v>-9828.591840000001</v>
      </c>
      <c r="T68" s="258">
        <f t="shared" si="10"/>
        <v>-9654.4944000000014</v>
      </c>
      <c r="U68" s="258">
        <f t="shared" si="10"/>
        <v>-9480.3969600000019</v>
      </c>
      <c r="V68" s="258">
        <f t="shared" si="10"/>
        <v>-9377.521200000001</v>
      </c>
      <c r="W68" s="258">
        <f t="shared" si="10"/>
        <v>-9132.2020800000009</v>
      </c>
      <c r="X68" s="258">
        <f t="shared" si="10"/>
        <v>-343113.98409394402</v>
      </c>
      <c r="Y68" s="258">
        <f t="shared" si="10"/>
        <v>-8784.0072000000018</v>
      </c>
      <c r="Z68" s="258">
        <f t="shared" si="10"/>
        <v>-8609.9097600000005</v>
      </c>
      <c r="AA68" s="258">
        <f t="shared" si="10"/>
        <v>-8435.8123200000009</v>
      </c>
      <c r="AB68" s="258">
        <f t="shared" si="10"/>
        <v>-8261.7148800000014</v>
      </c>
      <c r="AC68" s="258">
        <f t="shared" si="10"/>
        <v>0</v>
      </c>
      <c r="AD68" s="258">
        <f t="shared" si="10"/>
        <v>-71.221679999999992</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-12091.858560000001</v>
      </c>
      <c r="D70" s="258">
        <f t="shared" si="11"/>
        <v>-12091.858560000001</v>
      </c>
      <c r="E70" s="258">
        <f t="shared" si="11"/>
        <v>-12091.858560000001</v>
      </c>
      <c r="F70" s="258">
        <f t="shared" si="11"/>
        <v>-12091.858560000001</v>
      </c>
      <c r="G70" s="258">
        <f t="shared" si="11"/>
        <v>-11917.761120000001</v>
      </c>
      <c r="H70" s="258">
        <f t="shared" si="11"/>
        <v>-11743.663680000001</v>
      </c>
      <c r="I70" s="258">
        <f t="shared" si="11"/>
        <v>-11569.56624</v>
      </c>
      <c r="J70" s="258">
        <f t="shared" si="11"/>
        <v>-11395.468800000002</v>
      </c>
      <c r="K70" s="258">
        <f t="shared" si="11"/>
        <v>-11221.371360000001</v>
      </c>
      <c r="L70" s="258">
        <f t="shared" si="11"/>
        <v>-11071.014480000002</v>
      </c>
      <c r="M70" s="258">
        <f t="shared" si="11"/>
        <v>-10873.176480000002</v>
      </c>
      <c r="N70" s="258">
        <f t="shared" si="11"/>
        <v>-10770.300720000003</v>
      </c>
      <c r="O70" s="258">
        <f t="shared" si="11"/>
        <v>-10524.981600000003</v>
      </c>
      <c r="P70" s="258">
        <f t="shared" si="11"/>
        <v>-14181.027839999999</v>
      </c>
      <c r="Q70" s="258">
        <f t="shared" si="11"/>
        <v>-10176.786720000002</v>
      </c>
      <c r="R70" s="258">
        <f t="shared" si="11"/>
        <v>-344158.56873394398</v>
      </c>
      <c r="S70" s="258">
        <f t="shared" si="11"/>
        <v>-9828.591840000001</v>
      </c>
      <c r="T70" s="258">
        <f t="shared" si="11"/>
        <v>-9654.4944000000014</v>
      </c>
      <c r="U70" s="258">
        <f t="shared" si="11"/>
        <v>-9480.3969600000019</v>
      </c>
      <c r="V70" s="258">
        <f t="shared" si="11"/>
        <v>-9377.521200000001</v>
      </c>
      <c r="W70" s="258">
        <f t="shared" si="11"/>
        <v>-9132.2020800000009</v>
      </c>
      <c r="X70" s="258">
        <f t="shared" si="11"/>
        <v>-343113.98409394402</v>
      </c>
      <c r="Y70" s="258">
        <f t="shared" si="11"/>
        <v>-8784.0072000000018</v>
      </c>
      <c r="Z70" s="258">
        <f t="shared" si="11"/>
        <v>-8609.9097600000005</v>
      </c>
      <c r="AA70" s="258">
        <f t="shared" si="11"/>
        <v>-8435.8123200000009</v>
      </c>
      <c r="AB70" s="258">
        <f t="shared" si="11"/>
        <v>-8261.7148800000014</v>
      </c>
      <c r="AC70" s="258">
        <f t="shared" si="11"/>
        <v>0</v>
      </c>
      <c r="AD70" s="258">
        <f t="shared" si="11"/>
        <v>-71.221679999999992</v>
      </c>
      <c r="AE70" s="258">
        <f t="shared" si="11"/>
        <v>0</v>
      </c>
    </row>
    <row r="71" spans="1:32" s="262" customFormat="1" ht="12.75" x14ac:dyDescent="0.2">
      <c r="A71" s="325" t="s">
        <v>292</v>
      </c>
      <c r="B71" s="330">
        <f t="shared" ref="B71:AE71" si="12">-B70*$B$35</f>
        <v>0</v>
      </c>
      <c r="C71" s="330">
        <f t="shared" si="12"/>
        <v>2418.3717120000001</v>
      </c>
      <c r="D71" s="330">
        <f t="shared" si="12"/>
        <v>2418.3717120000001</v>
      </c>
      <c r="E71" s="330">
        <f t="shared" si="12"/>
        <v>2418.3717120000001</v>
      </c>
      <c r="F71" s="330">
        <f t="shared" si="12"/>
        <v>2418.3717120000001</v>
      </c>
      <c r="G71" s="330">
        <f t="shared" si="12"/>
        <v>2383.5522240000005</v>
      </c>
      <c r="H71" s="330">
        <f t="shared" si="12"/>
        <v>2348.7327360000004</v>
      </c>
      <c r="I71" s="330">
        <f t="shared" si="12"/>
        <v>2313.9132480000003</v>
      </c>
      <c r="J71" s="330">
        <f t="shared" si="12"/>
        <v>2279.0937600000007</v>
      </c>
      <c r="K71" s="330">
        <f t="shared" si="12"/>
        <v>2244.2742720000001</v>
      </c>
      <c r="L71" s="330">
        <f t="shared" si="12"/>
        <v>2214.2028960000002</v>
      </c>
      <c r="M71" s="330">
        <f t="shared" si="12"/>
        <v>2174.6352960000004</v>
      </c>
      <c r="N71" s="330">
        <f t="shared" si="12"/>
        <v>2154.0601440000005</v>
      </c>
      <c r="O71" s="330">
        <f t="shared" si="12"/>
        <v>2104.9963200000007</v>
      </c>
      <c r="P71" s="330">
        <f t="shared" si="12"/>
        <v>2836.2055679999999</v>
      </c>
      <c r="Q71" s="330">
        <f t="shared" si="12"/>
        <v>2035.3573440000005</v>
      </c>
      <c r="R71" s="330">
        <f t="shared" si="12"/>
        <v>68831.713746788795</v>
      </c>
      <c r="S71" s="330">
        <f t="shared" si="12"/>
        <v>1965.7183680000003</v>
      </c>
      <c r="T71" s="330">
        <f t="shared" si="12"/>
        <v>1930.8988800000004</v>
      </c>
      <c r="U71" s="330">
        <f t="shared" si="12"/>
        <v>1896.0793920000006</v>
      </c>
      <c r="V71" s="330">
        <f t="shared" si="12"/>
        <v>1875.5042400000002</v>
      </c>
      <c r="W71" s="330">
        <f t="shared" si="12"/>
        <v>1826.4404160000004</v>
      </c>
      <c r="X71" s="330">
        <f t="shared" si="12"/>
        <v>68622.796818788804</v>
      </c>
      <c r="Y71" s="330">
        <f t="shared" si="12"/>
        <v>1756.8014400000004</v>
      </c>
      <c r="Z71" s="330">
        <f t="shared" si="12"/>
        <v>1721.9819520000001</v>
      </c>
      <c r="AA71" s="330">
        <f t="shared" si="12"/>
        <v>1687.1624640000002</v>
      </c>
      <c r="AB71" s="330">
        <f t="shared" si="12"/>
        <v>1652.3429760000004</v>
      </c>
      <c r="AC71" s="330">
        <f t="shared" si="12"/>
        <v>0</v>
      </c>
      <c r="AD71" s="330">
        <f t="shared" si="12"/>
        <v>14.244335999999999</v>
      </c>
      <c r="AE71" s="330">
        <f t="shared" si="12"/>
        <v>0</v>
      </c>
    </row>
    <row r="72" spans="1:32" s="262" customFormat="1" ht="13.5" thickBot="1" x14ac:dyDescent="0.25">
      <c r="A72" s="331" t="s">
        <v>296</v>
      </c>
      <c r="B72" s="332">
        <f t="shared" ref="B72:AE72" si="13">B70+B71</f>
        <v>0</v>
      </c>
      <c r="C72" s="332">
        <f t="shared" si="13"/>
        <v>-9673.4868480000005</v>
      </c>
      <c r="D72" s="332">
        <f t="shared" si="13"/>
        <v>-9673.4868480000005</v>
      </c>
      <c r="E72" s="332">
        <f t="shared" si="13"/>
        <v>-9673.4868480000005</v>
      </c>
      <c r="F72" s="332">
        <f t="shared" si="13"/>
        <v>-9673.4868480000005</v>
      </c>
      <c r="G72" s="332">
        <f t="shared" si="13"/>
        <v>-9534.2088960000001</v>
      </c>
      <c r="H72" s="332">
        <f t="shared" si="13"/>
        <v>-9394.9309440000015</v>
      </c>
      <c r="I72" s="332">
        <f t="shared" si="13"/>
        <v>-9255.6529919999994</v>
      </c>
      <c r="J72" s="332">
        <f t="shared" si="13"/>
        <v>-9116.3750400000026</v>
      </c>
      <c r="K72" s="332">
        <f t="shared" si="13"/>
        <v>-8977.0970880000004</v>
      </c>
      <c r="L72" s="332">
        <f t="shared" si="13"/>
        <v>-8856.8115840000009</v>
      </c>
      <c r="M72" s="332">
        <f t="shared" si="13"/>
        <v>-8698.5411840000015</v>
      </c>
      <c r="N72" s="332">
        <f t="shared" si="13"/>
        <v>-8616.240576000002</v>
      </c>
      <c r="O72" s="332">
        <f t="shared" si="13"/>
        <v>-8419.9852800000026</v>
      </c>
      <c r="P72" s="332">
        <f t="shared" si="13"/>
        <v>-11344.822271999999</v>
      </c>
      <c r="Q72" s="332">
        <f t="shared" si="13"/>
        <v>-8141.4293760000019</v>
      </c>
      <c r="R72" s="332">
        <f t="shared" si="13"/>
        <v>-275326.85498715518</v>
      </c>
      <c r="S72" s="332">
        <f t="shared" si="13"/>
        <v>-7862.8734720000011</v>
      </c>
      <c r="T72" s="332">
        <f t="shared" si="13"/>
        <v>-7723.5955200000008</v>
      </c>
      <c r="U72" s="332">
        <f t="shared" si="13"/>
        <v>-7584.3175680000013</v>
      </c>
      <c r="V72" s="332">
        <f t="shared" si="13"/>
        <v>-7502.0169600000008</v>
      </c>
      <c r="W72" s="332">
        <f t="shared" si="13"/>
        <v>-7305.7616640000006</v>
      </c>
      <c r="X72" s="332">
        <f t="shared" si="13"/>
        <v>-274491.18727515521</v>
      </c>
      <c r="Y72" s="332">
        <f t="shared" si="13"/>
        <v>-7027.2057600000016</v>
      </c>
      <c r="Z72" s="332">
        <f t="shared" si="13"/>
        <v>-6887.9278080000004</v>
      </c>
      <c r="AA72" s="332">
        <f t="shared" si="13"/>
        <v>-6748.6498560000009</v>
      </c>
      <c r="AB72" s="332">
        <f t="shared" si="13"/>
        <v>-6609.3719040000015</v>
      </c>
      <c r="AC72" s="332">
        <f t="shared" si="13"/>
        <v>0</v>
      </c>
      <c r="AD72" s="332">
        <f t="shared" si="13"/>
        <v>-56.977343999999995</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562</v>
      </c>
      <c r="B75" s="258">
        <f t="shared" ref="B75:AE75" si="14">B68</f>
        <v>0</v>
      </c>
      <c r="C75" s="258">
        <f t="shared" si="14"/>
        <v>-12091.858560000001</v>
      </c>
      <c r="D75" s="258">
        <f t="shared" si="14"/>
        <v>-12091.858560000001</v>
      </c>
      <c r="E75" s="258">
        <f t="shared" si="14"/>
        <v>-12091.858560000001</v>
      </c>
      <c r="F75" s="258">
        <f t="shared" si="14"/>
        <v>-12091.858560000001</v>
      </c>
      <c r="G75" s="258">
        <f t="shared" si="14"/>
        <v>-11917.761120000001</v>
      </c>
      <c r="H75" s="258">
        <f t="shared" si="14"/>
        <v>-11743.663680000001</v>
      </c>
      <c r="I75" s="258">
        <f t="shared" si="14"/>
        <v>-11569.56624</v>
      </c>
      <c r="J75" s="258">
        <f t="shared" si="14"/>
        <v>-11395.468800000002</v>
      </c>
      <c r="K75" s="258">
        <f t="shared" si="14"/>
        <v>-11221.371360000001</v>
      </c>
      <c r="L75" s="258">
        <f t="shared" si="14"/>
        <v>-11071.014480000002</v>
      </c>
      <c r="M75" s="258">
        <f t="shared" si="14"/>
        <v>-10873.176480000002</v>
      </c>
      <c r="N75" s="258">
        <f t="shared" si="14"/>
        <v>-10770.300720000003</v>
      </c>
      <c r="O75" s="258">
        <f t="shared" si="14"/>
        <v>-10524.981600000003</v>
      </c>
      <c r="P75" s="258">
        <f t="shared" si="14"/>
        <v>-14181.027839999999</v>
      </c>
      <c r="Q75" s="258">
        <f t="shared" si="14"/>
        <v>-10176.786720000002</v>
      </c>
      <c r="R75" s="258">
        <f t="shared" si="14"/>
        <v>-344158.56873394398</v>
      </c>
      <c r="S75" s="258">
        <f t="shared" si="14"/>
        <v>-9828.591840000001</v>
      </c>
      <c r="T75" s="258">
        <f t="shared" si="14"/>
        <v>-9654.4944000000014</v>
      </c>
      <c r="U75" s="258">
        <f t="shared" si="14"/>
        <v>-9480.3969600000019</v>
      </c>
      <c r="V75" s="258">
        <f t="shared" si="14"/>
        <v>-9377.521200000001</v>
      </c>
      <c r="W75" s="258">
        <f t="shared" si="14"/>
        <v>-9132.2020800000009</v>
      </c>
      <c r="X75" s="258">
        <f t="shared" si="14"/>
        <v>-343113.98409394402</v>
      </c>
      <c r="Y75" s="258">
        <f t="shared" si="14"/>
        <v>-8784.0072000000018</v>
      </c>
      <c r="Z75" s="258">
        <f t="shared" si="14"/>
        <v>-8609.9097600000005</v>
      </c>
      <c r="AA75" s="258">
        <f t="shared" si="14"/>
        <v>-8435.8123200000009</v>
      </c>
      <c r="AB75" s="258">
        <f t="shared" si="14"/>
        <v>-8261.7148800000014</v>
      </c>
      <c r="AC75" s="258">
        <f t="shared" si="14"/>
        <v>0</v>
      </c>
      <c r="AD75" s="258">
        <f t="shared" si="14"/>
        <v>-71.221679999999992</v>
      </c>
      <c r="AE75" s="258">
        <f t="shared" si="14"/>
        <v>0</v>
      </c>
    </row>
    <row r="76" spans="1:32" s="262" customFormat="1" ht="12.75" x14ac:dyDescent="0.2">
      <c r="A76" s="325" t="s">
        <v>294</v>
      </c>
      <c r="B76" s="330">
        <f t="shared" ref="B76:AE76" si="15">-B67</f>
        <v>0</v>
      </c>
      <c r="C76" s="330">
        <f t="shared" si="15"/>
        <v>7913.52</v>
      </c>
      <c r="D76" s="330">
        <f t="shared" si="15"/>
        <v>7913.52</v>
      </c>
      <c r="E76" s="330">
        <f t="shared" si="15"/>
        <v>7913.52</v>
      </c>
      <c r="F76" s="330">
        <f t="shared" si="15"/>
        <v>7913.52</v>
      </c>
      <c r="G76" s="330">
        <f>-G67</f>
        <v>7913.52</v>
      </c>
      <c r="H76" s="330">
        <f t="shared" si="15"/>
        <v>7913.52</v>
      </c>
      <c r="I76" s="330">
        <f t="shared" si="15"/>
        <v>7913.52</v>
      </c>
      <c r="J76" s="330">
        <f t="shared" si="15"/>
        <v>7913.52</v>
      </c>
      <c r="K76" s="330">
        <f t="shared" si="15"/>
        <v>7913.52</v>
      </c>
      <c r="L76" s="330">
        <f t="shared" si="15"/>
        <v>7913.52</v>
      </c>
      <c r="M76" s="330">
        <f t="shared" si="15"/>
        <v>7913.52</v>
      </c>
      <c r="N76" s="330">
        <f t="shared" si="15"/>
        <v>7913.52</v>
      </c>
      <c r="O76" s="330">
        <f t="shared" si="15"/>
        <v>7913.52</v>
      </c>
      <c r="P76" s="330">
        <f t="shared" si="15"/>
        <v>7913.52</v>
      </c>
      <c r="Q76" s="330">
        <f t="shared" si="15"/>
        <v>7913.52</v>
      </c>
      <c r="R76" s="330">
        <f t="shared" si="15"/>
        <v>7913.52</v>
      </c>
      <c r="S76" s="330">
        <f t="shared" si="15"/>
        <v>7913.52</v>
      </c>
      <c r="T76" s="330">
        <f t="shared" si="15"/>
        <v>7913.52</v>
      </c>
      <c r="U76" s="330">
        <f t="shared" si="15"/>
        <v>7913.52</v>
      </c>
      <c r="V76" s="330">
        <f t="shared" si="15"/>
        <v>7913.52</v>
      </c>
      <c r="W76" s="330">
        <f t="shared" si="15"/>
        <v>7913.52</v>
      </c>
      <c r="X76" s="330">
        <f t="shared" si="15"/>
        <v>7913.52</v>
      </c>
      <c r="Y76" s="330">
        <f t="shared" si="15"/>
        <v>7913.52</v>
      </c>
      <c r="Z76" s="330">
        <f t="shared" si="15"/>
        <v>7913.52</v>
      </c>
      <c r="AA76" s="330">
        <f t="shared" si="15"/>
        <v>7913.52</v>
      </c>
      <c r="AB76" s="330">
        <f t="shared" si="15"/>
        <v>7913.52</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-47481.120000000003</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-4.7481120000011288</v>
      </c>
      <c r="M79" s="330">
        <f>IF(((SUM($B$58:M58)+SUM($B$60:M64))+SUM($B$81:M81))&lt;0,((SUM($B$58:M58)+SUM($B$60:M64))+SUM($B$81:M81))*0.2-SUM($A$79:L79),IF(SUM($A$79:L79)&lt;0,0-SUM($A$79:L79),0))</f>
        <v>0</v>
      </c>
      <c r="N79" s="330">
        <f>IF(((SUM($B$58:N58)+SUM($B$60:N64))+SUM($B$81:N81))&lt;0,((SUM($B$58:N58)+SUM($B$60:N64))+SUM($B$81:N81))*0.2-SUM($A$79:M79),IF(SUM($A$79:M79)&lt;0,0-SUM($A$79:M79),0))</f>
        <v>-14.24433599999611</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-66831.175890788814</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-14.244335999988834</v>
      </c>
      <c r="W79" s="330">
        <f>IF(((SUM($B$58:W58)+SUM($B$60:W64))+SUM($B$81:W81))&lt;0,((SUM($B$58:W58)+SUM($B$60:W64))+SUM($B$81:W81))*0.2-SUM($A$79:V79),IF(SUM($A$79:V79)&lt;0,0-SUM($A$79:V79),0))</f>
        <v>0</v>
      </c>
      <c r="X79" s="330">
        <f>IF(((SUM($B$58:X58)+SUM($B$60:X64))+SUM($B$81:X81))&lt;0,((SUM($B$58:X58)+SUM($B$60:X64))+SUM($B$81:X81))*0.2-SUM($A$79:W79),IF(SUM($A$79:W79)&lt;0,0-SUM($A$79:W79),0))</f>
        <v>-66831.175890788771</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-14.244336000003386</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-237405.6</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-284886.72000000003</v>
      </c>
      <c r="C83" s="258">
        <f t="shared" ref="C83:AE83" si="18">SUM(C75:C82)</f>
        <v>-4178.3385600000001</v>
      </c>
      <c r="D83" s="258">
        <f t="shared" si="18"/>
        <v>-4178.3385600000001</v>
      </c>
      <c r="E83" s="258">
        <f t="shared" si="18"/>
        <v>-4178.3385600000001</v>
      </c>
      <c r="F83" s="258">
        <f t="shared" si="18"/>
        <v>-4178.3385600000001</v>
      </c>
      <c r="G83" s="258">
        <f t="shared" si="18"/>
        <v>-4004.2411200000006</v>
      </c>
      <c r="H83" s="258">
        <f t="shared" si="18"/>
        <v>-3830.143680000001</v>
      </c>
      <c r="I83" s="258">
        <f t="shared" si="18"/>
        <v>-3656.0462399999997</v>
      </c>
      <c r="J83" s="258">
        <f t="shared" si="18"/>
        <v>-3481.9488000000019</v>
      </c>
      <c r="K83" s="258">
        <f t="shared" si="18"/>
        <v>-3307.8513600000006</v>
      </c>
      <c r="L83" s="258">
        <f t="shared" si="18"/>
        <v>-3162.2425920000023</v>
      </c>
      <c r="M83" s="258">
        <f t="shared" si="18"/>
        <v>-2959.6564800000015</v>
      </c>
      <c r="N83" s="258">
        <f t="shared" si="18"/>
        <v>-2871.0250559999986</v>
      </c>
      <c r="O83" s="258">
        <f t="shared" si="18"/>
        <v>-2611.4616000000024</v>
      </c>
      <c r="P83" s="258">
        <f t="shared" si="18"/>
        <v>-6267.5078399999984</v>
      </c>
      <c r="Q83" s="258">
        <f t="shared" si="18"/>
        <v>-2263.2667200000014</v>
      </c>
      <c r="R83" s="258">
        <f t="shared" si="18"/>
        <v>-403076.22462473274</v>
      </c>
      <c r="S83" s="258">
        <f t="shared" si="18"/>
        <v>-1915.0718400000005</v>
      </c>
      <c r="T83" s="258">
        <f t="shared" si="18"/>
        <v>-1740.974400000001</v>
      </c>
      <c r="U83" s="258">
        <f t="shared" si="18"/>
        <v>-1566.8769600000014</v>
      </c>
      <c r="V83" s="258">
        <f t="shared" si="18"/>
        <v>-1478.2455359999894</v>
      </c>
      <c r="W83" s="258">
        <f t="shared" si="18"/>
        <v>-1218.6820800000005</v>
      </c>
      <c r="X83" s="258">
        <f t="shared" si="18"/>
        <v>-402031.63998473278</v>
      </c>
      <c r="Y83" s="258">
        <f t="shared" si="18"/>
        <v>-870.48720000000139</v>
      </c>
      <c r="Z83" s="258">
        <f t="shared" si="18"/>
        <v>-696.38976000000002</v>
      </c>
      <c r="AA83" s="258">
        <f t="shared" si="18"/>
        <v>-522.29232000000047</v>
      </c>
      <c r="AB83" s="258">
        <f t="shared" si="18"/>
        <v>-348.19488000000092</v>
      </c>
      <c r="AC83" s="258">
        <f t="shared" si="18"/>
        <v>0</v>
      </c>
      <c r="AD83" s="258">
        <f t="shared" si="18"/>
        <v>-85.466016000003378</v>
      </c>
      <c r="AE83" s="258">
        <f t="shared" si="18"/>
        <v>0</v>
      </c>
    </row>
    <row r="84" spans="1:31" s="262" customFormat="1" ht="12.75" x14ac:dyDescent="0.2">
      <c r="A84" s="329" t="s">
        <v>563</v>
      </c>
      <c r="B84" s="258">
        <f>SUM($B$83:B83)</f>
        <v>-284886.72000000003</v>
      </c>
      <c r="C84" s="258">
        <f>SUM($B$83:C83)</f>
        <v>-289065.05856000003</v>
      </c>
      <c r="D84" s="258">
        <f>SUM($B$83:D83)</f>
        <v>-293243.39712000004</v>
      </c>
      <c r="E84" s="258">
        <f>SUM($B$83:E83)</f>
        <v>-297421.73568000004</v>
      </c>
      <c r="F84" s="258">
        <f>SUM($B$83:F83)</f>
        <v>-301600.07424000005</v>
      </c>
      <c r="G84" s="258">
        <f>SUM($B$83:G83)</f>
        <v>-305604.31536000007</v>
      </c>
      <c r="H84" s="258">
        <f>SUM($B$83:H83)</f>
        <v>-309434.45904000005</v>
      </c>
      <c r="I84" s="258">
        <f>SUM($B$83:I83)</f>
        <v>-313090.50528000004</v>
      </c>
      <c r="J84" s="258">
        <f>SUM($B$83:J83)</f>
        <v>-316572.45408000005</v>
      </c>
      <c r="K84" s="258">
        <f>SUM($B$83:K83)</f>
        <v>-319880.30544000003</v>
      </c>
      <c r="L84" s="258">
        <f>SUM($B$83:L83)</f>
        <v>-323042.54803200002</v>
      </c>
      <c r="M84" s="258">
        <f>SUM($B$83:M83)</f>
        <v>-326002.20451200003</v>
      </c>
      <c r="N84" s="258">
        <f>SUM($B$83:N83)</f>
        <v>-328873.22956800001</v>
      </c>
      <c r="O84" s="258">
        <f>SUM($B$83:O83)</f>
        <v>-331484.69116799999</v>
      </c>
      <c r="P84" s="258">
        <f>SUM($B$83:P83)</f>
        <v>-337752.19900799997</v>
      </c>
      <c r="Q84" s="258">
        <f>SUM($B$83:Q83)</f>
        <v>-340015.46572799998</v>
      </c>
      <c r="R84" s="258">
        <f>SUM($B$83:R83)</f>
        <v>-743091.69035273278</v>
      </c>
      <c r="S84" s="258">
        <f>SUM($B$83:S83)</f>
        <v>-745006.76219273277</v>
      </c>
      <c r="T84" s="258">
        <f>SUM($B$83:T83)</f>
        <v>-746747.73659273272</v>
      </c>
      <c r="U84" s="258">
        <f>SUM($B$83:U83)</f>
        <v>-748314.61355273274</v>
      </c>
      <c r="V84" s="258">
        <f>SUM($B$83:V83)</f>
        <v>-749792.85908873274</v>
      </c>
      <c r="W84" s="258">
        <f>SUM($B$83:W83)</f>
        <v>-751011.5411687328</v>
      </c>
      <c r="X84" s="258">
        <f>SUM($B$83:X83)</f>
        <v>-1153043.1811534655</v>
      </c>
      <c r="Y84" s="258">
        <f>SUM($B$83:Y83)</f>
        <v>-1153913.6683534656</v>
      </c>
      <c r="Z84" s="258">
        <f>SUM($B$83:Z83)</f>
        <v>-1154610.0581134656</v>
      </c>
      <c r="AA84" s="258">
        <f>SUM($B$83:AA83)</f>
        <v>-1155132.3504334656</v>
      </c>
      <c r="AB84" s="258">
        <f>SUM($B$83:AB83)</f>
        <v>-1155480.5453134656</v>
      </c>
      <c r="AC84" s="258">
        <f>SUM($B$83:AC83)</f>
        <v>-1155480.5453134656</v>
      </c>
      <c r="AD84" s="258">
        <f>SUM($B$83:AD83)</f>
        <v>-1155566.0113294655</v>
      </c>
      <c r="AE84" s="258">
        <f>SUM($B$83:AE83)</f>
        <v>-1155566.0113294655</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564</v>
      </c>
      <c r="B86" s="258">
        <f t="shared" ref="B86:AE86" si="20">B83*B85</f>
        <v>-271789.48004636617</v>
      </c>
      <c r="C86" s="258">
        <f t="shared" si="20"/>
        <v>-3628.1475446861773</v>
      </c>
      <c r="D86" s="258">
        <f t="shared" si="20"/>
        <v>-3302.2185716630352</v>
      </c>
      <c r="E86" s="258">
        <f t="shared" si="20"/>
        <v>-3005.5689193255989</v>
      </c>
      <c r="F86" s="258">
        <f t="shared" si="20"/>
        <v>-2735.568325589878</v>
      </c>
      <c r="G86" s="258">
        <f t="shared" si="20"/>
        <v>-2386.0801966174868</v>
      </c>
      <c r="H86" s="258">
        <f t="shared" si="20"/>
        <v>-2077.3073444736951</v>
      </c>
      <c r="I86" s="258">
        <f t="shared" si="20"/>
        <v>-1804.7549680178881</v>
      </c>
      <c r="J86" s="258">
        <f t="shared" si="20"/>
        <v>-1564.407258810533</v>
      </c>
      <c r="K86" s="258">
        <f t="shared" si="20"/>
        <v>-1352.6776152452951</v>
      </c>
      <c r="L86" s="258">
        <f t="shared" si="20"/>
        <v>-1176.9672445687668</v>
      </c>
      <c r="M86" s="258">
        <f t="shared" si="20"/>
        <v>-1002.60848239866</v>
      </c>
      <c r="N86" s="258">
        <f t="shared" si="20"/>
        <v>-885.2132914840862</v>
      </c>
      <c r="O86" s="258">
        <f t="shared" si="20"/>
        <v>-732.8506260875937</v>
      </c>
      <c r="P86" s="258">
        <f t="shared" si="20"/>
        <v>-1600.8387208612201</v>
      </c>
      <c r="Q86" s="258">
        <f t="shared" si="20"/>
        <v>-526.14967616263357</v>
      </c>
      <c r="R86" s="258">
        <f t="shared" si="20"/>
        <v>-85286.762262200762</v>
      </c>
      <c r="S86" s="258">
        <f t="shared" si="20"/>
        <v>-368.80804948225494</v>
      </c>
      <c r="T86" s="258">
        <f t="shared" si="20"/>
        <v>-305.16068534073742</v>
      </c>
      <c r="U86" s="258">
        <f t="shared" si="20"/>
        <v>-249.97234623342479</v>
      </c>
      <c r="V86" s="258">
        <f t="shared" si="20"/>
        <v>-214.64685204830397</v>
      </c>
      <c r="W86" s="258">
        <f t="shared" si="20"/>
        <v>-161.06057604499622</v>
      </c>
      <c r="X86" s="258">
        <f t="shared" si="20"/>
        <v>-48359.29176811206</v>
      </c>
      <c r="Y86" s="258">
        <f t="shared" si="20"/>
        <v>-95.302208147221606</v>
      </c>
      <c r="Z86" s="258">
        <f t="shared" si="20"/>
        <v>-69.392706396447778</v>
      </c>
      <c r="AA86" s="258">
        <f t="shared" si="20"/>
        <v>-47.369190677469639</v>
      </c>
      <c r="AB86" s="258">
        <f t="shared" si="20"/>
        <v>-28.742568901107184</v>
      </c>
      <c r="AC86" s="258">
        <f t="shared" si="20"/>
        <v>0</v>
      </c>
      <c r="AD86" s="258">
        <f t="shared" si="20"/>
        <v>-5.8443795316335079</v>
      </c>
      <c r="AE86" s="258">
        <f t="shared" si="20"/>
        <v>0</v>
      </c>
    </row>
    <row r="87" spans="1:31" s="262" customFormat="1" ht="12.75" x14ac:dyDescent="0.2">
      <c r="A87" s="334" t="s">
        <v>565</v>
      </c>
      <c r="B87" s="258">
        <f>SUM($B$86:B86)</f>
        <v>-271789.48004636617</v>
      </c>
      <c r="C87" s="258">
        <f>SUM($B$86:C86)</f>
        <v>-275417.62759105233</v>
      </c>
      <c r="D87" s="258">
        <f>SUM($B$86:D86)</f>
        <v>-278719.84616271534</v>
      </c>
      <c r="E87" s="258">
        <f>SUM($B$86:E86)</f>
        <v>-281725.41508204094</v>
      </c>
      <c r="F87" s="258">
        <f>SUM($B$86:F86)</f>
        <v>-284460.98340763082</v>
      </c>
      <c r="G87" s="258">
        <f>SUM($B$86:G86)</f>
        <v>-286847.06360424828</v>
      </c>
      <c r="H87" s="258">
        <f>SUM($B$86:H86)</f>
        <v>-288924.370948722</v>
      </c>
      <c r="I87" s="258">
        <f>SUM($B$86:I86)</f>
        <v>-290729.12591673987</v>
      </c>
      <c r="J87" s="258">
        <f>SUM($B$86:J86)</f>
        <v>-292293.5331755504</v>
      </c>
      <c r="K87" s="258">
        <f>SUM($B$86:K86)</f>
        <v>-293646.21079079568</v>
      </c>
      <c r="L87" s="258">
        <f>SUM($B$86:L86)</f>
        <v>-294823.17803536443</v>
      </c>
      <c r="M87" s="258">
        <f>SUM($B$86:M86)</f>
        <v>-295825.7865177631</v>
      </c>
      <c r="N87" s="258">
        <f>SUM($B$86:N86)</f>
        <v>-296710.99980924721</v>
      </c>
      <c r="O87" s="258">
        <f>SUM($B$86:O86)</f>
        <v>-297443.85043533478</v>
      </c>
      <c r="P87" s="258">
        <f>SUM($B$86:P86)</f>
        <v>-299044.68915619602</v>
      </c>
      <c r="Q87" s="258">
        <f>SUM($B$86:Q86)</f>
        <v>-299570.83883235866</v>
      </c>
      <c r="R87" s="258">
        <f>SUM($B$86:R86)</f>
        <v>-384857.60109455942</v>
      </c>
      <c r="S87" s="258">
        <f>SUM($B$86:S86)</f>
        <v>-385226.40914404165</v>
      </c>
      <c r="T87" s="258">
        <f>SUM($B$86:T86)</f>
        <v>-385531.56982938241</v>
      </c>
      <c r="U87" s="258">
        <f>SUM($B$86:U86)</f>
        <v>-385781.54217561585</v>
      </c>
      <c r="V87" s="258">
        <f>SUM($B$86:V86)</f>
        <v>-385996.18902766414</v>
      </c>
      <c r="W87" s="258">
        <f>SUM($B$86:W86)</f>
        <v>-386157.24960370915</v>
      </c>
      <c r="X87" s="258">
        <f>SUM($B$86:X86)</f>
        <v>-434516.54137182119</v>
      </c>
      <c r="Y87" s="258">
        <f>SUM($B$86:Y86)</f>
        <v>-434611.84357996844</v>
      </c>
      <c r="Z87" s="258">
        <f>SUM($B$86:Z86)</f>
        <v>-434681.2362863649</v>
      </c>
      <c r="AA87" s="258">
        <f>SUM($B$86:AA86)</f>
        <v>-434728.60547704238</v>
      </c>
      <c r="AB87" s="258">
        <f>SUM($B$86:AB86)</f>
        <v>-434757.34804594348</v>
      </c>
      <c r="AC87" s="258">
        <f>SUM($B$86:AC86)</f>
        <v>-434757.34804594348</v>
      </c>
      <c r="AD87" s="258">
        <f>SUM($B$86:AD86)</f>
        <v>-434763.19242547511</v>
      </c>
      <c r="AE87" s="258">
        <f>SUM($B$86:AE86)</f>
        <v>-434763.19242547511</v>
      </c>
    </row>
    <row r="88" spans="1:31" s="262" customFormat="1" ht="12.75" x14ac:dyDescent="0.2">
      <c r="A88" s="334" t="s">
        <v>566</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567</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568</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70" t="s">
        <v>569</v>
      </c>
      <c r="B93" s="470"/>
      <c r="C93" s="470"/>
      <c r="D93" s="470"/>
      <c r="E93" s="470"/>
      <c r="F93" s="470"/>
      <c r="G93" s="470"/>
      <c r="H93" s="470"/>
      <c r="I93" s="470"/>
      <c r="J93" s="470"/>
      <c r="K93" s="470"/>
      <c r="L93" s="470"/>
      <c r="M93" s="470"/>
      <c r="N93" s="470"/>
      <c r="O93" s="470"/>
      <c r="P93" s="470"/>
      <c r="Q93" s="470"/>
      <c r="R93" s="470"/>
      <c r="S93" s="470"/>
      <c r="T93" s="470"/>
      <c r="U93" s="470"/>
      <c r="V93" s="470"/>
      <c r="W93" s="470"/>
      <c r="X93" s="470"/>
      <c r="Y93" s="470"/>
      <c r="Z93" s="470"/>
      <c r="AA93" s="470"/>
      <c r="AB93" s="470"/>
      <c r="AC93" s="470"/>
    </row>
    <row r="94" spans="1:31" s="262" customFormat="1" ht="12.75" x14ac:dyDescent="0.2">
      <c r="A94" s="470" t="s">
        <v>570</v>
      </c>
      <c r="B94" s="470"/>
      <c r="C94" s="470"/>
      <c r="D94" s="470"/>
      <c r="E94" s="470"/>
      <c r="F94" s="470"/>
      <c r="G94" s="470"/>
      <c r="H94" s="470"/>
      <c r="I94" s="470"/>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571</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572</v>
      </c>
      <c r="B102" s="351" t="s">
        <v>573</v>
      </c>
      <c r="C102" s="351" t="s">
        <v>574</v>
      </c>
      <c r="D102" s="351" t="s">
        <v>575</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-1176.9672445687668</v>
      </c>
      <c r="C103" s="355">
        <f>G26</f>
        <v>0</v>
      </c>
      <c r="D103" s="355" t="str">
        <f>G27</f>
        <v>не окупается</v>
      </c>
      <c r="E103" s="352" t="s">
        <v>576</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577</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578</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579</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580</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581</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582</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71" t="s">
        <v>583</v>
      </c>
      <c r="C114" s="472"/>
      <c r="D114" s="471" t="s">
        <v>584</v>
      </c>
      <c r="E114" s="472"/>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585</v>
      </c>
      <c r="B115" s="365"/>
      <c r="C115" s="356" t="s">
        <v>586</v>
      </c>
      <c r="D115" s="365">
        <v>16</v>
      </c>
      <c r="E115" s="356" t="s">
        <v>586</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585</v>
      </c>
      <c r="B116" s="356">
        <f>$B$110*B115</f>
        <v>0</v>
      </c>
      <c r="C116" s="356" t="s">
        <v>125</v>
      </c>
      <c r="D116" s="356">
        <f>D115*B108</f>
        <v>14.88</v>
      </c>
      <c r="E116" s="356" t="s">
        <v>125</v>
      </c>
      <c r="F116" s="359" t="s">
        <v>587</v>
      </c>
      <c r="G116" s="356">
        <f>D115-B115</f>
        <v>16</v>
      </c>
      <c r="H116" s="356" t="s">
        <v>586</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588</v>
      </c>
      <c r="G117" s="366">
        <v>9.4623655913978499</v>
      </c>
      <c r="H117" s="356" t="s">
        <v>586</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589</v>
      </c>
      <c r="G118" s="356">
        <f>G116</f>
        <v>16</v>
      </c>
      <c r="H118" s="356" t="s">
        <v>586</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590</v>
      </c>
      <c r="B120" s="372">
        <f>B124/1000000</f>
        <v>0</v>
      </c>
      <c r="D120" s="462" t="s">
        <v>323</v>
      </c>
      <c r="E120" s="373" t="s">
        <v>591</v>
      </c>
      <c r="F120" s="374">
        <v>35</v>
      </c>
      <c r="G120" s="463"/>
    </row>
    <row r="121" spans="1:71" s="352" customFormat="1" ht="15.75" x14ac:dyDescent="0.2">
      <c r="A121" s="371" t="s">
        <v>323</v>
      </c>
      <c r="B121" s="375">
        <v>30</v>
      </c>
      <c r="D121" s="462"/>
      <c r="E121" s="373" t="s">
        <v>592</v>
      </c>
      <c r="F121" s="374">
        <v>30</v>
      </c>
      <c r="G121" s="463"/>
    </row>
    <row r="122" spans="1:71" s="352" customFormat="1" ht="15.75" x14ac:dyDescent="0.2">
      <c r="A122" s="371" t="s">
        <v>593</v>
      </c>
      <c r="B122" s="375" t="s">
        <v>594</v>
      </c>
      <c r="C122" s="376" t="s">
        <v>595</v>
      </c>
      <c r="D122" s="462"/>
      <c r="E122" s="373" t="s">
        <v>596</v>
      </c>
      <c r="F122" s="374">
        <v>30</v>
      </c>
      <c r="G122" s="463"/>
    </row>
    <row r="123" spans="1:71" s="352" customFormat="1" ht="15.75" x14ac:dyDescent="0.2">
      <c r="A123" s="377"/>
      <c r="B123" s="378"/>
      <c r="C123" s="376"/>
      <c r="D123" s="462"/>
      <c r="E123" s="373" t="s">
        <v>597</v>
      </c>
      <c r="F123" s="374">
        <v>30</v>
      </c>
      <c r="G123" s="463"/>
    </row>
    <row r="124" spans="1:71" s="352" customFormat="1" ht="12.75" x14ac:dyDescent="0.2">
      <c r="A124" s="371" t="s">
        <v>598</v>
      </c>
      <c r="B124" s="379">
        <f>B126*1000000</f>
        <v>0</v>
      </c>
      <c r="C124" s="379"/>
      <c r="D124" s="379"/>
    </row>
    <row r="125" spans="1:71" s="352" customFormat="1" ht="12.75" x14ac:dyDescent="0.2">
      <c r="A125" s="371" t="s">
        <v>599</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600</v>
      </c>
      <c r="B127" s="382">
        <v>9.8699999999999996E-2</v>
      </c>
    </row>
    <row r="128" spans="1:71" s="352" customFormat="1" ht="15.75" x14ac:dyDescent="0.2">
      <c r="A128" s="383"/>
      <c r="B128" s="384"/>
    </row>
    <row r="129" spans="1:51" s="352" customFormat="1" ht="25.5" x14ac:dyDescent="0.2">
      <c r="A129" s="385" t="s">
        <v>601</v>
      </c>
      <c r="B129" s="386">
        <v>0.74426999999999999</v>
      </c>
    </row>
    <row r="130" spans="1:51" s="352" customFormat="1" ht="12.75" x14ac:dyDescent="0.2"/>
    <row r="131" spans="1:51" s="352" customFormat="1" ht="12.75" x14ac:dyDescent="0.2">
      <c r="A131" s="370"/>
      <c r="C131" s="352" t="s">
        <v>602</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M 22-12</v>
      </c>
      <c r="B12" s="417"/>
      <c r="C12" s="417"/>
      <c r="D12" s="417"/>
      <c r="E12" s="417"/>
      <c r="F12" s="417"/>
      <c r="G12" s="417"/>
      <c r="H12" s="417"/>
      <c r="I12" s="417"/>
      <c r="J12" s="417"/>
      <c r="K12" s="417"/>
      <c r="L12" s="417"/>
    </row>
    <row r="13" spans="1:44" x14ac:dyDescent="0.25">
      <c r="A13" s="412" t="s">
        <v>5</v>
      </c>
      <c r="B13" s="412"/>
      <c r="C13" s="412"/>
      <c r="D13" s="412"/>
      <c r="E13" s="412"/>
      <c r="F13" s="412"/>
      <c r="G13" s="412"/>
      <c r="H13" s="412"/>
      <c r="I13" s="412"/>
      <c r="J13" s="412"/>
      <c r="K13" s="412"/>
      <c r="L13" s="412"/>
    </row>
    <row r="14" spans="1:44" ht="18.75" x14ac:dyDescent="0.25">
      <c r="A14" s="418"/>
      <c r="B14" s="418"/>
      <c r="C14" s="418"/>
      <c r="D14" s="418"/>
      <c r="E14" s="418"/>
      <c r="F14" s="418"/>
      <c r="G14" s="418"/>
      <c r="H14" s="418"/>
      <c r="I14" s="418"/>
      <c r="J14" s="418"/>
      <c r="K14" s="418"/>
      <c r="L14" s="418"/>
    </row>
    <row r="15" spans="1:44" ht="102" customHeight="1" x14ac:dyDescent="0.25">
      <c r="A15" s="411" t="str">
        <f>'1. паспорт местоположение'!A15</f>
        <v xml:space="preserve">Монтаж кондиционеров на ПС "Университетская" и ПС "Ижевская" </v>
      </c>
      <c r="B15" s="411"/>
      <c r="C15" s="411"/>
      <c r="D15" s="411"/>
      <c r="E15" s="411"/>
      <c r="F15" s="411"/>
      <c r="G15" s="411"/>
      <c r="H15" s="411"/>
      <c r="I15" s="411"/>
      <c r="J15" s="411"/>
      <c r="K15" s="411"/>
      <c r="L15" s="411"/>
    </row>
    <row r="16" spans="1:44" x14ac:dyDescent="0.25">
      <c r="A16" s="412" t="s">
        <v>4</v>
      </c>
      <c r="B16" s="412"/>
      <c r="C16" s="412"/>
      <c r="D16" s="412"/>
      <c r="E16" s="412"/>
      <c r="F16" s="412"/>
      <c r="G16" s="412"/>
      <c r="H16" s="412"/>
      <c r="I16" s="412"/>
      <c r="J16" s="412"/>
      <c r="K16" s="412"/>
      <c r="L16" s="412"/>
    </row>
    <row r="17" spans="1:12" ht="15.75" customHeight="1" x14ac:dyDescent="0.25">
      <c r="L17" s="84"/>
    </row>
    <row r="18" spans="1:12" x14ac:dyDescent="0.25">
      <c r="K18" s="83"/>
    </row>
    <row r="19" spans="1:12" ht="15.75" customHeight="1" x14ac:dyDescent="0.25">
      <c r="A19" s="473" t="s">
        <v>478</v>
      </c>
      <c r="B19" s="473"/>
      <c r="C19" s="473"/>
      <c r="D19" s="473"/>
      <c r="E19" s="473"/>
      <c r="F19" s="473"/>
      <c r="G19" s="473"/>
      <c r="H19" s="473"/>
      <c r="I19" s="473"/>
      <c r="J19" s="473"/>
      <c r="K19" s="473"/>
      <c r="L19" s="473"/>
    </row>
    <row r="20" spans="1:12" x14ac:dyDescent="0.25">
      <c r="A20" s="61"/>
      <c r="B20" s="61"/>
      <c r="C20" s="82"/>
      <c r="D20" s="82"/>
      <c r="E20" s="82"/>
      <c r="F20" s="82"/>
      <c r="G20" s="82"/>
      <c r="H20" s="82"/>
      <c r="I20" s="82"/>
      <c r="J20" s="82"/>
      <c r="K20" s="82"/>
      <c r="L20" s="82"/>
    </row>
    <row r="21" spans="1:12" ht="28.5" customHeight="1" x14ac:dyDescent="0.25">
      <c r="A21" s="474" t="s">
        <v>216</v>
      </c>
      <c r="B21" s="474" t="s">
        <v>215</v>
      </c>
      <c r="C21" s="480" t="s">
        <v>410</v>
      </c>
      <c r="D21" s="480"/>
      <c r="E21" s="480"/>
      <c r="F21" s="480"/>
      <c r="G21" s="480"/>
      <c r="H21" s="480"/>
      <c r="I21" s="475" t="s">
        <v>214</v>
      </c>
      <c r="J21" s="477" t="s">
        <v>412</v>
      </c>
      <c r="K21" s="474" t="s">
        <v>213</v>
      </c>
      <c r="L21" s="476" t="s">
        <v>411</v>
      </c>
    </row>
    <row r="22" spans="1:12" ht="58.5" customHeight="1" x14ac:dyDescent="0.25">
      <c r="A22" s="474"/>
      <c r="B22" s="474"/>
      <c r="C22" s="481" t="s">
        <v>2</v>
      </c>
      <c r="D22" s="481"/>
      <c r="E22" s="481" t="s">
        <v>9</v>
      </c>
      <c r="F22" s="481"/>
      <c r="G22" s="481" t="s">
        <v>532</v>
      </c>
      <c r="H22" s="481"/>
      <c r="I22" s="475"/>
      <c r="J22" s="478"/>
      <c r="K22" s="474"/>
      <c r="L22" s="476"/>
    </row>
    <row r="23" spans="1:12" ht="31.5" x14ac:dyDescent="0.25">
      <c r="A23" s="474"/>
      <c r="B23" s="474"/>
      <c r="C23" s="81" t="s">
        <v>212</v>
      </c>
      <c r="D23" s="81" t="s">
        <v>211</v>
      </c>
      <c r="E23" s="81" t="s">
        <v>212</v>
      </c>
      <c r="F23" s="81" t="s">
        <v>211</v>
      </c>
      <c r="G23" s="81" t="s">
        <v>212</v>
      </c>
      <c r="H23" s="81" t="s">
        <v>211</v>
      </c>
      <c r="I23" s="475"/>
      <c r="J23" s="479"/>
      <c r="K23" s="474"/>
      <c r="L23" s="476"/>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2022-02-14T15:40:05Z</dcterms:modified>
</cp:coreProperties>
</file>