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9\"/>
    </mc:Choice>
  </mc:AlternateContent>
  <xr:revisionPtr revIDLastSave="0" documentId="13_ncr:1_{B0A76DBF-CE31-433E-86AB-1AA4EEFC36FF}"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81" i="27" l="1"/>
  <c r="C81" i="27"/>
  <c r="B81" i="27"/>
  <c r="AC55" i="15"/>
  <c r="AC56" i="15"/>
  <c r="AC57" i="15"/>
  <c r="AC58" i="15"/>
  <c r="AC59" i="15"/>
  <c r="AC60" i="15"/>
  <c r="AC61" i="15"/>
  <c r="AC62" i="15"/>
  <c r="AC63" i="15"/>
  <c r="AC6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24" i="15"/>
  <c r="R52" i="15" l="1"/>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33" i="15"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30" i="22" l="1"/>
  <c r="E24" i="15"/>
  <c r="E30" i="15"/>
  <c r="F27" i="15" l="1"/>
  <c r="C50" i="7"/>
  <c r="F52" i="15"/>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F58" i="15"/>
  <c r="F45" i="15"/>
  <c r="F64" i="15"/>
  <c r="F56" i="15"/>
  <c r="F47" i="15"/>
  <c r="F43" i="15"/>
  <c r="F35" i="15"/>
  <c r="F29" i="15"/>
  <c r="F62" i="15"/>
  <c r="F37" i="15"/>
  <c r="F51" i="15"/>
  <c r="F39" i="15"/>
  <c r="F60" i="15"/>
  <c r="F63" i="15"/>
  <c r="F59" i="15"/>
  <c r="F55" i="15"/>
  <c r="F50" i="15"/>
  <c r="F46" i="15"/>
  <c r="F42" i="15"/>
  <c r="F38" i="15"/>
  <c r="F34" i="15"/>
  <c r="F28" i="15"/>
  <c r="F54" i="15"/>
  <c r="F26" i="15"/>
  <c r="F49" i="15"/>
  <c r="F41" i="15"/>
  <c r="F32" i="15"/>
  <c r="F61" i="15"/>
  <c r="F57" i="15"/>
  <c r="F53" i="15"/>
  <c r="F48" i="15"/>
  <c r="F44" i="15"/>
  <c r="F40" i="15"/>
  <c r="F36" i="15"/>
  <c r="F31" i="15"/>
  <c r="F25" i="15"/>
  <c r="B24" i="27"/>
  <c r="F30" i="15"/>
  <c r="R40" i="15"/>
  <c r="R28" i="15"/>
  <c r="R63" i="15"/>
  <c r="R59" i="15"/>
  <c r="R55" i="15"/>
  <c r="R51" i="15"/>
  <c r="R47" i="15"/>
  <c r="R43" i="15"/>
  <c r="R39" i="15"/>
  <c r="R35" i="15"/>
  <c r="R64" i="15"/>
  <c r="R56" i="15"/>
  <c r="R44" i="15"/>
  <c r="R32" i="15"/>
  <c r="R62" i="15"/>
  <c r="R58" i="15"/>
  <c r="R54" i="15"/>
  <c r="R50" i="15"/>
  <c r="R46" i="15"/>
  <c r="R42" i="15"/>
  <c r="R38" i="15"/>
  <c r="R34" i="15"/>
  <c r="R31" i="15"/>
  <c r="R26" i="15"/>
  <c r="R60" i="15"/>
  <c r="R48" i="15"/>
  <c r="R36" i="15"/>
  <c r="R61" i="15"/>
  <c r="R57" i="15"/>
  <c r="R53" i="15"/>
  <c r="R49" i="15"/>
  <c r="R45" i="15"/>
  <c r="R41" i="15"/>
  <c r="R37" i="15"/>
  <c r="R29" i="15"/>
  <c r="R25" i="15"/>
  <c r="R24" i="15" l="1"/>
  <c r="R30" i="15"/>
  <c r="B28" i="27"/>
  <c r="L60" i="27" s="1"/>
  <c r="B49" i="27"/>
  <c r="B58" i="27" s="1"/>
  <c r="B34" i="27"/>
  <c r="N62" i="27" s="1"/>
  <c r="B80" i="27" l="1"/>
  <c r="B66" i="27"/>
  <c r="B68" i="27" s="1"/>
  <c r="V62" i="27"/>
  <c r="B27" i="22"/>
  <c r="F24" i="15"/>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E89" i="27"/>
  <c r="D87" i="27"/>
  <c r="D90" i="27" s="1"/>
  <c r="F87" i="27"/>
  <c r="E87" i="27"/>
  <c r="G87" i="27"/>
  <c r="L71" i="27"/>
  <c r="L72" i="27" s="1"/>
  <c r="F89" i="27"/>
  <c r="N76" i="27"/>
  <c r="O67" i="27"/>
  <c r="N65" i="27"/>
  <c r="N59" i="27" s="1"/>
  <c r="N66" i="27" s="1"/>
  <c r="N68" i="27" s="1"/>
  <c r="M70" i="27"/>
  <c r="M75" i="27"/>
  <c r="G90" i="27" l="1"/>
  <c r="H83" i="27"/>
  <c r="I78" i="27"/>
  <c r="I83" i="27" s="1"/>
  <c r="I86" i="27" s="1"/>
  <c r="E90" i="27"/>
  <c r="N75" i="27"/>
  <c r="N70" i="27"/>
  <c r="F90" i="27"/>
  <c r="M71" i="27"/>
  <c r="P67" i="27"/>
  <c r="O76" i="27"/>
  <c r="O65" i="27"/>
  <c r="O59" i="27" s="1"/>
  <c r="O66" i="27" s="1"/>
  <c r="O68" i="27" s="1"/>
  <c r="J78" i="27" l="1"/>
  <c r="J83" i="27" s="1"/>
  <c r="J86" i="27" s="1"/>
  <c r="J84" i="27"/>
  <c r="J88" i="27"/>
  <c r="K78" i="27"/>
  <c r="K83" i="27" s="1"/>
  <c r="K88" i="27" s="1"/>
  <c r="H86" i="27"/>
  <c r="J87" i="27" s="1"/>
  <c r="H84" i="27"/>
  <c r="H89" i="27" s="1"/>
  <c r="I88" i="27"/>
  <c r="I84" i="27"/>
  <c r="J89" i="27" s="1"/>
  <c r="H88" i="27"/>
  <c r="O75" i="27"/>
  <c r="O70" i="27"/>
  <c r="N71" i="27"/>
  <c r="N72" i="27" s="1"/>
  <c r="P76" i="27"/>
  <c r="Q67" i="27"/>
  <c r="P65" i="27"/>
  <c r="P59" i="27" s="1"/>
  <c r="P66" i="27" s="1"/>
  <c r="P68" i="27" s="1"/>
  <c r="M72" i="27"/>
  <c r="L78" i="27" l="1"/>
  <c r="L83" i="27" s="1"/>
  <c r="L86" i="27" s="1"/>
  <c r="B103" i="27" s="1"/>
  <c r="I89" i="27"/>
  <c r="K84" i="27"/>
  <c r="K89" i="27" s="1"/>
  <c r="K86" i="27"/>
  <c r="K87" i="27" s="1"/>
  <c r="K90" i="27" s="1"/>
  <c r="H87" i="27"/>
  <c r="H90" i="27" s="1"/>
  <c r="I87" i="27"/>
  <c r="J90" i="27" s="1"/>
  <c r="P75" i="27"/>
  <c r="P70" i="27"/>
  <c r="R67" i="27"/>
  <c r="Q76" i="27"/>
  <c r="Q65" i="27"/>
  <c r="Q59" i="27" s="1"/>
  <c r="Q66" i="27" s="1"/>
  <c r="Q68" i="27" s="1"/>
  <c r="O71" i="27"/>
  <c r="O72" i="27" s="1"/>
  <c r="L88" i="27" l="1"/>
  <c r="L84" i="27"/>
  <c r="M78" i="27"/>
  <c r="L89" i="27"/>
  <c r="I90" i="27"/>
  <c r="L87" i="27"/>
  <c r="Q75" i="27"/>
  <c r="Q70" i="27"/>
  <c r="P71" i="27"/>
  <c r="P72" i="27" s="1"/>
  <c r="S67" i="27"/>
  <c r="R76" i="27"/>
  <c r="R65" i="27"/>
  <c r="R59" i="27" s="1"/>
  <c r="R66" i="27" s="1"/>
  <c r="R68" i="27" s="1"/>
  <c r="M83" i="27" l="1"/>
  <c r="N78" i="27"/>
  <c r="G29" i="27"/>
  <c r="L90" i="27"/>
  <c r="T67" i="27"/>
  <c r="S76" i="27"/>
  <c r="S65" i="27"/>
  <c r="S59" i="27" s="1"/>
  <c r="S66" i="27" s="1"/>
  <c r="S68" i="27" s="1"/>
  <c r="R70" i="27"/>
  <c r="R75" i="27"/>
  <c r="Q71" i="27"/>
  <c r="N83" i="27" l="1"/>
  <c r="O78" i="27"/>
  <c r="M86" i="27"/>
  <c r="M88" i="27"/>
  <c r="M84" i="27"/>
  <c r="M89" i="27" s="1"/>
  <c r="N84" i="27"/>
  <c r="N89" i="27" s="1"/>
  <c r="N88" i="27"/>
  <c r="S70" i="27"/>
  <c r="S75" i="27"/>
  <c r="R71" i="27"/>
  <c r="Q72" i="27"/>
  <c r="U67" i="27"/>
  <c r="T76" i="27"/>
  <c r="T65" i="27"/>
  <c r="T59" i="27" s="1"/>
  <c r="T66" i="27" s="1"/>
  <c r="T68" i="27" s="1"/>
  <c r="M87" i="27" l="1"/>
  <c r="M90" i="27" s="1"/>
  <c r="O83" i="27"/>
  <c r="O84" i="27" s="1"/>
  <c r="O89" i="27" s="1"/>
  <c r="P78" i="27"/>
  <c r="N86" i="27"/>
  <c r="N87" i="27" s="1"/>
  <c r="N90" i="27" s="1"/>
  <c r="S71" i="27"/>
  <c r="R72" i="27"/>
  <c r="T75" i="27"/>
  <c r="T70" i="27"/>
  <c r="V67" i="27"/>
  <c r="U76" i="27"/>
  <c r="U65" i="27"/>
  <c r="U59" i="27" s="1"/>
  <c r="U66" i="27" s="1"/>
  <c r="U68" i="27" s="1"/>
  <c r="O88" i="27" l="1"/>
  <c r="P83" i="27"/>
  <c r="P84" i="27" s="1"/>
  <c r="P89" i="27" s="1"/>
  <c r="Q78" i="27"/>
  <c r="Q83" i="27" s="1"/>
  <c r="Q86" i="27" s="1"/>
  <c r="O86" i="27"/>
  <c r="P88" i="27"/>
  <c r="V76" i="27"/>
  <c r="W67" i="27"/>
  <c r="V65" i="27"/>
  <c r="V59" i="27" s="1"/>
  <c r="V66" i="27" s="1"/>
  <c r="V68" i="27" s="1"/>
  <c r="U70" i="27"/>
  <c r="U75" i="27"/>
  <c r="T71" i="27"/>
  <c r="S72" i="27"/>
  <c r="P86" i="27" l="1"/>
  <c r="P87" i="27" s="1"/>
  <c r="Q84" i="27"/>
  <c r="Q89" i="27" s="1"/>
  <c r="Q88" i="27"/>
  <c r="O87" i="27"/>
  <c r="O90" i="27" s="1"/>
  <c r="Q87" i="27"/>
  <c r="R78" i="27"/>
  <c r="R83" i="27" s="1"/>
  <c r="R86" i="27" s="1"/>
  <c r="T72" i="27"/>
  <c r="W76" i="27"/>
  <c r="X67" i="27"/>
  <c r="W65" i="27"/>
  <c r="W59" i="27" s="1"/>
  <c r="W66" i="27" s="1"/>
  <c r="W68" i="27" s="1"/>
  <c r="U71" i="27"/>
  <c r="V70" i="27"/>
  <c r="V75" i="27"/>
  <c r="Q90" i="27" l="1"/>
  <c r="R87" i="27"/>
  <c r="R90" i="27" s="1"/>
  <c r="S78" i="27"/>
  <c r="S83" i="27" s="1"/>
  <c r="S86" i="27" s="1"/>
  <c r="S87" i="27" s="1"/>
  <c r="S90" i="27" s="1"/>
  <c r="R84" i="27"/>
  <c r="R89" i="27" s="1"/>
  <c r="R88" i="27"/>
  <c r="P90" i="27"/>
  <c r="V71" i="27"/>
  <c r="U72" i="27"/>
  <c r="W70" i="27"/>
  <c r="W75" i="27"/>
  <c r="Y67" i="27"/>
  <c r="X76" i="27"/>
  <c r="X65" i="27"/>
  <c r="X59" i="27" s="1"/>
  <c r="X66" i="27" s="1"/>
  <c r="X68" i="27" s="1"/>
  <c r="T78" i="27" l="1"/>
  <c r="T83" i="27" s="1"/>
  <c r="S88" i="27"/>
  <c r="S84" i="27"/>
  <c r="S89" i="27" s="1"/>
  <c r="V72" i="27"/>
  <c r="X75" i="27"/>
  <c r="X70" i="27"/>
  <c r="W71" i="27"/>
  <c r="W72" i="27" s="1"/>
  <c r="Y76" i="27"/>
  <c r="Z67" i="27"/>
  <c r="Y65" i="27"/>
  <c r="Y59" i="27" s="1"/>
  <c r="Y66" i="27" s="1"/>
  <c r="Y68" i="27" s="1"/>
  <c r="U78" i="27" l="1"/>
  <c r="U83" i="27" s="1"/>
  <c r="U86" i="27" s="1"/>
  <c r="T86" i="27"/>
  <c r="T87" i="27" s="1"/>
  <c r="T90" i="27" s="1"/>
  <c r="T88" i="27"/>
  <c r="T84" i="27"/>
  <c r="T89" i="27" s="1"/>
  <c r="Y70" i="27"/>
  <c r="Y75" i="27"/>
  <c r="Z76" i="27"/>
  <c r="AA67" i="27"/>
  <c r="Z65" i="27"/>
  <c r="Z59" i="27" s="1"/>
  <c r="Z66" i="27" s="1"/>
  <c r="Z68" i="27" s="1"/>
  <c r="X71" i="27"/>
  <c r="V78" i="27" l="1"/>
  <c r="V83" i="27" s="1"/>
  <c r="U84" i="27"/>
  <c r="U89" i="27" s="1"/>
  <c r="U88" i="27"/>
  <c r="V86" i="27"/>
  <c r="V87" i="27" s="1"/>
  <c r="U87" i="27"/>
  <c r="U90" i="27" s="1"/>
  <c r="X72" i="27"/>
  <c r="AA76" i="27"/>
  <c r="AB67" i="27"/>
  <c r="AA65" i="27"/>
  <c r="AA59" i="27" s="1"/>
  <c r="AA66" i="27" s="1"/>
  <c r="AA68" i="27" s="1"/>
  <c r="Y71" i="27"/>
  <c r="Z75" i="27"/>
  <c r="Z70" i="27"/>
  <c r="V84" i="27" l="1"/>
  <c r="V89" i="27" s="1"/>
  <c r="V88" i="27"/>
  <c r="W78" i="27"/>
  <c r="W83" i="27" s="1"/>
  <c r="W86" i="27" s="1"/>
  <c r="W87" i="27" s="1"/>
  <c r="W90" i="27" s="1"/>
  <c r="V90" i="27"/>
  <c r="Y72" i="27"/>
  <c r="Z71" i="27"/>
  <c r="AA75" i="27"/>
  <c r="AA70" i="27"/>
  <c r="AB76" i="27"/>
  <c r="AB65" i="27"/>
  <c r="AB59" i="27" s="1"/>
  <c r="AB66" i="27" s="1"/>
  <c r="AB68" i="27" s="1"/>
  <c r="X78" i="27" l="1"/>
  <c r="X83" i="27" s="1"/>
  <c r="W88" i="27"/>
  <c r="W84" i="27"/>
  <c r="W89" i="27" s="1"/>
  <c r="X88" i="27"/>
  <c r="X86" i="27"/>
  <c r="X87" i="27" s="1"/>
  <c r="X90" i="27" s="1"/>
  <c r="X84" i="27"/>
  <c r="X89" i="27" s="1"/>
  <c r="Y78" i="27"/>
  <c r="Y83" i="27" s="1"/>
  <c r="Z72" i="27"/>
  <c r="AA71" i="27"/>
  <c r="AB70" i="27"/>
  <c r="AB75" i="27"/>
  <c r="Y84" i="27" l="1"/>
  <c r="Y89" i="27" s="1"/>
  <c r="Y86" i="27"/>
  <c r="Y87" i="27" s="1"/>
  <c r="Y90" i="27" s="1"/>
  <c r="Z88" i="27"/>
  <c r="Y88" i="27"/>
  <c r="Z78" i="27"/>
  <c r="Z83" i="27" s="1"/>
  <c r="AB71" i="27"/>
  <c r="AB72" i="27" s="1"/>
  <c r="AA72" i="27"/>
  <c r="Z84" i="27" l="1"/>
  <c r="Z89" i="27" s="1"/>
  <c r="Z86" i="27"/>
  <c r="Z87" i="27" s="1"/>
  <c r="Z90" i="27" s="1"/>
  <c r="AA78" i="27"/>
  <c r="AA83" i="27" s="1"/>
  <c r="AB78" i="27"/>
  <c r="AB83" i="27" s="1"/>
  <c r="AA86" i="27" l="1"/>
  <c r="AA87" i="27" s="1"/>
  <c r="AA90" i="27" s="1"/>
  <c r="AA84" i="27"/>
  <c r="AA89" i="27" s="1"/>
  <c r="AA88" i="27"/>
  <c r="AB86" i="27"/>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<sst xmlns="http://schemas.openxmlformats.org/spreadsheetml/2006/main" count="1393" uniqueCount="611">
  <si>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</si>
  <si>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</si>
  <si>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</si>
  <si>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</si>
  <si>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</si>
  <si>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</si>
  <si>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</si>
  <si>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</si>
  <si>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</si>
  <si>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</si>
  <si>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</si>
  <si>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</si>
  <si>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</si>
  <si>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</si>
  <si>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</si>
  <si>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</si>
  <si>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</si>
  <si>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</si>
  <si>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</si>
  <si>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</si>
  <si>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</si>
  <si>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</si>
  <si>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</si>
  <si>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</si>
  <si>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</si>
  <si>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</si>
  <si>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</si>
  <si>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</si>
  <si>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</si>
  <si>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</si>
  <si>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</si>
  <si>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</si>
  <si>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</si>
  <si>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</si>
  <si>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</si>
  <si>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</si>
  <si>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</si>
  <si>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</si>
  <si>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</si>
  <si>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</si>
  <si>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</si>
  <si>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</si>
  <si>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</si>
  <si>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</si>
  <si>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</si>
  <si>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</si>
  <si>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</si>
  <si>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</si>
  <si>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</si>
  <si>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</si>
  <si>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</si>
  <si>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</si>
  <si>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</si>
  <si>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</si>
  <si>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</si>
  <si>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</si>
  <si>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</si>
  <si>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</si>
  <si>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</si>
  <si>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</si>
  <si>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</si>
  <si>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</si>
  <si>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</si>
  <si>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</si>
  <si>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</si>
  <si>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</si>
  <si>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</si>
  <si>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</si>
  <si>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</si>
  <si>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</si>
  <si>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</si>
  <si>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</si>
  <si>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</si>
  <si>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</si>
  <si>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</si>
  <si>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</si>
  <si>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</si>
  <si>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</si>
  <si>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</si>
  <si>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</si>
  <si>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</si>
  <si>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</si>
  <si>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</si>
  <si>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</si>
  <si>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</si>
  <si>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</si>
  <si>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</si>
  <si>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</si>
  <si>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</si>
  <si>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</si>
  <si>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</si>
  <si>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</si>
  <si>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</si>
  <si>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</si>
  <si>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</si>
  <si>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</si>
  <si>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</si>
  <si>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</si>
  <si>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</si>
  <si>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</si>
  <si>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</si>
  <si>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</si>
  <si>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</si>
  <si>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</si>
  <si>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</si>
  <si>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</si>
  <si>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</si>
  <si>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</si>
  <si>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</si>
  <si>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</si>
  <si>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</si>
  <si>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</si>
  <si>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</si>
  <si>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</si>
  <si>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</si>
  <si>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</si>
  <si>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</si>
  <si>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</si>
  <si>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</si>
  <si>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</si>
  <si>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</si>
  <si>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</si>
  <si>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</si>
  <si>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</si>
  <si>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</si>
  <si>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</si>
  <si>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</si>
  <si>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</si>
  <si>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</si>
  <si>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</si>
  <si>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</si>
  <si>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</si>
  <si>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</si>
  <si>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</si>
  <si>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</si>
  <si>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</si>
  <si>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</si>
  <si>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</si>
  <si>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</si>
  <si>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</si>
  <si>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</si>
  <si>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</si>
  <si>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</si>
  <si>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</si>
  <si>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</si>
  <si>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</si>
  <si>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</si>
  <si>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</si>
  <si>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</si>
  <si>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</si>
  <si>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</si>
  <si>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</si>
  <si>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</si>
  <si>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</si>
  <si>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</si>
  <si>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</si>
  <si>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</si>
  <si>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</si>
  <si>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</si>
  <si>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</si>
  <si>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</si>
  <si>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</si>
  <si>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</si>
  <si>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</si>
  <si>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</si>
  <si>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</si>
  <si>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</si>
  <si>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</si>
  <si>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</si>
  <si>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</si>
  <si>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</si>
  <si>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</si>
  <si>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</si>
  <si>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</si>
  <si>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</si>
  <si>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</si>
  <si>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</si>
  <si>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</si>
  <si>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</si>
  <si>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</si>
  <si>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</si>
  <si>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</si>
  <si>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</si>
  <si>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</si>
  <si>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</si>
  <si>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</si>
  <si>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</si>
  <si>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</si>
  <si>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</si>
  <si>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</si>
  <si>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</si>
  <si>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</si>
  <si>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</si>
  <si>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</si>
  <si>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</si>
  <si>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</si>
  <si>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</si>
  <si>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</si>
  <si>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</si>
  <si>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</si>
  <si>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</si>
  <si>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</si>
  <si>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</si>
  <si>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</si>
  <si>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</si>
  <si>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</si>
  <si>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</si>
  <si>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</si>
  <si>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</si>
  <si>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</si>
  <si>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</si>
  <si>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</si>
  <si>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</si>
  <si>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</si>
  <si>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</si>
  <si>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</si>
  <si>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</si>
  <si>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</si>
  <si>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</si>
  <si>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</si>
  <si>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</si>
  <si>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</si>
  <si>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</si>
  <si>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</si>
  <si>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</si>
  <si>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</si>
  <si>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</si>
  <si>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</si>
  <si>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</si>
  <si>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</si>
  <si>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</si>
  <si>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</si>
  <si>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</si>
  <si>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</si>
  <si>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</si>
  <si>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</si>
  <si>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</si>
  <si>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</si>
  <si>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</si>
  <si>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</si>
  <si>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</si>
  <si>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</si>
  <si>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</si>
  <si>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</si>
  <si>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</si>
  <si>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</si>
  <si>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</si>
  <si>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</si>
  <si>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</si>
  <si>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</si>
  <si>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</si>
  <si>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</si>
  <si>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</si>
  <si>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</si>
  <si>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</si>
  <si>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</si>
  <si>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</si>
  <si>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</si>
  <si>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</si>
  <si>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</si>
  <si>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</si>
  <si>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</si>
  <si>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</si>
  <si>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</si>
  <si>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</si>
  <si>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</si>
  <si>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</si>
  <si>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</si>
  <si>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</si>
  <si>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</si>
  <si>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</si>
  <si>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</si>
  <si>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</si>
  <si>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</si>
  <si>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</si>
  <si>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</si>
  <si>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</si>
  <si>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</si>
  <si>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</si>
  <si>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</si>
  <si>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</si>
  <si>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</si>
  <si>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</si>
  <si>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</si>
  <si>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</si>
  <si>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</si>
  <si>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</si>
  <si>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</si>
  <si>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</si>
  <si>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</si>
  <si>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</si>
  <si>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</si>
  <si>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</si>
  <si>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</si>
  <si>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</si>
  <si>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</si>
  <si>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</si>
  <si>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</si>
  <si>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</si>
  <si>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</si>
  <si>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</si>
  <si>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</si>
  <si>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</si>
  <si>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</si>
  <si>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</si>
  <si>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</si>
  <si>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</si>
  <si>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</si>
  <si>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</si>
  <si>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</si>
  <si>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</si>
  <si>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</si>
  <si>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</si>
  <si>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</si>
  <si>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</si>
  <si>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</si>
  <si>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</si>
  <si>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</si>
  <si>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</si>
  <si>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</si>
  <si>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</si>
  <si>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</si>
  <si>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</si>
  <si>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</si>
  <si>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</si>
  <si>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</si>
  <si>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</si>
  <si>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</si>
  <si>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</si>
  <si>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</si>
  <si>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</si>
  <si>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</si>
  <si>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</si>
  <si>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</si>
  <si>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</si>
  <si>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</si>
  <si>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</si>
  <si>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</si>
  <si>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</si>
  <si>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</si>
  <si>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</si>
  <si>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</si>
  <si>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</si>
  <si>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</si>
  <si>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</si>
  <si>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</si>
  <si>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</si>
  <si>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</si>
  <si>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</si>
  <si>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</si>
  <si>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</si>
  <si>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</si>
  <si>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</si>
  <si>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</si>
  <si>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</si>
  <si>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</si>
  <si>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</si>
  <si>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</si>
  <si>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</si>
  <si>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</si>
  <si>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</si>
  <si>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</si>
  <si>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</si>
  <si>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</si>
  <si>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</si>
  <si>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</si>
  <si>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</si>
  <si>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</si>
  <si>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</si>
  <si>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</si>
  <si>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</si>
  <si>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</si>
  <si>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</si>
  <si>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</si>
  <si>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</si>
  <si>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</si>
  <si>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</si>
  <si>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</si>
  <si>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</si>
  <si>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</si>
  <si>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</si>
  <si>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</si>
  <si>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</si>
  <si>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</si>
  <si>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</si>
  <si>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</si>
  <si>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</si>
  <si>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</si>
  <si>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</si>
  <si>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</si>
  <si>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</si>
  <si>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</si>
  <si>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</si>
  <si>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</si>
  <si>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</si>
  <si>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</si>
  <si>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</si>
  <si>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</si>
  <si>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</si>
  <si>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</si>
  <si>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</si>
  <si>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</si>
  <si>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</si>
  <si>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</si>
  <si>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</si>
  <si>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</si>
  <si>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</si>
  <si>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</si>
  <si>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</si>
  <si>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</si>
  <si>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</si>
  <si>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</si>
  <si>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</si>
  <si>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</si>
  <si>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</si>
  <si>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</si>
  <si>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</si>
  <si>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</si>
  <si>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</si>
  <si>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</si>
  <si>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</si>
  <si>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</si>
  <si>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</si>
  <si>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</si>
  <si>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</si>
  <si>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</si>
  <si>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</si>
  <si>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</si>
  <si>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</si>
  <si>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</si>
  <si>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</si>
  <si>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</si>
  <si>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</si>
  <si>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</si>
  <si>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</si>
  <si>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</si>
  <si>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</si>
  <si>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</si>
  <si>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</si>
  <si>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</si>
  <si>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</si>
  <si>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</si>
  <si>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</si>
  <si>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</si>
  <si>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</si>
  <si>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</si>
  <si>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</si>
  <si>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</si>
  <si>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</si>
  <si>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</si>
  <si>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</si>
  <si>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</si>
  <si>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</si>
  <si>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</si>
  <si>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</si>
  <si>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</si>
  <si>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</si>
  <si>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</si>
  <si>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</si>
  <si>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</si>
  <si>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</si>
  <si>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</si>
  <si>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</si>
  <si>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</si>
  <si>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</si>
  <si>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</si>
  <si>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</si>
  <si>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</si>
  <si>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</si>
  <si>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</si>
  <si>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</si>
  <si>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</si>
  <si>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</si>
  <si>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</si>
  <si>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</si>
  <si>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</si>
  <si>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</si>
  <si>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</si>
  <si>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</si>
  <si>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</si>
  <si>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</si>
  <si>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</si>
  <si>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</si>
  <si>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</si>
  <si>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</si>
  <si>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</si>
  <si>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</si>
  <si>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</si>
  <si>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</si>
  <si>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</si>
  <si>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</si>
  <si>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</si>
  <si>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</si>
  <si>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</si>
  <si>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</si>
  <si>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</si>
  <si>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</si>
  <si>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</si>
  <si>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</si>
  <si>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</si>
  <si>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</si>
  <si>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</si>
  <si>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</si>
  <si>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</si>
  <si>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</si>
  <si>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</si>
  <si>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</si>
  <si>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</si>
  <si>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</si>
  <si>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</si>
  <si>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</si>
  <si>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</si>
  <si>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</si>
  <si>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</si>
  <si>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</si>
  <si>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</si>
  <si>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</si>
  <si>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</si>
  <si>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</si>
  <si>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</si>
  <si>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</si>
  <si>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</si>
  <si>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</si>
  <si>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</si>
  <si>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</si>
  <si>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</si>
  <si>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</si>
  <si>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</si>
  <si>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</si>
  <si>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</si>
  <si>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</si>
  <si>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</si>
  <si>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</si>
  <si>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</si>
  <si>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</si>
  <si>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</si>
  <si>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</si>
  <si>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</si>
  <si>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</si>
  <si>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</si>
  <si>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</si>
  <si>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</si>
  <si>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</si>
  <si>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</si>
  <si>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</si>
  <si>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</si>
  <si>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</si>
  <si>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</si>
  <si>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</si>
  <si>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</si>
  <si>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</si>
  <si>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</si>
  <si>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</si>
  <si>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</si>
  <si>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</si>
  <si>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</si>
  <si>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</si>
  <si>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</si>
  <si>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</si>
  <si>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</si>
  <si>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</si>
  <si>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</si>
  <si>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</si>
  <si>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</si>
  <si>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</si>
  <si>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</si>
  <si>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</si>
  <si>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</si>
  <si>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</si>
  <si>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</si>
  <si>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</si>
  <si>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</si>
  <si>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</si>
  <si>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</si>
  <si>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</si>
  <si>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</si>
  <si>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</si>
  <si>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</si>
  <si>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</si>
  <si>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</si>
  <si>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</si>
  <si>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</si>
  <si>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</si>
  <si>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</si>
  <si>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</si>
  <si>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</si>
  <si>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</si>
  <si>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</si>
  <si>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</si>
  <si>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</si>
  <si>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</si>
  <si>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</si>
  <si>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</si>
  <si>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</si>
  <si>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</si>
  <si>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</si>
  <si>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</si>
  <si>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</si>
  <si>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</si>
  <si>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</si>
  <si>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</si>
  <si>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</si>
  <si>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</si>
  <si>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</si>
  <si>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</si>
  <si>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</si>
  <si>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</si>
  <si>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Приобретение мини-экскаватора JCB8030ZTS</t>
  </si>
  <si>
    <t>Приобретение мини-экскаватора JCB8030ZTS -2 млн рублей без НДС</t>
  </si>
  <si>
    <t>договор от 268.10.2021 №02</t>
  </si>
  <si>
    <t>M 22-09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</si>
</sst>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0" zoomScaleSheetLayoutView="100" workbookViewId="0">
      <selection activeCell="A15" sqref="A15:C1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547</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548</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610</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607</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605</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2,4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2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AC64" sqref="AC6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3" t="str">
        <f>'1. паспорт местоположение'!A12:C12</f>
        <v>M 22-09</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9" t="str">
        <f>'1. паспорт местоположение'!A15</f>
        <v>Приобретение мини-экскаватора JCB8030ZTS</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59"/>
      <c r="AB17" s="59"/>
    </row>
    <row r="18" spans="1:32" x14ac:dyDescent="0.25">
      <c r="A18" s="484" t="s">
        <v>479</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59"/>
      <c r="B19" s="59"/>
      <c r="C19" s="59"/>
      <c r="D19" s="59"/>
      <c r="E19" s="59"/>
      <c r="F19" s="59"/>
      <c r="AB19" s="59"/>
    </row>
    <row r="20" spans="1:32" ht="33" customHeight="1" x14ac:dyDescent="0.25">
      <c r="A20" s="485" t="s">
        <v>182</v>
      </c>
      <c r="B20" s="485" t="s">
        <v>181</v>
      </c>
      <c r="C20" s="490" t="s">
        <v>180</v>
      </c>
      <c r="D20" s="490"/>
      <c r="E20" s="491" t="s">
        <v>179</v>
      </c>
      <c r="F20" s="491"/>
      <c r="G20" s="485" t="s">
        <v>552</v>
      </c>
      <c r="H20" s="488" t="s">
        <v>551</v>
      </c>
      <c r="I20" s="489"/>
      <c r="J20" s="489"/>
      <c r="K20" s="489"/>
      <c r="L20" s="488" t="s">
        <v>539</v>
      </c>
      <c r="M20" s="489"/>
      <c r="N20" s="489"/>
      <c r="O20" s="489"/>
      <c r="P20" s="488" t="s">
        <v>538</v>
      </c>
      <c r="Q20" s="489"/>
      <c r="R20" s="489"/>
      <c r="S20" s="489"/>
      <c r="T20" s="488" t="s">
        <v>542</v>
      </c>
      <c r="U20" s="489"/>
      <c r="V20" s="489"/>
      <c r="W20" s="489"/>
      <c r="X20" s="488" t="s">
        <v>604</v>
      </c>
      <c r="Y20" s="489"/>
      <c r="Z20" s="489"/>
      <c r="AA20" s="489"/>
      <c r="AB20" s="482" t="s">
        <v>178</v>
      </c>
      <c r="AC20" s="482"/>
      <c r="AD20" s="69"/>
      <c r="AE20" s="69"/>
      <c r="AF20" s="69"/>
    </row>
    <row r="21" spans="1:32" ht="99.75" customHeight="1" x14ac:dyDescent="0.25">
      <c r="A21" s="486"/>
      <c r="B21" s="486"/>
      <c r="C21" s="490"/>
      <c r="D21" s="490"/>
      <c r="E21" s="491"/>
      <c r="F21" s="491"/>
      <c r="G21" s="486"/>
      <c r="H21" s="490" t="s">
        <v>2</v>
      </c>
      <c r="I21" s="490"/>
      <c r="J21" s="490" t="s">
        <v>553</v>
      </c>
      <c r="K21" s="490"/>
      <c r="L21" s="490" t="s">
        <v>2</v>
      </c>
      <c r="M21" s="490"/>
      <c r="N21" s="490" t="s">
        <v>553</v>
      </c>
      <c r="O21" s="490"/>
      <c r="P21" s="490" t="s">
        <v>2</v>
      </c>
      <c r="Q21" s="490"/>
      <c r="R21" s="490" t="s">
        <v>177</v>
      </c>
      <c r="S21" s="490"/>
      <c r="T21" s="490" t="s">
        <v>2</v>
      </c>
      <c r="U21" s="490"/>
      <c r="V21" s="490" t="s">
        <v>177</v>
      </c>
      <c r="W21" s="490"/>
      <c r="X21" s="490" t="s">
        <v>2</v>
      </c>
      <c r="Y21" s="490"/>
      <c r="Z21" s="490" t="s">
        <v>177</v>
      </c>
      <c r="AA21" s="490"/>
      <c r="AB21" s="482"/>
      <c r="AC21" s="482"/>
    </row>
    <row r="22" spans="1:32" ht="89.25" customHeight="1" x14ac:dyDescent="0.25">
      <c r="A22" s="487"/>
      <c r="B22" s="487"/>
      <c r="C22" s="213" t="s">
        <v>2</v>
      </c>
      <c r="D22" s="213" t="s">
        <v>177</v>
      </c>
      <c r="E22" s="192" t="s">
        <v>550</v>
      </c>
      <c r="F22" s="192" t="s">
        <v>549</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2.4</v>
      </c>
      <c r="E24" s="227">
        <f t="shared" ref="E24:W24" si="1">SUM(E25:E29)</f>
        <v>0</v>
      </c>
      <c r="F24" s="227">
        <f>D24</f>
        <v>2.4</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0.77749999999999997</v>
      </c>
      <c r="S24" s="227">
        <f t="shared" si="1"/>
        <v>0</v>
      </c>
      <c r="T24" s="227" t="s">
        <v>526</v>
      </c>
      <c r="U24" s="227">
        <f t="shared" si="1"/>
        <v>0</v>
      </c>
      <c r="V24" s="227">
        <f t="shared" si="1"/>
        <v>1.6225000000000001</v>
      </c>
      <c r="W24" s="227">
        <f t="shared" si="1"/>
        <v>0</v>
      </c>
      <c r="X24" s="227" t="s">
        <v>526</v>
      </c>
      <c r="Y24" s="227">
        <v>0</v>
      </c>
      <c r="Z24" s="227">
        <v>0</v>
      </c>
      <c r="AA24" s="227">
        <v>0</v>
      </c>
      <c r="AB24" s="227" t="s">
        <v>526</v>
      </c>
      <c r="AC24" s="228">
        <f>N24+R24+V24+Z24</f>
        <v>2.4</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N25+R25+V25+Z25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2.4</v>
      </c>
      <c r="E27" s="232" t="str">
        <f t="shared" si="5"/>
        <v>нд</v>
      </c>
      <c r="F27" s="227">
        <f t="shared" si="2"/>
        <v>2.4</v>
      </c>
      <c r="G27" s="232">
        <v>0</v>
      </c>
      <c r="H27" s="227" t="s">
        <v>526</v>
      </c>
      <c r="I27" s="250">
        <v>0</v>
      </c>
      <c r="J27" s="250">
        <v>0</v>
      </c>
      <c r="K27" s="250">
        <v>0</v>
      </c>
      <c r="L27" s="227" t="s">
        <v>526</v>
      </c>
      <c r="M27" s="232">
        <v>0</v>
      </c>
      <c r="N27" s="232">
        <v>0</v>
      </c>
      <c r="O27" s="232">
        <v>0</v>
      </c>
      <c r="P27" s="227" t="s">
        <v>526</v>
      </c>
      <c r="Q27" s="232">
        <v>0</v>
      </c>
      <c r="R27" s="227">
        <v>0.77749999999999997</v>
      </c>
      <c r="S27" s="232">
        <v>0</v>
      </c>
      <c r="T27" s="227" t="s">
        <v>526</v>
      </c>
      <c r="U27" s="232">
        <v>0</v>
      </c>
      <c r="V27" s="232">
        <v>1.6225000000000001</v>
      </c>
      <c r="W27" s="232">
        <v>0</v>
      </c>
      <c r="X27" s="227" t="s">
        <v>526</v>
      </c>
      <c r="Y27" s="250">
        <v>0</v>
      </c>
      <c r="Z27" s="250">
        <v>0</v>
      </c>
      <c r="AA27" s="250">
        <v>0</v>
      </c>
      <c r="AB27" s="227" t="s">
        <v>526</v>
      </c>
      <c r="AC27" s="228">
        <f t="shared" si="4"/>
        <v>2.4</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2</v>
      </c>
      <c r="E30" s="227" t="str">
        <f t="shared" si="5"/>
        <v>нд</v>
      </c>
      <c r="F30" s="227">
        <f t="shared" si="2"/>
        <v>2</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2</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2</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2</v>
      </c>
      <c r="E33" s="232" t="str">
        <f t="shared" si="5"/>
        <v>нд</v>
      </c>
      <c r="F33" s="227">
        <f t="shared" si="2"/>
        <v>2</v>
      </c>
      <c r="G33" s="232">
        <v>0</v>
      </c>
      <c r="H33" s="227" t="s">
        <v>526</v>
      </c>
      <c r="I33" s="250">
        <v>0</v>
      </c>
      <c r="J33" s="250">
        <v>0</v>
      </c>
      <c r="K33" s="250">
        <v>0</v>
      </c>
      <c r="L33" s="227" t="s">
        <v>526</v>
      </c>
      <c r="M33" s="232">
        <v>0</v>
      </c>
      <c r="N33" s="232">
        <v>0</v>
      </c>
      <c r="O33" s="232">
        <v>0</v>
      </c>
      <c r="P33" s="227" t="s">
        <v>526</v>
      </c>
      <c r="Q33" s="232">
        <v>0</v>
      </c>
      <c r="R33" s="227">
        <v>2</v>
      </c>
      <c r="S33" s="232">
        <v>0</v>
      </c>
      <c r="T33" s="227" t="s">
        <v>526</v>
      </c>
      <c r="U33" s="232">
        <v>0</v>
      </c>
      <c r="V33" s="232">
        <v>0</v>
      </c>
      <c r="W33" s="232">
        <v>0</v>
      </c>
      <c r="X33" s="227" t="s">
        <v>526</v>
      </c>
      <c r="Y33" s="250">
        <v>0</v>
      </c>
      <c r="Z33" s="250">
        <v>0</v>
      </c>
      <c r="AA33" s="250">
        <v>0</v>
      </c>
      <c r="AB33" s="227" t="s">
        <v>526</v>
      </c>
      <c r="AC33" s="228">
        <f t="shared" si="4"/>
        <v>2</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544</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544</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2</v>
      </c>
      <c r="E52" s="232" t="str">
        <f t="shared" si="5"/>
        <v>нд</v>
      </c>
      <c r="F52" s="227">
        <f t="shared" si="2"/>
        <v>2</v>
      </c>
      <c r="G52" s="232">
        <v>0</v>
      </c>
      <c r="H52" s="227" t="s">
        <v>526</v>
      </c>
      <c r="I52" s="250">
        <v>0</v>
      </c>
      <c r="J52" s="250">
        <v>0</v>
      </c>
      <c r="K52" s="250">
        <v>0</v>
      </c>
      <c r="L52" s="227" t="s">
        <v>526</v>
      </c>
      <c r="M52" s="232">
        <v>0</v>
      </c>
      <c r="N52" s="232">
        <v>0</v>
      </c>
      <c r="O52" s="232">
        <v>0</v>
      </c>
      <c r="P52" s="227" t="s">
        <v>526</v>
      </c>
      <c r="Q52" s="232">
        <v>0</v>
      </c>
      <c r="R52" s="227">
        <f>R33</f>
        <v>2</v>
      </c>
      <c r="S52" s="232">
        <v>0</v>
      </c>
      <c r="T52" s="227" t="s">
        <v>526</v>
      </c>
      <c r="U52" s="232">
        <v>0</v>
      </c>
      <c r="V52" s="232">
        <v>0</v>
      </c>
      <c r="W52" s="232">
        <v>0</v>
      </c>
      <c r="X52" s="227" t="s">
        <v>526</v>
      </c>
      <c r="Y52" s="250">
        <v>0</v>
      </c>
      <c r="Z52" s="250">
        <v>0</v>
      </c>
      <c r="AA52" s="250">
        <v>0</v>
      </c>
      <c r="AB52" s="227" t="s">
        <v>526</v>
      </c>
      <c r="AC52" s="228">
        <f t="shared" si="4"/>
        <v>2</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544</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544</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3"/>
      <c r="C66" s="493"/>
      <c r="D66" s="493"/>
      <c r="E66" s="493"/>
      <c r="F66" s="493"/>
      <c r="G66" s="493"/>
      <c r="H66" s="493"/>
      <c r="I66" s="493"/>
      <c r="J66" s="493"/>
      <c r="K66" s="493"/>
      <c r="L66" s="493"/>
      <c r="M66" s="493"/>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4"/>
      <c r="C68" s="494"/>
      <c r="D68" s="494"/>
      <c r="E68" s="494"/>
      <c r="F68" s="494"/>
      <c r="G68" s="494"/>
      <c r="H68" s="494"/>
      <c r="I68" s="494"/>
      <c r="J68" s="494"/>
      <c r="K68" s="494"/>
      <c r="L68" s="494"/>
      <c r="M68" s="494"/>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3"/>
      <c r="C70" s="493"/>
      <c r="D70" s="493"/>
      <c r="E70" s="493"/>
      <c r="F70" s="493"/>
      <c r="G70" s="493"/>
      <c r="H70" s="493"/>
      <c r="I70" s="493"/>
      <c r="J70" s="493"/>
      <c r="K70" s="493"/>
      <c r="L70" s="493"/>
      <c r="M70" s="493"/>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3"/>
      <c r="C72" s="493"/>
      <c r="D72" s="493"/>
      <c r="E72" s="493"/>
      <c r="F72" s="493"/>
      <c r="G72" s="493"/>
      <c r="H72" s="493"/>
      <c r="I72" s="493"/>
      <c r="J72" s="493"/>
      <c r="K72" s="493"/>
      <c r="L72" s="493"/>
      <c r="M72" s="493"/>
      <c r="N72" s="211"/>
      <c r="O72" s="211"/>
      <c r="P72" s="211"/>
      <c r="Q72" s="211"/>
      <c r="R72" s="211"/>
      <c r="S72" s="211"/>
      <c r="T72" s="211"/>
      <c r="U72" s="211"/>
      <c r="V72" s="211"/>
      <c r="W72" s="211"/>
      <c r="X72" s="252"/>
      <c r="Y72" s="252"/>
      <c r="Z72" s="252"/>
      <c r="AA72" s="252"/>
      <c r="AB72" s="59"/>
    </row>
    <row r="73" spans="1:28" ht="32.25" customHeight="1" x14ac:dyDescent="0.25">
      <c r="A73" s="59"/>
      <c r="B73" s="494"/>
      <c r="C73" s="494"/>
      <c r="D73" s="494"/>
      <c r="E73" s="494"/>
      <c r="F73" s="494"/>
      <c r="G73" s="494"/>
      <c r="H73" s="494"/>
      <c r="I73" s="494"/>
      <c r="J73" s="494"/>
      <c r="K73" s="494"/>
      <c r="L73" s="494"/>
      <c r="M73" s="494"/>
      <c r="N73" s="212"/>
      <c r="O73" s="212"/>
      <c r="P73" s="212"/>
      <c r="Q73" s="212"/>
      <c r="R73" s="212"/>
      <c r="S73" s="212"/>
      <c r="T73" s="212"/>
      <c r="U73" s="212"/>
      <c r="V73" s="212"/>
      <c r="W73" s="212"/>
      <c r="X73" s="253"/>
      <c r="Y73" s="253"/>
      <c r="Z73" s="253"/>
      <c r="AA73" s="253"/>
      <c r="AB73" s="59"/>
    </row>
    <row r="74" spans="1:28" ht="51.75" customHeight="1" x14ac:dyDescent="0.25">
      <c r="A74" s="59"/>
      <c r="B74" s="493"/>
      <c r="C74" s="493"/>
      <c r="D74" s="493"/>
      <c r="E74" s="493"/>
      <c r="F74" s="493"/>
      <c r="G74" s="493"/>
      <c r="H74" s="493"/>
      <c r="I74" s="493"/>
      <c r="J74" s="493"/>
      <c r="K74" s="493"/>
      <c r="L74" s="493"/>
      <c r="M74" s="493"/>
      <c r="N74" s="211"/>
      <c r="O74" s="211"/>
      <c r="P74" s="211"/>
      <c r="Q74" s="211"/>
      <c r="R74" s="211"/>
      <c r="S74" s="211"/>
      <c r="T74" s="211"/>
      <c r="U74" s="211"/>
      <c r="V74" s="211"/>
      <c r="W74" s="211"/>
      <c r="X74" s="252"/>
      <c r="Y74" s="252"/>
      <c r="Z74" s="252"/>
      <c r="AA74" s="252"/>
      <c r="AB74" s="59"/>
    </row>
    <row r="75" spans="1:28" ht="21.75" customHeight="1" x14ac:dyDescent="0.25">
      <c r="A75" s="59"/>
      <c r="B75" s="495"/>
      <c r="C75" s="495"/>
      <c r="D75" s="495"/>
      <c r="E75" s="495"/>
      <c r="F75" s="495"/>
      <c r="G75" s="495"/>
      <c r="H75" s="495"/>
      <c r="I75" s="495"/>
      <c r="J75" s="495"/>
      <c r="K75" s="495"/>
      <c r="L75" s="495"/>
      <c r="M75" s="495"/>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2"/>
      <c r="C77" s="492"/>
      <c r="D77" s="492"/>
      <c r="E77" s="492"/>
      <c r="F77" s="492"/>
      <c r="G77" s="492"/>
      <c r="H77" s="492"/>
      <c r="I77" s="492"/>
      <c r="J77" s="492"/>
      <c r="K77" s="492"/>
      <c r="L77" s="492"/>
      <c r="M77" s="492"/>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M 22-09</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9" t="str">
        <f>'1. паспорт местоположение'!A15</f>
        <v>Приобретение мини-экскаватора JCB8030ZTS</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0" t="s">
        <v>492</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503</v>
      </c>
      <c r="F22" s="516"/>
      <c r="G22" s="516"/>
      <c r="H22" s="516"/>
      <c r="I22" s="516"/>
      <c r="J22" s="516"/>
      <c r="K22" s="516"/>
      <c r="L22" s="517"/>
      <c r="M22" s="501" t="s">
        <v>47</v>
      </c>
      <c r="N22" s="501" t="s">
        <v>46</v>
      </c>
      <c r="O22" s="501" t="s">
        <v>45</v>
      </c>
      <c r="P22" s="496" t="s">
        <v>253</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413</v>
      </c>
      <c r="J23" s="499" t="s">
        <v>414</v>
      </c>
      <c r="K23" s="499" t="s">
        <v>415</v>
      </c>
      <c r="L23" s="497" t="s">
        <v>536</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35" t="s">
        <v>11</v>
      </c>
      <c r="AG24" s="135" t="s">
        <v>10</v>
      </c>
      <c r="AH24" s="136" t="s">
        <v>2</v>
      </c>
      <c r="AI24" s="136"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22" zoomScale="90" zoomScaleNormal="90" zoomScaleSheetLayoutView="90" workbookViewId="0">
      <selection activeCell="B29" sqref="B29"/>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6" t="str">
        <f>'7. Паспорт отчет о закупке'!A5:AV5</f>
        <v>Год раскрытия информации: 2022 год</v>
      </c>
      <c r="B5" s="526"/>
      <c r="C5" s="72"/>
      <c r="D5" s="72"/>
      <c r="E5" s="72"/>
      <c r="F5" s="72"/>
      <c r="G5" s="72"/>
      <c r="H5" s="72"/>
    </row>
    <row r="6" spans="1:8" ht="18.75" x14ac:dyDescent="0.3">
      <c r="A6" s="214"/>
      <c r="B6" s="214"/>
      <c r="C6" s="214"/>
      <c r="D6" s="214"/>
      <c r="E6" s="214"/>
      <c r="F6" s="214"/>
      <c r="G6" s="214"/>
      <c r="H6" s="214"/>
    </row>
    <row r="7" spans="1:8" ht="18.75" x14ac:dyDescent="0.25">
      <c r="A7" s="412" t="s">
        <v>7</v>
      </c>
      <c r="B7" s="412"/>
      <c r="C7" s="140"/>
      <c r="D7" s="140"/>
      <c r="E7" s="140"/>
      <c r="F7" s="140"/>
      <c r="G7" s="140"/>
      <c r="H7" s="140"/>
    </row>
    <row r="8" spans="1:8" ht="18.75" x14ac:dyDescent="0.25">
      <c r="A8" s="140"/>
      <c r="B8" s="140"/>
      <c r="C8" s="140"/>
      <c r="D8" s="140"/>
      <c r="E8" s="140"/>
      <c r="F8" s="140"/>
      <c r="G8" s="140"/>
      <c r="H8" s="140"/>
    </row>
    <row r="9" spans="1:8" x14ac:dyDescent="0.25">
      <c r="A9" s="413" t="str">
        <f>'7. Паспорт отчет о закупке'!A9:AV9</f>
        <v>Акционерное общество "Западная энергетическая компания"</v>
      </c>
      <c r="B9" s="413"/>
      <c r="C9" s="155"/>
      <c r="D9" s="155"/>
      <c r="E9" s="155"/>
      <c r="F9" s="155"/>
      <c r="G9" s="155"/>
      <c r="H9" s="155"/>
    </row>
    <row r="10" spans="1:8" x14ac:dyDescent="0.25">
      <c r="A10" s="417" t="s">
        <v>6</v>
      </c>
      <c r="B10" s="417"/>
      <c r="C10" s="142"/>
      <c r="D10" s="142"/>
      <c r="E10" s="142"/>
      <c r="F10" s="142"/>
      <c r="G10" s="142"/>
      <c r="H10" s="142"/>
    </row>
    <row r="11" spans="1:8" ht="18.75" x14ac:dyDescent="0.25">
      <c r="A11" s="140"/>
      <c r="B11" s="140"/>
      <c r="C11" s="140"/>
      <c r="D11" s="140"/>
      <c r="E11" s="140"/>
      <c r="F11" s="140"/>
      <c r="G11" s="140"/>
      <c r="H11" s="140"/>
    </row>
    <row r="12" spans="1:8" x14ac:dyDescent="0.25">
      <c r="A12" s="413" t="str">
        <f>'7. Паспорт отчет о закупке'!A12:AV12</f>
        <v>M 22-09</v>
      </c>
      <c r="B12" s="413"/>
      <c r="C12" s="155"/>
      <c r="D12" s="155"/>
      <c r="E12" s="155"/>
      <c r="F12" s="155"/>
      <c r="G12" s="155"/>
      <c r="H12" s="155"/>
    </row>
    <row r="13" spans="1:8" x14ac:dyDescent="0.25">
      <c r="A13" s="417" t="s">
        <v>5</v>
      </c>
      <c r="B13" s="417"/>
      <c r="C13" s="142"/>
      <c r="D13" s="142"/>
      <c r="E13" s="142"/>
      <c r="F13" s="142"/>
      <c r="G13" s="142"/>
      <c r="H13" s="142"/>
    </row>
    <row r="14" spans="1:8" ht="18.75" x14ac:dyDescent="0.25">
      <c r="A14" s="10"/>
      <c r="B14" s="10"/>
      <c r="C14" s="10"/>
      <c r="D14" s="10"/>
      <c r="E14" s="10"/>
      <c r="F14" s="10"/>
      <c r="G14" s="10"/>
      <c r="H14" s="10"/>
    </row>
    <row r="15" spans="1:8" ht="53.25" customHeight="1" x14ac:dyDescent="0.25">
      <c r="A15" s="458" t="str">
        <f>'7. Паспорт отчет о закупке'!A15:AV15</f>
        <v>Приобретение мини-экскаватора JCB8030ZTS</v>
      </c>
      <c r="B15" s="458"/>
      <c r="C15" s="155"/>
      <c r="D15" s="155"/>
      <c r="E15" s="155"/>
      <c r="F15" s="155"/>
      <c r="G15" s="155"/>
      <c r="H15" s="155"/>
    </row>
    <row r="16" spans="1:8" x14ac:dyDescent="0.25">
      <c r="A16" s="417" t="s">
        <v>4</v>
      </c>
      <c r="B16" s="417"/>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400" t="str">
        <f>A15</f>
        <v>Приобретение мини-экскаватора JCB8030ZTS</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545</v>
      </c>
    </row>
    <row r="24" spans="1:4" ht="16.5" thickBot="1" x14ac:dyDescent="0.3">
      <c r="A24" s="116" t="s">
        <v>365</v>
      </c>
      <c r="B24" s="118" t="s">
        <v>546</v>
      </c>
    </row>
    <row r="25" spans="1:4" ht="16.5" thickBot="1" x14ac:dyDescent="0.3">
      <c r="A25" s="119" t="s">
        <v>366</v>
      </c>
      <c r="B25" s="117">
        <v>2022</v>
      </c>
    </row>
    <row r="26" spans="1:4" ht="16.5" thickBot="1" x14ac:dyDescent="0.3">
      <c r="A26" s="120" t="s">
        <v>367</v>
      </c>
      <c r="B26" s="121" t="s">
        <v>540</v>
      </c>
    </row>
    <row r="27" spans="1:4" ht="29.25" thickBot="1" x14ac:dyDescent="0.3">
      <c r="A27" s="127" t="s">
        <v>554</v>
      </c>
      <c r="B27" s="189">
        <f>'6.2. Паспорт фин осв ввод'!D24</f>
        <v>2.4</v>
      </c>
    </row>
    <row r="28" spans="1:4" ht="16.5" thickBot="1" x14ac:dyDescent="0.3">
      <c r="A28" s="188" t="s">
        <v>368</v>
      </c>
      <c r="B28" s="188" t="s">
        <v>609</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555</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16.5" thickBot="1" x14ac:dyDescent="0.3">
      <c r="A103" s="131" t="s">
        <v>398</v>
      </c>
      <c r="B103" s="249" t="str">
        <f>'3.3 паспорт описание'!C24</f>
        <v>Приобретение мини-экскаватора JCB8030ZTS</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3" t="s">
        <v>534</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M 22-09</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9" t="str">
        <f>'1. паспорт местоположение'!A15:C15</f>
        <v>Приобретение мини-экскаватора JCB8030ZTS</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468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362</v>
      </c>
      <c r="D19" s="411" t="s">
        <v>361</v>
      </c>
      <c r="E19" s="411" t="s">
        <v>93</v>
      </c>
      <c r="F19" s="411" t="s">
        <v>92</v>
      </c>
      <c r="G19" s="411" t="s">
        <v>357</v>
      </c>
      <c r="H19" s="411" t="s">
        <v>91</v>
      </c>
      <c r="I19" s="411" t="s">
        <v>90</v>
      </c>
      <c r="J19" s="411" t="s">
        <v>89</v>
      </c>
      <c r="K19" s="411" t="s">
        <v>88</v>
      </c>
      <c r="L19" s="411" t="s">
        <v>87</v>
      </c>
      <c r="M19" s="411" t="s">
        <v>86</v>
      </c>
      <c r="N19" s="411" t="s">
        <v>85</v>
      </c>
      <c r="O19" s="411" t="s">
        <v>84</v>
      </c>
      <c r="P19" s="411" t="s">
        <v>83</v>
      </c>
      <c r="Q19" s="411" t="s">
        <v>360</v>
      </c>
      <c r="R19" s="411"/>
      <c r="S19" s="416" t="s">
        <v>462</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39" t="s">
        <v>358</v>
      </c>
      <c r="R20" s="40" t="s">
        <v>359</v>
      </c>
      <c r="S20" s="416"/>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"Западная энергетическая компания"</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M 22-09</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9" t="str">
        <f>'1. паспорт местоположение'!A15</f>
        <v>Приобретение мини-экскаватора JCB8030ZTS</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473</v>
      </c>
      <c r="B19" s="437"/>
      <c r="C19" s="437"/>
      <c r="D19" s="437"/>
      <c r="E19" s="437"/>
      <c r="F19" s="437"/>
      <c r="G19" s="437"/>
      <c r="H19" s="437"/>
      <c r="I19" s="437"/>
      <c r="J19" s="437"/>
      <c r="K19" s="437"/>
      <c r="L19" s="437"/>
      <c r="M19" s="437"/>
      <c r="N19" s="437"/>
      <c r="O19" s="437"/>
      <c r="P19" s="437"/>
      <c r="Q19" s="437"/>
      <c r="R19" s="437"/>
      <c r="S19" s="437"/>
      <c r="T19" s="437"/>
    </row>
    <row r="20" spans="1:113" s="52"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217</v>
      </c>
      <c r="C21" s="425"/>
      <c r="D21" s="428" t="s">
        <v>116</v>
      </c>
      <c r="E21" s="424" t="s">
        <v>502</v>
      </c>
      <c r="F21" s="425"/>
      <c r="G21" s="424" t="s">
        <v>267</v>
      </c>
      <c r="H21" s="425"/>
      <c r="I21" s="424" t="s">
        <v>115</v>
      </c>
      <c r="J21" s="425"/>
      <c r="K21" s="428" t="s">
        <v>114</v>
      </c>
      <c r="L21" s="424" t="s">
        <v>113</v>
      </c>
      <c r="M21" s="425"/>
      <c r="N21" s="424" t="s">
        <v>498</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96" t="s">
        <v>109</v>
      </c>
      <c r="R22" s="96" t="s">
        <v>472</v>
      </c>
      <c r="S22" s="96" t="s">
        <v>108</v>
      </c>
      <c r="T22" s="96" t="s">
        <v>107</v>
      </c>
    </row>
    <row r="23" spans="1:113" ht="51.75" customHeight="1" x14ac:dyDescent="0.25">
      <c r="A23" s="433"/>
      <c r="B23" s="145" t="s">
        <v>105</v>
      </c>
      <c r="C23" s="145" t="s">
        <v>106</v>
      </c>
      <c r="D23" s="42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3" t="s">
        <v>508</v>
      </c>
      <c r="C29" s="423"/>
      <c r="D29" s="423"/>
      <c r="E29" s="423"/>
      <c r="F29" s="423"/>
      <c r="G29" s="423"/>
      <c r="H29" s="423"/>
      <c r="I29" s="423"/>
      <c r="J29" s="423"/>
      <c r="K29" s="423"/>
      <c r="L29" s="423"/>
      <c r="M29" s="423"/>
      <c r="N29" s="423"/>
      <c r="O29" s="423"/>
      <c r="P29" s="423"/>
      <c r="Q29" s="423"/>
      <c r="R29" s="42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"Западная энергетическая компания"</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M 22-09</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9" t="str">
        <f>'1. паспорт местоположение'!A15</f>
        <v>Приобретение мини-экскаватора JCB8030ZTS</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475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2" customFormat="1" ht="21" customHeight="1" x14ac:dyDescent="0.25"/>
    <row r="21" spans="1:27" ht="15.75" customHeight="1" x14ac:dyDescent="0.25">
      <c r="A21" s="439" t="s">
        <v>3</v>
      </c>
      <c r="B21" s="442" t="s">
        <v>482</v>
      </c>
      <c r="C21" s="443"/>
      <c r="D21" s="442" t="s">
        <v>484</v>
      </c>
      <c r="E21" s="443"/>
      <c r="F21" s="434" t="s">
        <v>88</v>
      </c>
      <c r="G21" s="436"/>
      <c r="H21" s="436"/>
      <c r="I21" s="435"/>
      <c r="J21" s="439" t="s">
        <v>485</v>
      </c>
      <c r="K21" s="442" t="s">
        <v>486</v>
      </c>
      <c r="L21" s="443"/>
      <c r="M21" s="442" t="s">
        <v>487</v>
      </c>
      <c r="N21" s="443"/>
      <c r="O21" s="442" t="s">
        <v>474</v>
      </c>
      <c r="P21" s="443"/>
      <c r="Q21" s="442" t="s">
        <v>121</v>
      </c>
      <c r="R21" s="443"/>
      <c r="S21" s="439" t="s">
        <v>120</v>
      </c>
      <c r="T21" s="439" t="s">
        <v>488</v>
      </c>
      <c r="U21" s="439" t="s">
        <v>483</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96" t="s">
        <v>109</v>
      </c>
      <c r="Y22" s="96" t="s">
        <v>472</v>
      </c>
      <c r="Z22" s="96" t="s">
        <v>108</v>
      </c>
      <c r="AA22" s="96" t="s">
        <v>107</v>
      </c>
    </row>
    <row r="23" spans="1:27" ht="60" customHeight="1" x14ac:dyDescent="0.25">
      <c r="A23" s="441"/>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"Западная энергетическая компания"</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M 22-09</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9" t="str">
        <f>'1. паспорт местоположение'!A15</f>
        <v>Приобретение мини-экскаватора JCB8030ZTS</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467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606</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мини-экскаватора JCB8030ZTS</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608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0"/>
      <c r="AB6" s="14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0"/>
      <c r="AB7" s="140"/>
    </row>
    <row r="8" spans="1:28" x14ac:dyDescent="0.25">
      <c r="A8" s="413" t="str">
        <f>'1. паспорт местоположение'!A9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0"/>
      <c r="AB10" s="140"/>
    </row>
    <row r="11" spans="1:28" x14ac:dyDescent="0.25">
      <c r="A11" s="413" t="str">
        <f>'1. паспорт местоположение'!A12:C12</f>
        <v>M 22-09</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9" t="str">
        <f>'1. паспорт местоположение'!A15</f>
        <v>Приобретение мини-экскаватора JCB8030ZTS</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1"/>
      <c r="AB16" s="151"/>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1"/>
      <c r="AB17" s="151"/>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1"/>
      <c r="AB18" s="151"/>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40"/>
      <c r="O7" s="140"/>
      <c r="P7" s="140"/>
      <c r="Q7" s="140"/>
      <c r="R7" s="140"/>
      <c r="S7" s="140"/>
      <c r="T7" s="140"/>
      <c r="U7" s="140"/>
      <c r="V7" s="140"/>
      <c r="W7" s="140"/>
      <c r="X7" s="140"/>
    </row>
    <row r="8" spans="1:26" s="11" customFormat="1" ht="18.75" x14ac:dyDescent="0.2">
      <c r="A8" s="412"/>
      <c r="B8" s="412"/>
      <c r="C8" s="412"/>
      <c r="D8" s="412"/>
      <c r="E8" s="412"/>
      <c r="F8" s="412"/>
      <c r="G8" s="412"/>
      <c r="H8" s="412"/>
      <c r="I8" s="412"/>
      <c r="J8" s="412"/>
      <c r="K8" s="412"/>
      <c r="L8" s="412"/>
      <c r="M8" s="412"/>
      <c r="N8" s="140"/>
      <c r="O8" s="140"/>
      <c r="P8" s="140"/>
      <c r="Q8" s="140"/>
      <c r="R8" s="140"/>
      <c r="S8" s="140"/>
      <c r="T8" s="140"/>
      <c r="U8" s="140"/>
      <c r="V8" s="140"/>
      <c r="W8" s="140"/>
      <c r="X8" s="140"/>
    </row>
    <row r="9" spans="1:26" s="11" customFormat="1" ht="18.75" x14ac:dyDescent="0.2">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140"/>
      <c r="O9" s="140"/>
      <c r="P9" s="140"/>
      <c r="Q9" s="140"/>
      <c r="R9" s="140"/>
      <c r="S9" s="140"/>
      <c r="T9" s="140"/>
      <c r="U9" s="140"/>
      <c r="V9" s="140"/>
      <c r="W9" s="140"/>
      <c r="X9" s="140"/>
    </row>
    <row r="10" spans="1:26" s="11"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c r="X10" s="140"/>
    </row>
    <row r="11" spans="1:26" s="11" customFormat="1" ht="18.75" x14ac:dyDescent="0.2">
      <c r="A11" s="412"/>
      <c r="B11" s="412"/>
      <c r="C11" s="412"/>
      <c r="D11" s="412"/>
      <c r="E11" s="412"/>
      <c r="F11" s="412"/>
      <c r="G11" s="412"/>
      <c r="H11" s="412"/>
      <c r="I11" s="412"/>
      <c r="J11" s="412"/>
      <c r="K11" s="412"/>
      <c r="L11" s="412"/>
      <c r="M11" s="412"/>
      <c r="N11" s="140"/>
      <c r="O11" s="140"/>
      <c r="P11" s="140"/>
      <c r="Q11" s="140"/>
      <c r="R11" s="140"/>
      <c r="S11" s="140"/>
      <c r="T11" s="140"/>
      <c r="U11" s="140"/>
      <c r="V11" s="140"/>
      <c r="W11" s="140"/>
      <c r="X11" s="140"/>
    </row>
    <row r="12" spans="1:26" s="11" customFormat="1" ht="18.75" x14ac:dyDescent="0.2">
      <c r="A12" s="413" t="str">
        <f>'1. паспорт местоположение'!A12:C12</f>
        <v>M 22-09</v>
      </c>
      <c r="B12" s="413"/>
      <c r="C12" s="413"/>
      <c r="D12" s="413"/>
      <c r="E12" s="413"/>
      <c r="F12" s="413"/>
      <c r="G12" s="413"/>
      <c r="H12" s="413"/>
      <c r="I12" s="413"/>
      <c r="J12" s="413"/>
      <c r="K12" s="413"/>
      <c r="L12" s="413"/>
      <c r="M12" s="413"/>
      <c r="N12" s="140"/>
      <c r="O12" s="140"/>
      <c r="P12" s="140"/>
      <c r="Q12" s="140"/>
      <c r="R12" s="140"/>
      <c r="S12" s="140"/>
      <c r="T12" s="140"/>
      <c r="U12" s="140"/>
      <c r="V12" s="140"/>
      <c r="W12" s="140"/>
      <c r="X12" s="140"/>
    </row>
    <row r="13" spans="1:26" s="11"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8" t="str">
        <f>'1. паспорт местоположение'!A15</f>
        <v>Приобретение мини-экскаватора JCB8030ZTS</v>
      </c>
      <c r="B15" s="458"/>
      <c r="C15" s="458"/>
      <c r="D15" s="458"/>
      <c r="E15" s="458"/>
      <c r="F15" s="458"/>
      <c r="G15" s="458"/>
      <c r="H15" s="458"/>
      <c r="I15" s="458"/>
      <c r="J15" s="458"/>
      <c r="K15" s="458"/>
      <c r="L15" s="458"/>
      <c r="M15" s="458"/>
      <c r="N15" s="155"/>
      <c r="O15" s="155"/>
      <c r="P15" s="155"/>
      <c r="Q15" s="155"/>
      <c r="R15" s="155"/>
      <c r="S15" s="155"/>
      <c r="T15" s="155"/>
      <c r="U15" s="155"/>
      <c r="V15" s="155"/>
      <c r="W15" s="155"/>
      <c r="X15" s="155"/>
    </row>
    <row r="16" spans="1:26" s="3"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c r="X16" s="142"/>
    </row>
    <row r="17" spans="1:24" s="3" customFormat="1" ht="15" customHeight="1" x14ac:dyDescent="0.2">
      <c r="A17" s="420"/>
      <c r="B17" s="420"/>
      <c r="C17" s="420"/>
      <c r="D17" s="420"/>
      <c r="E17" s="420"/>
      <c r="F17" s="420"/>
      <c r="G17" s="420"/>
      <c r="H17" s="420"/>
      <c r="I17" s="420"/>
      <c r="J17" s="420"/>
      <c r="K17" s="420"/>
      <c r="L17" s="420"/>
      <c r="M17" s="420"/>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5" workbookViewId="0">
      <selection activeCell="D82" sqref="D82"/>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1" t="str">
        <f>'[1]1. паспорт местоположение'!A5:C5</f>
        <v>Год раскрытия информации: 2022 год</v>
      </c>
      <c r="B5" s="471"/>
      <c r="C5" s="471"/>
      <c r="D5" s="471"/>
      <c r="E5" s="471"/>
      <c r="F5" s="471"/>
      <c r="G5" s="471"/>
      <c r="H5" s="471"/>
      <c r="I5" s="471"/>
      <c r="J5" s="471"/>
      <c r="K5" s="471"/>
      <c r="L5" s="471"/>
      <c r="M5" s="471"/>
      <c r="N5" s="471"/>
      <c r="O5" s="471"/>
      <c r="P5" s="471"/>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1" t="s">
        <v>7</v>
      </c>
      <c r="B7" s="471"/>
      <c r="C7" s="471"/>
      <c r="D7" s="471"/>
      <c r="E7" s="471"/>
      <c r="F7" s="471"/>
      <c r="G7" s="471"/>
      <c r="H7" s="471"/>
      <c r="I7" s="471"/>
      <c r="J7" s="471"/>
      <c r="K7" s="471"/>
      <c r="L7" s="471"/>
      <c r="M7" s="471"/>
      <c r="N7" s="471"/>
      <c r="O7" s="471"/>
      <c r="P7" s="471"/>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2" t="str">
        <f>'[1]1. паспорт местоположение'!A9:C9</f>
        <v xml:space="preserve">Акционерное общество "Западная энергетическая компания" </v>
      </c>
      <c r="B9" s="472"/>
      <c r="C9" s="472"/>
      <c r="D9" s="472"/>
      <c r="E9" s="472"/>
      <c r="F9" s="472"/>
      <c r="G9" s="472"/>
      <c r="H9" s="472"/>
      <c r="I9" s="472"/>
      <c r="J9" s="472"/>
      <c r="K9" s="472"/>
      <c r="L9" s="472"/>
      <c r="M9" s="472"/>
      <c r="N9" s="472"/>
      <c r="O9" s="472"/>
      <c r="P9" s="472"/>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0" t="s">
        <v>6</v>
      </c>
      <c r="B10" s="470"/>
      <c r="C10" s="470"/>
      <c r="D10" s="470"/>
      <c r="E10" s="470"/>
      <c r="F10" s="470"/>
      <c r="G10" s="470"/>
      <c r="H10" s="470"/>
      <c r="I10" s="470"/>
      <c r="J10" s="470"/>
      <c r="K10" s="470"/>
      <c r="L10" s="470"/>
      <c r="M10" s="470"/>
      <c r="N10" s="470"/>
      <c r="O10" s="470"/>
      <c r="P10" s="470"/>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2" t="str">
        <f>'1. паспорт местоположение'!A12:C12</f>
        <v>M 22-09</v>
      </c>
      <c r="B12" s="472"/>
      <c r="C12" s="472"/>
      <c r="D12" s="472"/>
      <c r="E12" s="472"/>
      <c r="F12" s="472"/>
      <c r="G12" s="472"/>
      <c r="H12" s="472"/>
      <c r="I12" s="472"/>
      <c r="J12" s="472"/>
      <c r="K12" s="472"/>
      <c r="L12" s="472"/>
      <c r="M12" s="472"/>
      <c r="N12" s="472"/>
      <c r="O12" s="472"/>
      <c r="P12" s="472"/>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0" t="s">
        <v>5</v>
      </c>
      <c r="B13" s="470"/>
      <c r="C13" s="470"/>
      <c r="D13" s="470"/>
      <c r="E13" s="470"/>
      <c r="F13" s="470"/>
      <c r="G13" s="470"/>
      <c r="H13" s="470"/>
      <c r="I13" s="470"/>
      <c r="J13" s="470"/>
      <c r="K13" s="470"/>
      <c r="L13" s="470"/>
      <c r="M13" s="470"/>
      <c r="N13" s="470"/>
      <c r="O13" s="470"/>
      <c r="P13" s="470"/>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1" t="str">
        <f>'1. паспорт местоположение'!A15:C15</f>
        <v>Приобретение мини-экскаватора JCB8030ZTS</v>
      </c>
      <c r="B15" s="461"/>
      <c r="C15" s="461"/>
      <c r="D15" s="461"/>
      <c r="E15" s="461"/>
      <c r="F15" s="461"/>
      <c r="G15" s="461"/>
      <c r="H15" s="461"/>
      <c r="I15" s="461"/>
      <c r="J15" s="461"/>
      <c r="K15" s="461"/>
      <c r="L15" s="461"/>
      <c r="M15" s="461"/>
      <c r="N15" s="461"/>
      <c r="O15" s="461"/>
      <c r="P15" s="461"/>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2" t="s">
        <v>4</v>
      </c>
      <c r="B16" s="462"/>
      <c r="C16" s="462"/>
      <c r="D16" s="462"/>
      <c r="E16" s="462"/>
      <c r="F16" s="462"/>
      <c r="G16" s="462"/>
      <c r="H16" s="462"/>
      <c r="I16" s="462"/>
      <c r="J16" s="462"/>
      <c r="K16" s="462"/>
      <c r="L16" s="462"/>
      <c r="M16" s="462"/>
      <c r="N16" s="462"/>
      <c r="O16" s="462"/>
      <c r="P16" s="46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3" t="s">
        <v>477</v>
      </c>
      <c r="B18" s="463"/>
      <c r="C18" s="463"/>
      <c r="D18" s="463"/>
      <c r="E18" s="463"/>
      <c r="F18" s="463"/>
      <c r="G18" s="463"/>
      <c r="H18" s="463"/>
      <c r="I18" s="463"/>
      <c r="J18" s="463"/>
      <c r="K18" s="463"/>
      <c r="L18" s="463"/>
      <c r="M18" s="463"/>
      <c r="N18" s="463"/>
      <c r="O18" s="463"/>
      <c r="P18" s="463"/>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2000000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4" t="s">
        <v>324</v>
      </c>
      <c r="E27" s="465"/>
      <c r="F27" s="466"/>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200</v>
      </c>
      <c r="C28" s="272"/>
      <c r="D28" s="464" t="s">
        <v>322</v>
      </c>
      <c r="E28" s="465"/>
      <c r="F28" s="466"/>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4" t="s">
        <v>556</v>
      </c>
      <c r="E29" s="465"/>
      <c r="F29" s="466"/>
      <c r="G29" s="289">
        <f>L87</f>
        <v>-2813585.7706833957</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4"/>
      <c r="E30" s="465"/>
      <c r="F30" s="466"/>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557</v>
      </c>
      <c r="B34" s="284">
        <f>B24*0.0003</f>
        <v>600</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558</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-42240</v>
      </c>
      <c r="D59" s="324">
        <f t="shared" si="3"/>
        <v>-42240</v>
      </c>
      <c r="E59" s="324">
        <f t="shared" si="3"/>
        <v>-42240</v>
      </c>
      <c r="F59" s="324">
        <f>SUM(F60:F65)</f>
        <v>-42240</v>
      </c>
      <c r="G59" s="324">
        <f t="shared" si="3"/>
        <v>-40480</v>
      </c>
      <c r="H59" s="324">
        <f t="shared" si="3"/>
        <v>-38720</v>
      </c>
      <c r="I59" s="324">
        <f t="shared" si="3"/>
        <v>-36960</v>
      </c>
      <c r="J59" s="324">
        <f t="shared" si="3"/>
        <v>-35200</v>
      </c>
      <c r="K59" s="324">
        <f t="shared" si="3"/>
        <v>-33440</v>
      </c>
      <c r="L59" s="324">
        <f t="shared" si="3"/>
        <v>-31919.999999999996</v>
      </c>
      <c r="M59" s="324">
        <f t="shared" si="3"/>
        <v>-29920</v>
      </c>
      <c r="N59" s="324">
        <f t="shared" si="3"/>
        <v>-28880</v>
      </c>
      <c r="O59" s="324">
        <f t="shared" si="3"/>
        <v>-26400</v>
      </c>
      <c r="P59" s="324">
        <f t="shared" si="3"/>
        <v>-63359.999999999993</v>
      </c>
      <c r="Q59" s="324">
        <f t="shared" si="3"/>
        <v>-22880</v>
      </c>
      <c r="R59" s="324">
        <f t="shared" si="3"/>
        <v>-355275.87945394398</v>
      </c>
      <c r="S59" s="324">
        <f t="shared" si="3"/>
        <v>-19360</v>
      </c>
      <c r="T59" s="324">
        <f t="shared" si="3"/>
        <v>-17600</v>
      </c>
      <c r="U59" s="324">
        <f t="shared" si="3"/>
        <v>-15839.999999999998</v>
      </c>
      <c r="V59" s="324">
        <f t="shared" ref="V59:AE59" si="4">SUM(V60:V65)</f>
        <v>-14800</v>
      </c>
      <c r="W59" s="324">
        <f t="shared" si="4"/>
        <v>-12320</v>
      </c>
      <c r="X59" s="324">
        <f t="shared" si="4"/>
        <v>-344715.87945394398</v>
      </c>
      <c r="Y59" s="324">
        <f t="shared" si="4"/>
        <v>-8800</v>
      </c>
      <c r="Z59" s="324">
        <f t="shared" si="4"/>
        <v>-7040</v>
      </c>
      <c r="AA59" s="324">
        <f t="shared" si="4"/>
        <v>-5280</v>
      </c>
      <c r="AB59" s="324">
        <f t="shared" si="4"/>
        <v>-3520</v>
      </c>
      <c r="AC59" s="324">
        <f t="shared" si="4"/>
        <v>0</v>
      </c>
      <c r="AD59" s="324">
        <f t="shared" si="4"/>
        <v>-720</v>
      </c>
      <c r="AE59" s="324">
        <f t="shared" si="4"/>
        <v>0</v>
      </c>
    </row>
    <row r="60" spans="1:31" s="262" customFormat="1" ht="12.75" x14ac:dyDescent="0.2">
      <c r="A60" s="325" t="s">
        <v>299</v>
      </c>
      <c r="B60" s="318"/>
      <c r="C60" s="318"/>
      <c r="D60" s="318"/>
      <c r="E60" s="318"/>
      <c r="F60" s="318"/>
      <c r="G60" s="318"/>
      <c r="H60" s="318"/>
      <c r="I60" s="318"/>
      <c r="J60" s="318"/>
      <c r="K60" s="318"/>
      <c r="L60" s="318">
        <f>-B28*1.2</f>
        <v>-240</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557</v>
      </c>
      <c r="B62" s="318"/>
      <c r="C62" s="318"/>
      <c r="D62" s="318"/>
      <c r="E62" s="318"/>
      <c r="F62" s="326"/>
      <c r="G62" s="318"/>
      <c r="H62" s="318"/>
      <c r="I62" s="318"/>
      <c r="J62" s="318"/>
      <c r="K62" s="318"/>
      <c r="L62" s="318"/>
      <c r="M62" s="318"/>
      <c r="N62" s="318">
        <f>-B34*1.2</f>
        <v>-720</v>
      </c>
      <c r="O62" s="318"/>
      <c r="P62" s="318"/>
      <c r="Q62" s="318"/>
      <c r="R62" s="318"/>
      <c r="S62" s="318"/>
      <c r="T62" s="318"/>
      <c r="U62" s="318"/>
      <c r="V62" s="318">
        <f>N62</f>
        <v>-720</v>
      </c>
      <c r="W62" s="318"/>
      <c r="X62" s="318"/>
      <c r="Y62" s="318"/>
      <c r="Z62" s="318"/>
      <c r="AA62" s="318"/>
      <c r="AB62" s="318"/>
      <c r="AC62" s="318"/>
      <c r="AD62" s="318">
        <f>V62</f>
        <v>-720</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559</v>
      </c>
      <c r="B65" s="327">
        <v>0</v>
      </c>
      <c r="C65" s="327">
        <f>-($B$24+C67)*0.022</f>
        <v>-42240</v>
      </c>
      <c r="D65" s="327">
        <f t="shared" ref="D65:E65" si="5">-($B$24+D67)*0.022</f>
        <v>-42240</v>
      </c>
      <c r="E65" s="327">
        <f t="shared" si="5"/>
        <v>-42240</v>
      </c>
      <c r="F65" s="327">
        <f>-($B$24+F67)*0.022</f>
        <v>-42240</v>
      </c>
      <c r="G65" s="327">
        <f>-($B$24+G67+F67)*0.022</f>
        <v>-40480</v>
      </c>
      <c r="H65" s="328">
        <f>-($B$24+H67+F67+G67)*0.022</f>
        <v>-38720</v>
      </c>
      <c r="I65" s="328">
        <f>-($B$24+I67+G67+H67+F67)*0.022</f>
        <v>-36960</v>
      </c>
      <c r="J65" s="328">
        <f>-($B$24+J67+H67+I67+G67+F67)*0.022</f>
        <v>-35200</v>
      </c>
      <c r="K65" s="328">
        <f>-($B$24+K67+I67+J67+H67+F67+G67)*0.022</f>
        <v>-33440</v>
      </c>
      <c r="L65" s="328">
        <f>-($B$24+F67+L67+J67+K67+I67+G67+H67)*0.022</f>
        <v>-31679.999999999996</v>
      </c>
      <c r="M65" s="328">
        <f>-($B$24+G67+M67+K67+L67+J67+H67+I67+F67)*0.022</f>
        <v>-29920</v>
      </c>
      <c r="N65" s="328">
        <f>-($B$24+H67+N67+L67+M67+K67+I67+J67+F67+G67)*0.022</f>
        <v>-28160</v>
      </c>
      <c r="O65" s="328">
        <f>-($B$24+I67+O67+M67+N67+L67+J67+K67+H67+G67+F67)*0.022</f>
        <v>-26400</v>
      </c>
      <c r="P65" s="328">
        <f>(-$B$24+J67+P67+N67+O67+M67+K67+L67+I67+H67+G67+F67)*0.022</f>
        <v>-63359.999999999993</v>
      </c>
      <c r="Q65" s="328">
        <f>-($B$24+K67+Q67+O67+P67+N67+L67+M67+J67+I67+H67+F67+G67)*0.022</f>
        <v>-22880</v>
      </c>
      <c r="R65" s="328">
        <f>-($B$24+L67+R67+P67+Q67+O67+M67+N67+K67+J67+I67+G67+F67+H67)*0.022</f>
        <v>-21120</v>
      </c>
      <c r="S65" s="328">
        <f>-($B$24+M67+S67+Q67+R67+P67+N67+O67+L67+K67+J67+H67+I67+F67+G67)*0.022</f>
        <v>-19360</v>
      </c>
      <c r="T65" s="328">
        <f>-($B$24+N67+T67+R67+S67+Q67+O67+P67+M67+L67+K67+I67+J67+G67+F67+H67)*0.022</f>
        <v>-17600</v>
      </c>
      <c r="U65" s="328">
        <f>-($B$24+O67+U67+S67+T67+R67+P67+Q67+N67+M67+L67+J67+K67+H67+G67+F67+I67)*0.022</f>
        <v>-15839.999999999998</v>
      </c>
      <c r="V65" s="328">
        <f>-($B$24+P67+V67+T67+U67+S67+Q67+R67+O67+N67+M67+K67+L67+I67+H67+G67+F67+J67)*0.022</f>
        <v>-14080</v>
      </c>
      <c r="W65" s="328">
        <f>-($B$24+Q67+W67+U67+V67+T67+R67+S67+P67+O67+N67+L67+M67+J67+I67+H67+G67+F67+K67)*0.022</f>
        <v>-12320</v>
      </c>
      <c r="X65" s="328">
        <f>-($B$24+R67+X67+V67+W67+U67+S67+T67+Q67+P67+O67+M67+N67+K67+J67+I67+H67+F67+G67++L67)*0.022</f>
        <v>-10560</v>
      </c>
      <c r="Y65" s="328">
        <f>-($B$24+S67+Y67+W67+X67+V67+T67+U67+R67+Q67+P67+N67+O67+L67+K67+J67+I67+G67+H67+F67+M67)*0.022</f>
        <v>-8800</v>
      </c>
      <c r="Z65" s="328">
        <f>-($B$24+T67+Z67+X67+Y67+W67+U67+V67+S67+R67+Q67+O67+P67+M67+L67+K67+J67+H67+I67+G67+F67+N67)*0.022</f>
        <v>-7040</v>
      </c>
      <c r="AA65" s="328">
        <f>-($B$24+U67+AA67+Y67+Z67+X67+V67+W67+T67+S67+R67+P67+Q67+N67+M67+L67+K67+I67+J67+H67+G67+F67+O67)*0.022</f>
        <v>-5280</v>
      </c>
      <c r="AB65" s="328">
        <f>-($B$24+V67+AB67+Z67+AA67+Y67+W67+X67+U67+T67+S67+Q67+R67+O67+N67+M67+L67+J67+K67+I67+H67+G67+F67+P67)*0.022</f>
        <v>-3520</v>
      </c>
      <c r="AC65" s="328">
        <v>0</v>
      </c>
      <c r="AD65" s="328">
        <v>0</v>
      </c>
      <c r="AE65" s="328">
        <v>0</v>
      </c>
      <c r="AF65" s="328"/>
    </row>
    <row r="66" spans="1:32" s="262" customFormat="1" ht="12.75" x14ac:dyDescent="0.2">
      <c r="A66" s="329" t="s">
        <v>560</v>
      </c>
      <c r="B66" s="258">
        <f t="shared" ref="B66:AE66" si="6">B58+B59</f>
        <v>0</v>
      </c>
      <c r="C66" s="258">
        <f t="shared" si="6"/>
        <v>-42240</v>
      </c>
      <c r="D66" s="258">
        <f t="shared" ref="D66:E66" si="7">D58+D59</f>
        <v>-42240</v>
      </c>
      <c r="E66" s="258">
        <f t="shared" si="7"/>
        <v>-42240</v>
      </c>
      <c r="F66" s="258">
        <f t="shared" si="6"/>
        <v>-42240</v>
      </c>
      <c r="G66" s="258">
        <f t="shared" si="6"/>
        <v>-40480</v>
      </c>
      <c r="H66" s="258">
        <f t="shared" si="6"/>
        <v>-38720</v>
      </c>
      <c r="I66" s="258">
        <f t="shared" si="6"/>
        <v>-36960</v>
      </c>
      <c r="J66" s="258">
        <f t="shared" si="6"/>
        <v>-35200</v>
      </c>
      <c r="K66" s="258">
        <f t="shared" si="6"/>
        <v>-33440</v>
      </c>
      <c r="L66" s="258">
        <f t="shared" si="6"/>
        <v>-31919.999999999996</v>
      </c>
      <c r="M66" s="258">
        <f t="shared" si="6"/>
        <v>-29920</v>
      </c>
      <c r="N66" s="258">
        <f t="shared" si="6"/>
        <v>-28880</v>
      </c>
      <c r="O66" s="258">
        <f t="shared" si="6"/>
        <v>-26400</v>
      </c>
      <c r="P66" s="258">
        <f t="shared" si="6"/>
        <v>-63359.999999999993</v>
      </c>
      <c r="Q66" s="258">
        <f t="shared" si="6"/>
        <v>-22880</v>
      </c>
      <c r="R66" s="258">
        <f t="shared" si="6"/>
        <v>-355275.87945394398</v>
      </c>
      <c r="S66" s="258">
        <f t="shared" si="6"/>
        <v>-19360</v>
      </c>
      <c r="T66" s="258">
        <f t="shared" si="6"/>
        <v>-17600</v>
      </c>
      <c r="U66" s="258">
        <f t="shared" si="6"/>
        <v>-15839.999999999998</v>
      </c>
      <c r="V66" s="258">
        <f t="shared" si="6"/>
        <v>-14800</v>
      </c>
      <c r="W66" s="258">
        <f t="shared" si="6"/>
        <v>-12320</v>
      </c>
      <c r="X66" s="258">
        <f t="shared" si="6"/>
        <v>-344715.87945394398</v>
      </c>
      <c r="Y66" s="258">
        <f t="shared" si="6"/>
        <v>-8800</v>
      </c>
      <c r="Z66" s="258">
        <f t="shared" si="6"/>
        <v>-7040</v>
      </c>
      <c r="AA66" s="258">
        <f t="shared" si="6"/>
        <v>-5280</v>
      </c>
      <c r="AB66" s="258">
        <f t="shared" si="6"/>
        <v>-3520</v>
      </c>
      <c r="AC66" s="258">
        <f t="shared" si="6"/>
        <v>0</v>
      </c>
      <c r="AD66" s="258">
        <f t="shared" si="6"/>
        <v>-720</v>
      </c>
      <c r="AE66" s="258">
        <f t="shared" si="6"/>
        <v>0</v>
      </c>
    </row>
    <row r="67" spans="1:32" s="262" customFormat="1" ht="12.75" x14ac:dyDescent="0.2">
      <c r="A67" s="325" t="s">
        <v>294</v>
      </c>
      <c r="B67" s="330">
        <v>0</v>
      </c>
      <c r="C67" s="330">
        <f>($B$81+$C$81+$D$81+$E$81+$F$81)*$B$27/$B$26</f>
        <v>-80000</v>
      </c>
      <c r="D67" s="330">
        <f t="shared" ref="D67:E67" si="8">($B$81+$C$81+$D$81+$E$81+$F$81)*$B$27/$B$26</f>
        <v>-80000</v>
      </c>
      <c r="E67" s="330">
        <f t="shared" si="8"/>
        <v>-80000</v>
      </c>
      <c r="F67" s="330">
        <f>($B$81+$C$81+$D$81+$E$81+$F$81)*$B$27/$B$26</f>
        <v>-80000</v>
      </c>
      <c r="G67" s="330">
        <f>($B$81+$C$81+$D$81+$E$81+$F$81)*$B$27/$B$26</f>
        <v>-80000</v>
      </c>
      <c r="H67" s="328">
        <f t="shared" ref="H67:AE67" si="9">G67</f>
        <v>-80000</v>
      </c>
      <c r="I67" s="328">
        <f t="shared" si="9"/>
        <v>-80000</v>
      </c>
      <c r="J67" s="328">
        <f t="shared" si="9"/>
        <v>-80000</v>
      </c>
      <c r="K67" s="328">
        <f t="shared" si="9"/>
        <v>-80000</v>
      </c>
      <c r="L67" s="328">
        <f t="shared" si="9"/>
        <v>-80000</v>
      </c>
      <c r="M67" s="328">
        <f t="shared" si="9"/>
        <v>-80000</v>
      </c>
      <c r="N67" s="328">
        <f t="shared" si="9"/>
        <v>-80000</v>
      </c>
      <c r="O67" s="328">
        <f t="shared" si="9"/>
        <v>-80000</v>
      </c>
      <c r="P67" s="328">
        <f t="shared" si="9"/>
        <v>-80000</v>
      </c>
      <c r="Q67" s="328">
        <f t="shared" si="9"/>
        <v>-80000</v>
      </c>
      <c r="R67" s="328">
        <f t="shared" si="9"/>
        <v>-80000</v>
      </c>
      <c r="S67" s="328">
        <f t="shared" si="9"/>
        <v>-80000</v>
      </c>
      <c r="T67" s="328">
        <f t="shared" si="9"/>
        <v>-80000</v>
      </c>
      <c r="U67" s="328">
        <f t="shared" si="9"/>
        <v>-80000</v>
      </c>
      <c r="V67" s="328">
        <f t="shared" si="9"/>
        <v>-80000</v>
      </c>
      <c r="W67" s="328">
        <f t="shared" si="9"/>
        <v>-80000</v>
      </c>
      <c r="X67" s="328">
        <f t="shared" si="9"/>
        <v>-80000</v>
      </c>
      <c r="Y67" s="328">
        <f t="shared" si="9"/>
        <v>-80000</v>
      </c>
      <c r="Z67" s="328">
        <f t="shared" si="9"/>
        <v>-80000</v>
      </c>
      <c r="AA67" s="328">
        <f t="shared" si="9"/>
        <v>-80000</v>
      </c>
      <c r="AB67" s="328">
        <f t="shared" si="9"/>
        <v>-80000</v>
      </c>
      <c r="AC67" s="328">
        <v>0</v>
      </c>
      <c r="AD67" s="328">
        <f t="shared" si="9"/>
        <v>0</v>
      </c>
      <c r="AE67" s="328">
        <f t="shared" si="9"/>
        <v>0</v>
      </c>
    </row>
    <row r="68" spans="1:32" s="262" customFormat="1" ht="12.75" x14ac:dyDescent="0.2">
      <c r="A68" s="329" t="s">
        <v>561</v>
      </c>
      <c r="B68" s="258">
        <f t="shared" ref="B68:AE68" si="10">B66+B67</f>
        <v>0</v>
      </c>
      <c r="C68" s="258">
        <f t="shared" si="10"/>
        <v>-122240</v>
      </c>
      <c r="D68" s="258">
        <f t="shared" si="10"/>
        <v>-122240</v>
      </c>
      <c r="E68" s="258">
        <f t="shared" si="10"/>
        <v>-122240</v>
      </c>
      <c r="F68" s="258">
        <f t="shared" si="10"/>
        <v>-122240</v>
      </c>
      <c r="G68" s="258">
        <f t="shared" si="10"/>
        <v>-120480</v>
      </c>
      <c r="H68" s="258">
        <f t="shared" si="10"/>
        <v>-118720</v>
      </c>
      <c r="I68" s="258">
        <f t="shared" si="10"/>
        <v>-116960</v>
      </c>
      <c r="J68" s="258">
        <f t="shared" si="10"/>
        <v>-115200</v>
      </c>
      <c r="K68" s="258">
        <f t="shared" si="10"/>
        <v>-113440</v>
      </c>
      <c r="L68" s="258">
        <f t="shared" si="10"/>
        <v>-111920</v>
      </c>
      <c r="M68" s="258">
        <f t="shared" si="10"/>
        <v>-109920</v>
      </c>
      <c r="N68" s="258">
        <f t="shared" si="10"/>
        <v>-108880</v>
      </c>
      <c r="O68" s="258">
        <f t="shared" si="10"/>
        <v>-106400</v>
      </c>
      <c r="P68" s="258">
        <f t="shared" si="10"/>
        <v>-143360</v>
      </c>
      <c r="Q68" s="258">
        <f t="shared" si="10"/>
        <v>-102880</v>
      </c>
      <c r="R68" s="258">
        <f t="shared" si="10"/>
        <v>-435275.87945394398</v>
      </c>
      <c r="S68" s="258">
        <f t="shared" si="10"/>
        <v>-99360</v>
      </c>
      <c r="T68" s="258">
        <f t="shared" si="10"/>
        <v>-97600</v>
      </c>
      <c r="U68" s="258">
        <f t="shared" si="10"/>
        <v>-95840</v>
      </c>
      <c r="V68" s="258">
        <f t="shared" si="10"/>
        <v>-94800</v>
      </c>
      <c r="W68" s="258">
        <f t="shared" si="10"/>
        <v>-92320</v>
      </c>
      <c r="X68" s="258">
        <f t="shared" si="10"/>
        <v>-424715.87945394398</v>
      </c>
      <c r="Y68" s="258">
        <f t="shared" si="10"/>
        <v>-88800</v>
      </c>
      <c r="Z68" s="258">
        <f t="shared" si="10"/>
        <v>-87040</v>
      </c>
      <c r="AA68" s="258">
        <f t="shared" si="10"/>
        <v>-85280</v>
      </c>
      <c r="AB68" s="258">
        <f t="shared" si="10"/>
        <v>-83520</v>
      </c>
      <c r="AC68" s="258">
        <f t="shared" si="10"/>
        <v>0</v>
      </c>
      <c r="AD68" s="258">
        <f t="shared" si="10"/>
        <v>-720</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-122240</v>
      </c>
      <c r="D70" s="258">
        <f t="shared" si="11"/>
        <v>-122240</v>
      </c>
      <c r="E70" s="258">
        <f t="shared" si="11"/>
        <v>-122240</v>
      </c>
      <c r="F70" s="258">
        <f t="shared" si="11"/>
        <v>-122240</v>
      </c>
      <c r="G70" s="258">
        <f t="shared" si="11"/>
        <v>-120480</v>
      </c>
      <c r="H70" s="258">
        <f t="shared" si="11"/>
        <v>-118720</v>
      </c>
      <c r="I70" s="258">
        <f t="shared" si="11"/>
        <v>-116960</v>
      </c>
      <c r="J70" s="258">
        <f t="shared" si="11"/>
        <v>-115200</v>
      </c>
      <c r="K70" s="258">
        <f t="shared" si="11"/>
        <v>-113440</v>
      </c>
      <c r="L70" s="258">
        <f t="shared" si="11"/>
        <v>-111920</v>
      </c>
      <c r="M70" s="258">
        <f t="shared" si="11"/>
        <v>-109920</v>
      </c>
      <c r="N70" s="258">
        <f t="shared" si="11"/>
        <v>-108880</v>
      </c>
      <c r="O70" s="258">
        <f t="shared" si="11"/>
        <v>-106400</v>
      </c>
      <c r="P70" s="258">
        <f t="shared" si="11"/>
        <v>-143360</v>
      </c>
      <c r="Q70" s="258">
        <f t="shared" si="11"/>
        <v>-102880</v>
      </c>
      <c r="R70" s="258">
        <f t="shared" si="11"/>
        <v>-435275.87945394398</v>
      </c>
      <c r="S70" s="258">
        <f t="shared" si="11"/>
        <v>-99360</v>
      </c>
      <c r="T70" s="258">
        <f t="shared" si="11"/>
        <v>-97600</v>
      </c>
      <c r="U70" s="258">
        <f t="shared" si="11"/>
        <v>-95840</v>
      </c>
      <c r="V70" s="258">
        <f t="shared" si="11"/>
        <v>-94800</v>
      </c>
      <c r="W70" s="258">
        <f t="shared" si="11"/>
        <v>-92320</v>
      </c>
      <c r="X70" s="258">
        <f t="shared" si="11"/>
        <v>-424715.87945394398</v>
      </c>
      <c r="Y70" s="258">
        <f t="shared" si="11"/>
        <v>-88800</v>
      </c>
      <c r="Z70" s="258">
        <f t="shared" si="11"/>
        <v>-87040</v>
      </c>
      <c r="AA70" s="258">
        <f t="shared" si="11"/>
        <v>-85280</v>
      </c>
      <c r="AB70" s="258">
        <f t="shared" si="11"/>
        <v>-83520</v>
      </c>
      <c r="AC70" s="258">
        <f t="shared" si="11"/>
        <v>0</v>
      </c>
      <c r="AD70" s="258">
        <f t="shared" si="11"/>
        <v>-720</v>
      </c>
      <c r="AE70" s="258">
        <f t="shared" si="11"/>
        <v>0</v>
      </c>
    </row>
    <row r="71" spans="1:32" s="262" customFormat="1" ht="12.75" x14ac:dyDescent="0.2">
      <c r="A71" s="325" t="s">
        <v>292</v>
      </c>
      <c r="B71" s="330">
        <f t="shared" ref="B71:AE71" si="12">-B70*$B$35</f>
        <v>0</v>
      </c>
      <c r="C71" s="330">
        <f t="shared" si="12"/>
        <v>24448</v>
      </c>
      <c r="D71" s="330">
        <f t="shared" si="12"/>
        <v>24448</v>
      </c>
      <c r="E71" s="330">
        <f t="shared" si="12"/>
        <v>24448</v>
      </c>
      <c r="F71" s="330">
        <f t="shared" si="12"/>
        <v>24448</v>
      </c>
      <c r="G71" s="330">
        <f t="shared" si="12"/>
        <v>24096</v>
      </c>
      <c r="H71" s="330">
        <f t="shared" si="12"/>
        <v>23744</v>
      </c>
      <c r="I71" s="330">
        <f t="shared" si="12"/>
        <v>23392</v>
      </c>
      <c r="J71" s="330">
        <f t="shared" si="12"/>
        <v>23040</v>
      </c>
      <c r="K71" s="330">
        <f t="shared" si="12"/>
        <v>22688</v>
      </c>
      <c r="L71" s="330">
        <f t="shared" si="12"/>
        <v>22384</v>
      </c>
      <c r="M71" s="330">
        <f t="shared" si="12"/>
        <v>21984</v>
      </c>
      <c r="N71" s="330">
        <f t="shared" si="12"/>
        <v>21776</v>
      </c>
      <c r="O71" s="330">
        <f t="shared" si="12"/>
        <v>21280</v>
      </c>
      <c r="P71" s="330">
        <f t="shared" si="12"/>
        <v>28672</v>
      </c>
      <c r="Q71" s="330">
        <f t="shared" si="12"/>
        <v>20576</v>
      </c>
      <c r="R71" s="330">
        <f t="shared" si="12"/>
        <v>87055.1758907888</v>
      </c>
      <c r="S71" s="330">
        <f t="shared" si="12"/>
        <v>19872</v>
      </c>
      <c r="T71" s="330">
        <f t="shared" si="12"/>
        <v>19520</v>
      </c>
      <c r="U71" s="330">
        <f t="shared" si="12"/>
        <v>19168</v>
      </c>
      <c r="V71" s="330">
        <f t="shared" si="12"/>
        <v>18960</v>
      </c>
      <c r="W71" s="330">
        <f t="shared" si="12"/>
        <v>18464</v>
      </c>
      <c r="X71" s="330">
        <f t="shared" si="12"/>
        <v>84943.1758907888</v>
      </c>
      <c r="Y71" s="330">
        <f t="shared" si="12"/>
        <v>17760</v>
      </c>
      <c r="Z71" s="330">
        <f t="shared" si="12"/>
        <v>17408</v>
      </c>
      <c r="AA71" s="330">
        <f t="shared" si="12"/>
        <v>17056</v>
      </c>
      <c r="AB71" s="330">
        <f t="shared" si="12"/>
        <v>16704</v>
      </c>
      <c r="AC71" s="330">
        <f t="shared" si="12"/>
        <v>0</v>
      </c>
      <c r="AD71" s="330">
        <f t="shared" si="12"/>
        <v>144</v>
      </c>
      <c r="AE71" s="330">
        <f t="shared" si="12"/>
        <v>0</v>
      </c>
    </row>
    <row r="72" spans="1:32" s="262" customFormat="1" ht="13.5" thickBot="1" x14ac:dyDescent="0.25">
      <c r="A72" s="331" t="s">
        <v>296</v>
      </c>
      <c r="B72" s="332">
        <f t="shared" ref="B72:AE72" si="13">B70+B71</f>
        <v>0</v>
      </c>
      <c r="C72" s="332">
        <f t="shared" si="13"/>
        <v>-97792</v>
      </c>
      <c r="D72" s="332">
        <f t="shared" si="13"/>
        <v>-97792</v>
      </c>
      <c r="E72" s="332">
        <f t="shared" si="13"/>
        <v>-97792</v>
      </c>
      <c r="F72" s="332">
        <f t="shared" si="13"/>
        <v>-97792</v>
      </c>
      <c r="G72" s="332">
        <f t="shared" si="13"/>
        <v>-96384</v>
      </c>
      <c r="H72" s="332">
        <f t="shared" si="13"/>
        <v>-94976</v>
      </c>
      <c r="I72" s="332">
        <f t="shared" si="13"/>
        <v>-93568</v>
      </c>
      <c r="J72" s="332">
        <f t="shared" si="13"/>
        <v>-92160</v>
      </c>
      <c r="K72" s="332">
        <f t="shared" si="13"/>
        <v>-90752</v>
      </c>
      <c r="L72" s="332">
        <f t="shared" si="13"/>
        <v>-89536</v>
      </c>
      <c r="M72" s="332">
        <f t="shared" si="13"/>
        <v>-87936</v>
      </c>
      <c r="N72" s="332">
        <f t="shared" si="13"/>
        <v>-87104</v>
      </c>
      <c r="O72" s="332">
        <f t="shared" si="13"/>
        <v>-85120</v>
      </c>
      <c r="P72" s="332">
        <f t="shared" si="13"/>
        <v>-114688</v>
      </c>
      <c r="Q72" s="332">
        <f t="shared" si="13"/>
        <v>-82304</v>
      </c>
      <c r="R72" s="332">
        <f t="shared" si="13"/>
        <v>-348220.7035631552</v>
      </c>
      <c r="S72" s="332">
        <f t="shared" si="13"/>
        <v>-79488</v>
      </c>
      <c r="T72" s="332">
        <f t="shared" si="13"/>
        <v>-78080</v>
      </c>
      <c r="U72" s="332">
        <f t="shared" si="13"/>
        <v>-76672</v>
      </c>
      <c r="V72" s="332">
        <f t="shared" si="13"/>
        <v>-75840</v>
      </c>
      <c r="W72" s="332">
        <f t="shared" si="13"/>
        <v>-73856</v>
      </c>
      <c r="X72" s="332">
        <f t="shared" si="13"/>
        <v>-339772.7035631552</v>
      </c>
      <c r="Y72" s="332">
        <f t="shared" si="13"/>
        <v>-71040</v>
      </c>
      <c r="Z72" s="332">
        <f t="shared" si="13"/>
        <v>-69632</v>
      </c>
      <c r="AA72" s="332">
        <f t="shared" si="13"/>
        <v>-68224</v>
      </c>
      <c r="AB72" s="332">
        <f t="shared" si="13"/>
        <v>-66816</v>
      </c>
      <c r="AC72" s="332">
        <f t="shared" si="13"/>
        <v>0</v>
      </c>
      <c r="AD72" s="332">
        <f t="shared" si="13"/>
        <v>-576</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561</v>
      </c>
      <c r="B75" s="258">
        <f t="shared" ref="B75:AE75" si="14">B68</f>
        <v>0</v>
      </c>
      <c r="C75" s="258">
        <f t="shared" si="14"/>
        <v>-122240</v>
      </c>
      <c r="D75" s="258">
        <f t="shared" si="14"/>
        <v>-122240</v>
      </c>
      <c r="E75" s="258">
        <f t="shared" si="14"/>
        <v>-122240</v>
      </c>
      <c r="F75" s="258">
        <f t="shared" si="14"/>
        <v>-122240</v>
      </c>
      <c r="G75" s="258">
        <f t="shared" si="14"/>
        <v>-120480</v>
      </c>
      <c r="H75" s="258">
        <f t="shared" si="14"/>
        <v>-118720</v>
      </c>
      <c r="I75" s="258">
        <f t="shared" si="14"/>
        <v>-116960</v>
      </c>
      <c r="J75" s="258">
        <f t="shared" si="14"/>
        <v>-115200</v>
      </c>
      <c r="K75" s="258">
        <f t="shared" si="14"/>
        <v>-113440</v>
      </c>
      <c r="L75" s="258">
        <f t="shared" si="14"/>
        <v>-111920</v>
      </c>
      <c r="M75" s="258">
        <f t="shared" si="14"/>
        <v>-109920</v>
      </c>
      <c r="N75" s="258">
        <f t="shared" si="14"/>
        <v>-108880</v>
      </c>
      <c r="O75" s="258">
        <f t="shared" si="14"/>
        <v>-106400</v>
      </c>
      <c r="P75" s="258">
        <f t="shared" si="14"/>
        <v>-143360</v>
      </c>
      <c r="Q75" s="258">
        <f t="shared" si="14"/>
        <v>-102880</v>
      </c>
      <c r="R75" s="258">
        <f t="shared" si="14"/>
        <v>-435275.87945394398</v>
      </c>
      <c r="S75" s="258">
        <f t="shared" si="14"/>
        <v>-99360</v>
      </c>
      <c r="T75" s="258">
        <f t="shared" si="14"/>
        <v>-97600</v>
      </c>
      <c r="U75" s="258">
        <f t="shared" si="14"/>
        <v>-95840</v>
      </c>
      <c r="V75" s="258">
        <f t="shared" si="14"/>
        <v>-94800</v>
      </c>
      <c r="W75" s="258">
        <f t="shared" si="14"/>
        <v>-92320</v>
      </c>
      <c r="X75" s="258">
        <f t="shared" si="14"/>
        <v>-424715.87945394398</v>
      </c>
      <c r="Y75" s="258">
        <f t="shared" si="14"/>
        <v>-88800</v>
      </c>
      <c r="Z75" s="258">
        <f t="shared" si="14"/>
        <v>-87040</v>
      </c>
      <c r="AA75" s="258">
        <f t="shared" si="14"/>
        <v>-85280</v>
      </c>
      <c r="AB75" s="258">
        <f t="shared" si="14"/>
        <v>-83520</v>
      </c>
      <c r="AC75" s="258">
        <f t="shared" si="14"/>
        <v>0</v>
      </c>
      <c r="AD75" s="258">
        <f t="shared" si="14"/>
        <v>-720</v>
      </c>
      <c r="AE75" s="258">
        <f t="shared" si="14"/>
        <v>0</v>
      </c>
    </row>
    <row r="76" spans="1:32" s="262" customFormat="1" ht="12.75" x14ac:dyDescent="0.2">
      <c r="A76" s="325" t="s">
        <v>294</v>
      </c>
      <c r="B76" s="330">
        <f t="shared" ref="B76:AE76" si="15">-B67</f>
        <v>0</v>
      </c>
      <c r="C76" s="330">
        <f t="shared" si="15"/>
        <v>80000</v>
      </c>
      <c r="D76" s="330">
        <f t="shared" si="15"/>
        <v>80000</v>
      </c>
      <c r="E76" s="330">
        <f t="shared" si="15"/>
        <v>80000</v>
      </c>
      <c r="F76" s="330">
        <f t="shared" si="15"/>
        <v>80000</v>
      </c>
      <c r="G76" s="330">
        <f>-G67</f>
        <v>80000</v>
      </c>
      <c r="H76" s="330">
        <f t="shared" si="15"/>
        <v>80000</v>
      </c>
      <c r="I76" s="330">
        <f t="shared" si="15"/>
        <v>80000</v>
      </c>
      <c r="J76" s="330">
        <f t="shared" si="15"/>
        <v>80000</v>
      </c>
      <c r="K76" s="330">
        <f t="shared" si="15"/>
        <v>80000</v>
      </c>
      <c r="L76" s="330">
        <f t="shared" si="15"/>
        <v>80000</v>
      </c>
      <c r="M76" s="330">
        <f t="shared" si="15"/>
        <v>80000</v>
      </c>
      <c r="N76" s="330">
        <f t="shared" si="15"/>
        <v>80000</v>
      </c>
      <c r="O76" s="330">
        <f t="shared" si="15"/>
        <v>80000</v>
      </c>
      <c r="P76" s="330">
        <f t="shared" si="15"/>
        <v>80000</v>
      </c>
      <c r="Q76" s="330">
        <f t="shared" si="15"/>
        <v>80000</v>
      </c>
      <c r="R76" s="330">
        <f t="shared" si="15"/>
        <v>80000</v>
      </c>
      <c r="S76" s="330">
        <f t="shared" si="15"/>
        <v>80000</v>
      </c>
      <c r="T76" s="330">
        <f t="shared" si="15"/>
        <v>80000</v>
      </c>
      <c r="U76" s="330">
        <f t="shared" si="15"/>
        <v>80000</v>
      </c>
      <c r="V76" s="330">
        <f t="shared" si="15"/>
        <v>80000</v>
      </c>
      <c r="W76" s="330">
        <f t="shared" si="15"/>
        <v>80000</v>
      </c>
      <c r="X76" s="330">
        <f t="shared" si="15"/>
        <v>80000</v>
      </c>
      <c r="Y76" s="330">
        <f t="shared" si="15"/>
        <v>80000</v>
      </c>
      <c r="Z76" s="330">
        <f t="shared" si="15"/>
        <v>80000</v>
      </c>
      <c r="AA76" s="330">
        <f t="shared" si="15"/>
        <v>80000</v>
      </c>
      <c r="AB76" s="330">
        <f t="shared" si="15"/>
        <v>80000</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-155500</v>
      </c>
      <c r="C79" s="330">
        <f>IF(((SUM($B$58:C58)+SUM($B$60:C64))+SUM($B$81:C81))&lt;0,((SUM($B$58:C58)+SUM($B$60:C64))+SUM($B$81:C81))*0.2-SUM($A$79:B79),IF(SUM($A$79:B79)&lt;0,0-SUM($A$79:B79),0))</f>
        <v>-324500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-48</v>
      </c>
      <c r="M79" s="330">
        <f>IF(((SUM($B$58:M58)+SUM($B$60:M64))+SUM($B$81:M81))&lt;0,((SUM($B$58:M58)+SUM($B$60:M64))+SUM($B$81:M81))*0.2-SUM($A$79:L79),IF(SUM($A$79:L79)&lt;0,0-SUM($A$79:L79),0))</f>
        <v>0</v>
      </c>
      <c r="N79" s="330">
        <f>IF(((SUM($B$58:N58)+SUM($B$60:N64))+SUM($B$81:N81))&lt;0,((SUM($B$58:N58)+SUM($B$60:N64))+SUM($B$81:N81))*0.2-SUM($A$79:M79),IF(SUM($A$79:M79)&lt;0,0-SUM($A$79:M79),0))</f>
        <v>-144</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-66831.175890788785</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-144</v>
      </c>
      <c r="W79" s="330">
        <f>IF(((SUM($B$58:W58)+SUM($B$60:W64))+SUM($B$81:W81))&lt;0,((SUM($B$58:W58)+SUM($B$60:W64))+SUM($B$81:W81))*0.2-SUM($A$79:V79),IF(SUM($A$79:V79)&lt;0,0-SUM($A$79:V79),0))</f>
        <v>0</v>
      </c>
      <c r="X79" s="330">
        <f>IF(((SUM($B$58:X58)+SUM($B$60:X64))+SUM($B$81:X81))&lt;0,((SUM($B$58:X58)+SUM($B$60:X64))+SUM($B$81:X81))*0.2-SUM($A$79:W79),IF(SUM($A$79:W79)&lt;0,0-SUM($A$79:W79),0))</f>
        <v>-66831.175890788902</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-144</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ввод'!R24*1000000</f>
        <v>-777500</v>
      </c>
      <c r="C81" s="330">
        <f>-'6.2. Паспорт фин осв ввод'!V24*1000000</f>
        <v>-1622500</v>
      </c>
      <c r="D81" s="330">
        <f>-'6.2. Паспорт фин осв ввод'!Z24*1000000</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-933000</v>
      </c>
      <c r="C83" s="258">
        <f t="shared" ref="C83:AE83" si="18">SUM(C75:C82)</f>
        <v>-1989240</v>
      </c>
      <c r="D83" s="258">
        <f t="shared" si="18"/>
        <v>-42240</v>
      </c>
      <c r="E83" s="258">
        <f t="shared" si="18"/>
        <v>-42240</v>
      </c>
      <c r="F83" s="258">
        <f t="shared" si="18"/>
        <v>-42240</v>
      </c>
      <c r="G83" s="258">
        <f t="shared" si="18"/>
        <v>-40480</v>
      </c>
      <c r="H83" s="258">
        <f t="shared" si="18"/>
        <v>-38720</v>
      </c>
      <c r="I83" s="258">
        <f t="shared" si="18"/>
        <v>-36960</v>
      </c>
      <c r="J83" s="258">
        <f t="shared" si="18"/>
        <v>-35200</v>
      </c>
      <c r="K83" s="258">
        <f t="shared" si="18"/>
        <v>-33440</v>
      </c>
      <c r="L83" s="258">
        <f t="shared" si="18"/>
        <v>-31968</v>
      </c>
      <c r="M83" s="258">
        <f t="shared" si="18"/>
        <v>-29920</v>
      </c>
      <c r="N83" s="258">
        <f t="shared" si="18"/>
        <v>-29024</v>
      </c>
      <c r="O83" s="258">
        <f t="shared" si="18"/>
        <v>-26400</v>
      </c>
      <c r="P83" s="258">
        <f t="shared" si="18"/>
        <v>-63360</v>
      </c>
      <c r="Q83" s="258">
        <f t="shared" si="18"/>
        <v>-22880</v>
      </c>
      <c r="R83" s="258">
        <f t="shared" si="18"/>
        <v>-422107.05534473277</v>
      </c>
      <c r="S83" s="258">
        <f t="shared" si="18"/>
        <v>-19360</v>
      </c>
      <c r="T83" s="258">
        <f t="shared" si="18"/>
        <v>-17600</v>
      </c>
      <c r="U83" s="258">
        <f t="shared" si="18"/>
        <v>-15840</v>
      </c>
      <c r="V83" s="258">
        <f t="shared" si="18"/>
        <v>-14944</v>
      </c>
      <c r="W83" s="258">
        <f t="shared" si="18"/>
        <v>-12320</v>
      </c>
      <c r="X83" s="258">
        <f t="shared" si="18"/>
        <v>-411547.05534473289</v>
      </c>
      <c r="Y83" s="258">
        <f t="shared" si="18"/>
        <v>-8800</v>
      </c>
      <c r="Z83" s="258">
        <f t="shared" si="18"/>
        <v>-7040</v>
      </c>
      <c r="AA83" s="258">
        <f t="shared" si="18"/>
        <v>-5280</v>
      </c>
      <c r="AB83" s="258">
        <f t="shared" si="18"/>
        <v>-3520</v>
      </c>
      <c r="AC83" s="258">
        <f t="shared" si="18"/>
        <v>0</v>
      </c>
      <c r="AD83" s="258">
        <f t="shared" si="18"/>
        <v>-864</v>
      </c>
      <c r="AE83" s="258">
        <f t="shared" si="18"/>
        <v>0</v>
      </c>
    </row>
    <row r="84" spans="1:31" s="262" customFormat="1" ht="12.75" x14ac:dyDescent="0.2">
      <c r="A84" s="329" t="s">
        <v>562</v>
      </c>
      <c r="B84" s="258">
        <f>SUM($B$83:B83)</f>
        <v>-933000</v>
      </c>
      <c r="C84" s="258">
        <f>SUM($B$83:C83)</f>
        <v>-2922240</v>
      </c>
      <c r="D84" s="258">
        <f>SUM($B$83:D83)</f>
        <v>-2964480</v>
      </c>
      <c r="E84" s="258">
        <f>SUM($B$83:E83)</f>
        <v>-3006720</v>
      </c>
      <c r="F84" s="258">
        <f>SUM($B$83:F83)</f>
        <v>-3048960</v>
      </c>
      <c r="G84" s="258">
        <f>SUM($B$83:G83)</f>
        <v>-3089440</v>
      </c>
      <c r="H84" s="258">
        <f>SUM($B$83:H83)</f>
        <v>-3128160</v>
      </c>
      <c r="I84" s="258">
        <f>SUM($B$83:I83)</f>
        <v>-3165120</v>
      </c>
      <c r="J84" s="258">
        <f>SUM($B$83:J83)</f>
        <v>-3200320</v>
      </c>
      <c r="K84" s="258">
        <f>SUM($B$83:K83)</f>
        <v>-3233760</v>
      </c>
      <c r="L84" s="258">
        <f>SUM($B$83:L83)</f>
        <v>-3265728</v>
      </c>
      <c r="M84" s="258">
        <f>SUM($B$83:M83)</f>
        <v>-3295648</v>
      </c>
      <c r="N84" s="258">
        <f>SUM($B$83:N83)</f>
        <v>-3324672</v>
      </c>
      <c r="O84" s="258">
        <f>SUM($B$83:O83)</f>
        <v>-3351072</v>
      </c>
      <c r="P84" s="258">
        <f>SUM($B$83:P83)</f>
        <v>-3414432</v>
      </c>
      <c r="Q84" s="258">
        <f>SUM($B$83:Q83)</f>
        <v>-3437312</v>
      </c>
      <c r="R84" s="258">
        <f>SUM($B$83:R83)</f>
        <v>-3859419.0553447329</v>
      </c>
      <c r="S84" s="258">
        <f>SUM($B$83:S83)</f>
        <v>-3878779.0553447329</v>
      </c>
      <c r="T84" s="258">
        <f>SUM($B$83:T83)</f>
        <v>-3896379.0553447329</v>
      </c>
      <c r="U84" s="258">
        <f>SUM($B$83:U83)</f>
        <v>-3912219.0553447329</v>
      </c>
      <c r="V84" s="258">
        <f>SUM($B$83:V83)</f>
        <v>-3927163.0553447329</v>
      </c>
      <c r="W84" s="258">
        <f>SUM($B$83:W83)</f>
        <v>-3939483.0553447329</v>
      </c>
      <c r="X84" s="258">
        <f>SUM($B$83:X83)</f>
        <v>-4351030.1106894659</v>
      </c>
      <c r="Y84" s="258">
        <f>SUM($B$83:Y83)</f>
        <v>-4359830.1106894659</v>
      </c>
      <c r="Z84" s="258">
        <f>SUM($B$83:Z83)</f>
        <v>-4366870.1106894659</v>
      </c>
      <c r="AA84" s="258">
        <f>SUM($B$83:AA83)</f>
        <v>-4372150.1106894659</v>
      </c>
      <c r="AB84" s="258">
        <f>SUM($B$83:AB83)</f>
        <v>-4375670.1106894659</v>
      </c>
      <c r="AC84" s="258">
        <f>SUM($B$83:AC83)</f>
        <v>-4375670.1106894659</v>
      </c>
      <c r="AD84" s="258">
        <f>SUM($B$83:AD83)</f>
        <v>-4376534.1106894659</v>
      </c>
      <c r="AE84" s="258">
        <f>SUM($B$83:AE83)</f>
        <v>-4376534.1106894659</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563</v>
      </c>
      <c r="B86" s="258">
        <f t="shared" ref="B86:AE86" si="20">B83*B85</f>
        <v>-890106.72341364168</v>
      </c>
      <c r="C86" s="258">
        <f t="shared" si="20"/>
        <v>-1727302.8784416001</v>
      </c>
      <c r="D86" s="258">
        <f t="shared" si="20"/>
        <v>-33383.056558022574</v>
      </c>
      <c r="E86" s="258">
        <f t="shared" si="20"/>
        <v>-30384.141765743676</v>
      </c>
      <c r="F86" s="258">
        <f t="shared" si="20"/>
        <v>-27654.629804080891</v>
      </c>
      <c r="G86" s="258">
        <f t="shared" si="20"/>
        <v>-24121.555986387717</v>
      </c>
      <c r="H86" s="258">
        <f t="shared" si="20"/>
        <v>-21000.084356632138</v>
      </c>
      <c r="I86" s="258">
        <f t="shared" si="20"/>
        <v>-18244.775705555945</v>
      </c>
      <c r="J86" s="258">
        <f t="shared" si="20"/>
        <v>-15815.033095871693</v>
      </c>
      <c r="K86" s="258">
        <f t="shared" si="20"/>
        <v>-13674.598562918094</v>
      </c>
      <c r="L86" s="258">
        <f t="shared" si="20"/>
        <v>-11898.292992941355</v>
      </c>
      <c r="M86" s="258">
        <f t="shared" si="20"/>
        <v>-10135.651213605674</v>
      </c>
      <c r="N86" s="258">
        <f t="shared" si="20"/>
        <v>-8948.8702017214746</v>
      </c>
      <c r="O86" s="258">
        <f t="shared" si="20"/>
        <v>-7408.5931528583287</v>
      </c>
      <c r="P86" s="258">
        <f t="shared" si="20"/>
        <v>-16183.328995048681</v>
      </c>
      <c r="Q86" s="258">
        <f t="shared" si="20"/>
        <v>-5318.9950986426593</v>
      </c>
      <c r="R86" s="258">
        <f t="shared" si="20"/>
        <v>-89313.489308133387</v>
      </c>
      <c r="S86" s="258">
        <f t="shared" si="20"/>
        <v>-3728.3843294236176</v>
      </c>
      <c r="T86" s="258">
        <f t="shared" si="20"/>
        <v>-3084.9552193283116</v>
      </c>
      <c r="U86" s="258">
        <f t="shared" si="20"/>
        <v>-2527.0407730913635</v>
      </c>
      <c r="V86" s="258">
        <f t="shared" si="20"/>
        <v>-2169.9254142106724</v>
      </c>
      <c r="W86" s="258">
        <f t="shared" si="20"/>
        <v>-1628.2066746024136</v>
      </c>
      <c r="X86" s="258">
        <f t="shared" si="20"/>
        <v>-49503.875183751923</v>
      </c>
      <c r="Y86" s="258">
        <f t="shared" si="20"/>
        <v>-963.43683364390517</v>
      </c>
      <c r="Z86" s="258">
        <f t="shared" si="20"/>
        <v>-701.51039129436981</v>
      </c>
      <c r="AA86" s="258">
        <f t="shared" si="20"/>
        <v>-478.86847498933059</v>
      </c>
      <c r="AB86" s="258">
        <f t="shared" si="20"/>
        <v>-290.56671520240911</v>
      </c>
      <c r="AC86" s="258">
        <f t="shared" si="20"/>
        <v>0</v>
      </c>
      <c r="AD86" s="258">
        <f t="shared" si="20"/>
        <v>-59.082476891530206</v>
      </c>
      <c r="AE86" s="258">
        <f t="shared" si="20"/>
        <v>0</v>
      </c>
    </row>
    <row r="87" spans="1:31" s="262" customFormat="1" ht="12.75" x14ac:dyDescent="0.2">
      <c r="A87" s="334" t="s">
        <v>564</v>
      </c>
      <c r="B87" s="258">
        <f>SUM($B$86:B86)</f>
        <v>-890106.72341364168</v>
      </c>
      <c r="C87" s="258">
        <f>SUM($B$86:C86)</f>
        <v>-2617409.6018552417</v>
      </c>
      <c r="D87" s="258">
        <f>SUM($B$86:D86)</f>
        <v>-2650792.6584132644</v>
      </c>
      <c r="E87" s="258">
        <f>SUM($B$86:E86)</f>
        <v>-2681176.8001790079</v>
      </c>
      <c r="F87" s="258">
        <f>SUM($B$86:F86)</f>
        <v>-2708831.4299830887</v>
      </c>
      <c r="G87" s="258">
        <f>SUM($B$86:G86)</f>
        <v>-2732952.9859694764</v>
      </c>
      <c r="H87" s="258">
        <f>SUM($B$86:H86)</f>
        <v>-2753953.0703261085</v>
      </c>
      <c r="I87" s="258">
        <f>SUM($B$86:I86)</f>
        <v>-2772197.8460316644</v>
      </c>
      <c r="J87" s="258">
        <f>SUM($B$86:J86)</f>
        <v>-2788012.879127536</v>
      </c>
      <c r="K87" s="258">
        <f>SUM($B$86:K86)</f>
        <v>-2801687.4776904541</v>
      </c>
      <c r="L87" s="258">
        <f>SUM($B$86:L86)</f>
        <v>-2813585.7706833957</v>
      </c>
      <c r="M87" s="258">
        <f>SUM($B$86:M86)</f>
        <v>-2823721.4218970016</v>
      </c>
      <c r="N87" s="258">
        <f>SUM($B$86:N86)</f>
        <v>-2832670.2920987229</v>
      </c>
      <c r="O87" s="258">
        <f>SUM($B$86:O86)</f>
        <v>-2840078.8852515812</v>
      </c>
      <c r="P87" s="258">
        <f>SUM($B$86:P86)</f>
        <v>-2856262.2142466297</v>
      </c>
      <c r="Q87" s="258">
        <f>SUM($B$86:Q86)</f>
        <v>-2861581.2093452723</v>
      </c>
      <c r="R87" s="258">
        <f>SUM($B$86:R86)</f>
        <v>-2950894.6986534055</v>
      </c>
      <c r="S87" s="258">
        <f>SUM($B$86:S86)</f>
        <v>-2954623.0829828293</v>
      </c>
      <c r="T87" s="258">
        <f>SUM($B$86:T86)</f>
        <v>-2957708.0382021577</v>
      </c>
      <c r="U87" s="258">
        <f>SUM($B$86:U86)</f>
        <v>-2960235.0789752491</v>
      </c>
      <c r="V87" s="258">
        <f>SUM($B$86:V86)</f>
        <v>-2962405.0043894597</v>
      </c>
      <c r="W87" s="258">
        <f>SUM($B$86:W86)</f>
        <v>-2964033.2110640621</v>
      </c>
      <c r="X87" s="258">
        <f>SUM($B$86:X86)</f>
        <v>-3013537.0862478139</v>
      </c>
      <c r="Y87" s="258">
        <f>SUM($B$86:Y86)</f>
        <v>-3014500.5230814577</v>
      </c>
      <c r="Z87" s="258">
        <f>SUM($B$86:Z86)</f>
        <v>-3015202.0334727522</v>
      </c>
      <c r="AA87" s="258">
        <f>SUM($B$86:AA86)</f>
        <v>-3015680.9019477414</v>
      </c>
      <c r="AB87" s="258">
        <f>SUM($B$86:AB86)</f>
        <v>-3015971.4686629437</v>
      </c>
      <c r="AC87" s="258">
        <f>SUM($B$86:AC86)</f>
        <v>-3015971.4686629437</v>
      </c>
      <c r="AD87" s="258">
        <f>SUM($B$86:AD86)</f>
        <v>-3016030.5511398353</v>
      </c>
      <c r="AE87" s="258">
        <f>SUM($B$86:AE86)</f>
        <v>-3016030.5511398353</v>
      </c>
    </row>
    <row r="88" spans="1:31" s="262" customFormat="1" ht="12.75" x14ac:dyDescent="0.2">
      <c r="A88" s="334" t="s">
        <v>565</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566</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567</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7" t="s">
        <v>568</v>
      </c>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row>
    <row r="94" spans="1:31" s="262" customFormat="1" ht="12.75" x14ac:dyDescent="0.2">
      <c r="A94" s="467" t="s">
        <v>569</v>
      </c>
      <c r="B94" s="467"/>
      <c r="C94" s="467"/>
      <c r="D94" s="467"/>
      <c r="E94" s="467"/>
      <c r="F94" s="467"/>
      <c r="G94" s="467"/>
      <c r="H94" s="467"/>
      <c r="I94" s="467"/>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570</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571</v>
      </c>
      <c r="B102" s="351" t="s">
        <v>572</v>
      </c>
      <c r="C102" s="351" t="s">
        <v>573</v>
      </c>
      <c r="D102" s="351" t="s">
        <v>574</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-11898.292992941355</v>
      </c>
      <c r="C103" s="355">
        <f>G26</f>
        <v>0</v>
      </c>
      <c r="D103" s="355" t="str">
        <f>G27</f>
        <v>не окупается</v>
      </c>
      <c r="E103" s="352" t="s">
        <v>575</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576</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577</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578</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579</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580</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581</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8" t="s">
        <v>582</v>
      </c>
      <c r="C114" s="469"/>
      <c r="D114" s="468" t="s">
        <v>583</v>
      </c>
      <c r="E114" s="469"/>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584</v>
      </c>
      <c r="B115" s="365"/>
      <c r="C115" s="356" t="s">
        <v>585</v>
      </c>
      <c r="D115" s="365">
        <v>16</v>
      </c>
      <c r="E115" s="356" t="s">
        <v>585</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584</v>
      </c>
      <c r="B116" s="356">
        <f>$B$110*B115</f>
        <v>0</v>
      </c>
      <c r="C116" s="356" t="s">
        <v>125</v>
      </c>
      <c r="D116" s="356">
        <f>D115*B108</f>
        <v>14.88</v>
      </c>
      <c r="E116" s="356" t="s">
        <v>125</v>
      </c>
      <c r="F116" s="359" t="s">
        <v>586</v>
      </c>
      <c r="G116" s="356">
        <f>D115-B115</f>
        <v>16</v>
      </c>
      <c r="H116" s="356" t="s">
        <v>585</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587</v>
      </c>
      <c r="G117" s="366">
        <v>9.4623655913978499</v>
      </c>
      <c r="H117" s="356" t="s">
        <v>585</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588</v>
      </c>
      <c r="G118" s="356">
        <f>G116</f>
        <v>16</v>
      </c>
      <c r="H118" s="356" t="s">
        <v>585</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589</v>
      </c>
      <c r="B120" s="372">
        <f>B124/1000000</f>
        <v>0</v>
      </c>
      <c r="D120" s="459" t="s">
        <v>323</v>
      </c>
      <c r="E120" s="373" t="s">
        <v>590</v>
      </c>
      <c r="F120" s="374">
        <v>35</v>
      </c>
      <c r="G120" s="460"/>
    </row>
    <row r="121" spans="1:71" s="352" customFormat="1" ht="15.75" x14ac:dyDescent="0.2">
      <c r="A121" s="371" t="s">
        <v>323</v>
      </c>
      <c r="B121" s="375">
        <v>30</v>
      </c>
      <c r="D121" s="459"/>
      <c r="E121" s="373" t="s">
        <v>591</v>
      </c>
      <c r="F121" s="374">
        <v>30</v>
      </c>
      <c r="G121" s="460"/>
    </row>
    <row r="122" spans="1:71" s="352" customFormat="1" ht="15.75" x14ac:dyDescent="0.2">
      <c r="A122" s="371" t="s">
        <v>592</v>
      </c>
      <c r="B122" s="375" t="s">
        <v>593</v>
      </c>
      <c r="C122" s="376" t="s">
        <v>594</v>
      </c>
      <c r="D122" s="459"/>
      <c r="E122" s="373" t="s">
        <v>595</v>
      </c>
      <c r="F122" s="374">
        <v>30</v>
      </c>
      <c r="G122" s="460"/>
    </row>
    <row r="123" spans="1:71" s="352" customFormat="1" ht="15.75" x14ac:dyDescent="0.2">
      <c r="A123" s="377"/>
      <c r="B123" s="378"/>
      <c r="C123" s="376"/>
      <c r="D123" s="459"/>
      <c r="E123" s="373" t="s">
        <v>596</v>
      </c>
      <c r="F123" s="374">
        <v>30</v>
      </c>
      <c r="G123" s="460"/>
    </row>
    <row r="124" spans="1:71" s="352" customFormat="1" ht="12.75" x14ac:dyDescent="0.2">
      <c r="A124" s="371" t="s">
        <v>597</v>
      </c>
      <c r="B124" s="379">
        <f>B126*1000000</f>
        <v>0</v>
      </c>
      <c r="C124" s="379"/>
      <c r="D124" s="379"/>
    </row>
    <row r="125" spans="1:71" s="352" customFormat="1" ht="12.75" x14ac:dyDescent="0.2">
      <c r="A125" s="371" t="s">
        <v>598</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599</v>
      </c>
      <c r="B127" s="382">
        <v>9.8699999999999996E-2</v>
      </c>
    </row>
    <row r="128" spans="1:71" s="352" customFormat="1" ht="15.75" x14ac:dyDescent="0.2">
      <c r="A128" s="383"/>
      <c r="B128" s="384"/>
    </row>
    <row r="129" spans="1:51" s="352" customFormat="1" ht="25.5" x14ac:dyDescent="0.2">
      <c r="A129" s="385" t="s">
        <v>600</v>
      </c>
      <c r="B129" s="386">
        <v>0.74426999999999999</v>
      </c>
    </row>
    <row r="130" spans="1:51" s="352" customFormat="1" ht="12.75" x14ac:dyDescent="0.2"/>
    <row r="131" spans="1:51" s="352" customFormat="1" ht="12.75" x14ac:dyDescent="0.2">
      <c r="A131" s="370"/>
      <c r="C131" s="352" t="s">
        <v>601</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M 22-09</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ht="102" customHeight="1" x14ac:dyDescent="0.25">
      <c r="A15" s="419" t="str">
        <f>'1. паспорт местоположение'!A15</f>
        <v>Приобретение мини-экскаватора JCB8030ZTS</v>
      </c>
      <c r="B15" s="419"/>
      <c r="C15" s="419"/>
      <c r="D15" s="419"/>
      <c r="E15" s="419"/>
      <c r="F15" s="419"/>
      <c r="G15" s="419"/>
      <c r="H15" s="419"/>
      <c r="I15" s="419"/>
      <c r="J15" s="419"/>
      <c r="K15" s="419"/>
      <c r="L15" s="419"/>
    </row>
    <row r="16" spans="1:44" x14ac:dyDescent="0.25">
      <c r="A16" s="417" t="s">
        <v>4</v>
      </c>
      <c r="B16" s="417"/>
      <c r="C16" s="417"/>
      <c r="D16" s="417"/>
      <c r="E16" s="417"/>
      <c r="F16" s="417"/>
      <c r="G16" s="417"/>
      <c r="H16" s="417"/>
      <c r="I16" s="417"/>
      <c r="J16" s="417"/>
      <c r="K16" s="417"/>
      <c r="L16" s="417"/>
    </row>
    <row r="17" spans="1:12" ht="15.75" customHeight="1" x14ac:dyDescent="0.25">
      <c r="L17" s="84"/>
    </row>
    <row r="18" spans="1:12" x14ac:dyDescent="0.25">
      <c r="K18" s="83"/>
    </row>
    <row r="19" spans="1:12" ht="15.75" customHeight="1" x14ac:dyDescent="0.25">
      <c r="A19" s="481" t="s">
        <v>478</v>
      </c>
      <c r="B19" s="481"/>
      <c r="C19" s="481"/>
      <c r="D19" s="481"/>
      <c r="E19" s="481"/>
      <c r="F19" s="481"/>
      <c r="G19" s="481"/>
      <c r="H19" s="481"/>
      <c r="I19" s="481"/>
      <c r="J19" s="481"/>
      <c r="K19" s="481"/>
      <c r="L19" s="481"/>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532</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2022-02-14T14:52:36Z</dcterms:modified>
</cp:coreProperties>
</file>