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16 факт 2021 тп\L 21-16_паспорт_карта\"/>
    </mc:Choice>
  </mc:AlternateContent>
  <xr:revisionPtr revIDLastSave="0" documentId="13_ncr:1_{BB3153A3-D64D-430B-8B8F-B68858E7D538}" xr6:coauthVersionLast="47" xr6:coauthVersionMax="47" xr10:uidLastSave="{00000000-0000-0000-0000-000000000000}"/>
  <bookViews>
    <workbookView xWindow="-120" yWindow="-120" windowWidth="29040" windowHeight="15840" tabRatio="859" firstSheet="1" activeTab="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D26" i="5" l="1"/>
  <c r="N56" i="29"/>
  <c r="D56" i="29"/>
  <c r="N41" i="29"/>
  <c r="N49" i="29"/>
  <c r="D49" i="29"/>
  <c r="N52" i="29"/>
  <c r="B50" i="30"/>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L86" i="30"/>
  <c r="L83" i="30"/>
  <c r="L79" i="30"/>
  <c r="AF90" i="30"/>
  <c r="AF87" i="30"/>
  <c r="AB89" i="30"/>
  <c r="AB84" i="30"/>
  <c r="B87" i="30"/>
  <c r="B90" i="30"/>
  <c r="G29" i="30"/>
  <c r="D105" i="30"/>
  <c r="AA90" i="30"/>
  <c r="AA87" i="30"/>
  <c r="V89" i="30"/>
  <c r="V84" i="30"/>
  <c r="R89" i="30"/>
  <c r="R84" i="30"/>
  <c r="Y90" i="30"/>
  <c r="Y87" i="30"/>
  <c r="AF86" i="30"/>
  <c r="AF83" i="30"/>
  <c r="AF79" i="30"/>
  <c r="E90" i="30"/>
  <c r="E87" i="30"/>
  <c r="AC89" i="30"/>
  <c r="AC84" i="30"/>
  <c r="AI90" i="30"/>
  <c r="AI87" i="30"/>
  <c r="K90" i="30"/>
  <c r="K87" i="30"/>
  <c r="G86" i="30"/>
  <c r="G83" i="30"/>
  <c r="G79" i="30"/>
  <c r="X89" i="30"/>
  <c r="X84" i="30"/>
  <c r="AJ90" i="30"/>
  <c r="AJ87" i="30"/>
  <c r="A105" i="30"/>
  <c r="G30" i="30"/>
  <c r="Y89" i="30"/>
  <c r="Y84" i="30"/>
  <c r="AA86" i="30"/>
  <c r="AA83" i="30"/>
  <c r="AA79" i="30"/>
  <c r="AM86" i="30"/>
  <c r="AM83" i="30"/>
  <c r="AM79" i="30"/>
  <c r="AB86" i="30"/>
  <c r="AB83" i="30"/>
  <c r="AB79" i="30"/>
  <c r="AB90" i="30"/>
  <c r="AB87" i="30"/>
  <c r="E89" i="30"/>
  <c r="E84" i="30"/>
  <c r="AN90" i="30"/>
  <c r="AN87" i="30"/>
  <c r="H90" i="30"/>
  <c r="H87" i="30"/>
  <c r="V90" i="30"/>
  <c r="V87" i="30"/>
  <c r="AE86" i="30"/>
  <c r="AE83" i="30"/>
  <c r="AE79" i="30"/>
  <c r="AE90" i="30"/>
  <c r="AE87" i="30"/>
  <c r="C90" i="30"/>
  <c r="C87" i="30"/>
  <c r="AG89" i="30"/>
  <c r="AG84" i="30"/>
  <c r="AL90" i="30"/>
  <c r="AL87" i="30"/>
  <c r="K89" i="30"/>
  <c r="K84" i="30"/>
  <c r="R86" i="30"/>
  <c r="R83" i="30"/>
  <c r="R79" i="30"/>
  <c r="F90" i="30"/>
  <c r="F87" i="30"/>
  <c r="AN79" i="30"/>
  <c r="AN83" i="30"/>
  <c r="AN86" i="30"/>
  <c r="AM89" i="30"/>
  <c r="AM84" i="30"/>
  <c r="O89" i="30"/>
  <c r="O84" i="30"/>
  <c r="AM90" i="30"/>
  <c r="AM87" i="30"/>
  <c r="AD90" i="30"/>
  <c r="AD87" i="30"/>
  <c r="T89" i="30"/>
  <c r="T84" i="30"/>
  <c r="Q89" i="30"/>
  <c r="Q84" i="30"/>
  <c r="AK86" i="30"/>
  <c r="AK83" i="30"/>
  <c r="AK79" i="30"/>
  <c r="C89" i="30"/>
  <c r="C84" i="30"/>
  <c r="C86" i="30"/>
  <c r="C83" i="30"/>
  <c r="C79" i="30"/>
  <c r="AE89" i="30"/>
  <c r="AE84" i="30"/>
  <c r="O79" i="30"/>
  <c r="O83" i="30"/>
  <c r="O86" i="30"/>
  <c r="U90" i="30"/>
  <c r="U87" i="30"/>
  <c r="N90" i="30"/>
  <c r="N87" i="30"/>
  <c r="AO79" i="30"/>
  <c r="AO83" i="30"/>
  <c r="AO86" i="30"/>
  <c r="S90" i="30"/>
  <c r="S87" i="30"/>
  <c r="AL89" i="30"/>
  <c r="AL84" i="30"/>
  <c r="AP79" i="30"/>
  <c r="AP83" i="30"/>
  <c r="AP86" i="30"/>
  <c r="M79" i="30"/>
  <c r="M83" i="30"/>
  <c r="M86" i="30"/>
  <c r="Z79" i="30"/>
  <c r="Z83" i="30"/>
  <c r="Z86" i="30"/>
  <c r="AC90" i="30"/>
  <c r="AC87" i="30"/>
  <c r="AL79" i="30"/>
  <c r="AL83" i="30"/>
  <c r="AL86" i="30"/>
  <c r="J79" i="30"/>
  <c r="J83" i="30"/>
  <c r="J86" i="30"/>
  <c r="Y86" i="30"/>
  <c r="Y83" i="30"/>
  <c r="Y79" i="30"/>
  <c r="I89" i="30"/>
  <c r="I84" i="30"/>
  <c r="U86" i="30"/>
  <c r="U83" i="30"/>
  <c r="U79" i="30"/>
  <c r="E86" i="30"/>
  <c r="E83" i="30"/>
  <c r="E79" i="30"/>
  <c r="G89" i="30"/>
  <c r="G84" i="30"/>
  <c r="AC86" i="30"/>
  <c r="AC83" i="30"/>
  <c r="AC79" i="30"/>
  <c r="B102" i="30"/>
  <c r="A101" i="30"/>
  <c r="O90" i="30"/>
  <c r="O87" i="30"/>
  <c r="H86" i="30"/>
  <c r="H83" i="30"/>
  <c r="H79" i="30"/>
  <c r="AN89" i="30"/>
  <c r="AN84" i="30"/>
  <c r="K79" i="30"/>
  <c r="K83" i="30"/>
  <c r="K86" i="30"/>
  <c r="Z89" i="30"/>
  <c r="Z84" i="30"/>
  <c r="J90" i="30"/>
  <c r="J87" i="30"/>
  <c r="AH79" i="30"/>
  <c r="AH83" i="30"/>
  <c r="AH86" i="30"/>
  <c r="AI89" i="30"/>
  <c r="AI84" i="30"/>
  <c r="AO89" i="30"/>
  <c r="AO84" i="30"/>
  <c r="X86" i="30"/>
  <c r="X83" i="30"/>
  <c r="X79" i="30"/>
  <c r="W86" i="30"/>
  <c r="W83" i="30"/>
  <c r="W79" i="30"/>
  <c r="G90" i="30"/>
  <c r="G87" i="30"/>
  <c r="V79" i="30"/>
  <c r="V83" i="30"/>
  <c r="V86" i="30"/>
  <c r="F79" i="30"/>
  <c r="F83" i="30"/>
  <c r="F86" i="30"/>
  <c r="AP89" i="30"/>
  <c r="AP84" i="30"/>
  <c r="I79" i="30"/>
  <c r="I83" i="30"/>
  <c r="I86" i="30"/>
  <c r="AG79" i="30"/>
  <c r="AG83" i="30"/>
  <c r="AG86" i="30"/>
  <c r="W90" i="30"/>
  <c r="W87" i="30"/>
  <c r="N79" i="30"/>
  <c r="N83" i="30"/>
  <c r="N86" i="30"/>
  <c r="AI79" i="30"/>
  <c r="AI83" i="30"/>
  <c r="AI86" i="30"/>
  <c r="Z90" i="30"/>
  <c r="Z87" i="30"/>
  <c r="AK90" i="30"/>
  <c r="AK87" i="30"/>
  <c r="T90" i="30"/>
  <c r="T87" i="30"/>
  <c r="B105" i="30"/>
  <c r="L88" i="30"/>
  <c r="T79" i="30"/>
  <c r="T83" i="30"/>
  <c r="T86" i="30"/>
  <c r="D79" i="30"/>
  <c r="D83" i="30"/>
  <c r="D86" i="30"/>
  <c r="M90" i="30"/>
  <c r="M87" i="30"/>
  <c r="AG90" i="30"/>
  <c r="AG87" i="30"/>
  <c r="U89" i="30"/>
  <c r="U84" i="30"/>
  <c r="AJ79" i="30"/>
  <c r="AJ83" i="30"/>
  <c r="AJ86" i="30"/>
  <c r="S89" i="30"/>
  <c r="S84" i="30"/>
  <c r="N89" i="30"/>
  <c r="N84" i="30"/>
  <c r="AO90" i="30"/>
  <c r="AO87" i="30"/>
  <c r="AA89" i="30"/>
  <c r="AA84" i="30"/>
  <c r="R90" i="30"/>
  <c r="R87" i="30"/>
  <c r="D89" i="30"/>
  <c r="D84" i="30"/>
  <c r="X90" i="30"/>
  <c r="X87" i="30"/>
  <c r="AF89" i="30"/>
  <c r="AF84" i="30"/>
  <c r="H89" i="30"/>
  <c r="H84" i="30"/>
  <c r="AD89" i="30"/>
  <c r="AD84" i="30"/>
  <c r="AP87" i="30"/>
  <c r="AP90" i="30"/>
  <c r="AD79" i="30"/>
  <c r="AD83" i="30"/>
  <c r="AD86" i="30"/>
  <c r="W89" i="30"/>
  <c r="W84" i="30"/>
  <c r="S79" i="30"/>
  <c r="S83" i="30"/>
  <c r="S86" i="30"/>
  <c r="D90" i="30"/>
  <c r="D87" i="30"/>
  <c r="J89" i="30"/>
  <c r="J84" i="30"/>
  <c r="I90" i="30"/>
  <c r="I87" i="30"/>
  <c r="P79" i="30"/>
  <c r="P83" i="30"/>
  <c r="P86" i="30"/>
  <c r="AJ89" i="30"/>
  <c r="AJ84" i="30"/>
  <c r="B84" i="30"/>
  <c r="B89" i="30"/>
  <c r="G28" i="30"/>
  <c r="C105" i="30"/>
  <c r="L89" i="30"/>
  <c r="L84" i="30"/>
  <c r="Q79" i="30"/>
  <c r="Q83" i="30"/>
  <c r="Q86" i="30"/>
  <c r="AK89" i="30"/>
  <c r="AK84" i="30"/>
  <c r="P89" i="30"/>
  <c r="P84" i="30"/>
  <c r="Q90" i="30"/>
  <c r="Q87" i="30"/>
  <c r="AH89" i="30"/>
  <c r="AH84" i="30"/>
  <c r="F89" i="30"/>
  <c r="F84" i="30"/>
  <c r="L87" i="30"/>
  <c r="L90" i="30"/>
  <c r="E88" i="30"/>
  <c r="R88" i="30"/>
  <c r="T88" i="30"/>
  <c r="AH88" i="30"/>
  <c r="G88" i="30"/>
  <c r="Y88" i="30"/>
  <c r="S88" i="30"/>
  <c r="AO88" i="30"/>
  <c r="M88" i="30"/>
  <c r="AG88" i="30"/>
  <c r="AF88" i="30"/>
  <c r="I88" i="30"/>
  <c r="H88" i="30"/>
  <c r="AD88" i="30"/>
  <c r="AJ88" i="30"/>
  <c r="C88" i="30"/>
  <c r="B88" i="30"/>
  <c r="AC88" i="30"/>
  <c r="U88" i="30"/>
  <c r="J88" i="30"/>
  <c r="AM88" i="30"/>
  <c r="Z88" i="30"/>
  <c r="D88" i="30"/>
  <c r="O88" i="30"/>
  <c r="P88" i="30"/>
  <c r="AL88" i="30"/>
  <c r="W88" i="30"/>
  <c r="AK88" i="30"/>
  <c r="N88" i="30"/>
  <c r="AN88" i="30"/>
  <c r="Q88" i="30"/>
  <c r="AA88" i="30"/>
  <c r="AP88" i="30"/>
  <c r="AE88" i="30"/>
  <c r="F88" i="30"/>
  <c r="AB88" i="30"/>
  <c r="K88" i="30"/>
  <c r="X88" i="30"/>
  <c r="AI88" i="30"/>
  <c r="V88" i="30"/>
  <c r="P87" i="30"/>
  <c r="P90" i="30"/>
  <c r="B86" i="30"/>
  <c r="AH87" i="30"/>
  <c r="AH90" i="30"/>
  <c r="B79" i="30"/>
  <c r="B83" i="30"/>
  <c r="M84" i="30"/>
  <c r="M89" i="30"/>
</calcChain>
</file>

<file path=xl/sharedStrings.xml><?xml version="1.0" encoding="utf-8"?>
<sst xmlns="http://schemas.openxmlformats.org/spreadsheetml/2006/main" count="1401" uniqueCount="648">
  <si>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</si>
  <si>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</si>
  <si>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</si>
  <si>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</si>
  <si>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</si>
  <si>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</si>
  <si>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</si>
  <si>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</si>
  <si>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</si>
  <si>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</si>
  <si>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</si>
  <si>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</si>
  <si>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</si>
  <si>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</si>
  <si>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</si>
  <si>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</si>
  <si>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</si>
  <si>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</si>
  <si>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</si>
  <si>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</si>
  <si>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</si>
  <si>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</si>
  <si>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</si>
  <si>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</si>
  <si>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</si>
  <si>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</si>
  <si>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</si>
  <si>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</si>
  <si>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</si>
  <si>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</si>
  <si>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</si>
  <si>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</si>
  <si>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</si>
  <si>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</si>
  <si>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</si>
  <si>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</si>
  <si>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</si>
  <si>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</si>
  <si>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</si>
  <si>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</si>
  <si>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</si>
  <si>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</si>
  <si>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</si>
  <si>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</si>
  <si>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</si>
  <si>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</si>
  <si>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</si>
  <si>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</si>
  <si>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</si>
  <si>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</si>
  <si>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</si>
  <si>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</si>
  <si>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</si>
  <si>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</si>
  <si>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</si>
  <si>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</si>
  <si>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</si>
  <si>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</si>
  <si>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</si>
  <si>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</si>
  <si>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</si>
  <si>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</si>
  <si>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</si>
  <si>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</si>
  <si>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</si>
  <si>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</si>
  <si>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</si>
  <si>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</si>
  <si>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</si>
  <si>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</si>
  <si>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</si>
  <si>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</si>
  <si>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</si>
  <si>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</si>
  <si>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</si>
  <si>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</si>
  <si>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</si>
  <si>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</si>
  <si>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</si>
  <si>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</si>
  <si>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</si>
  <si>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</si>
  <si>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</si>
  <si>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</si>
  <si>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</si>
  <si>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</si>
  <si>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</si>
  <si>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</si>
  <si>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</si>
  <si>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</si>
  <si>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</si>
  <si>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</si>
  <si>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</si>
  <si>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</si>
  <si>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</si>
  <si>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</si>
  <si>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</si>
  <si>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</si>
  <si>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</si>
  <si>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</si>
  <si>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</si>
  <si>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</si>
  <si>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</si>
  <si>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</si>
  <si>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</si>
  <si>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</si>
  <si>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</si>
  <si>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</si>
  <si>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</si>
  <si>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</si>
  <si>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</si>
  <si>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</si>
  <si>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</si>
  <si>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</si>
  <si>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</si>
  <si>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</si>
  <si>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</si>
  <si>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</si>
  <si>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</si>
  <si>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</si>
  <si>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</si>
  <si>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</si>
  <si>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</si>
  <si>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</si>
  <si>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</si>
  <si>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</si>
  <si>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</si>
  <si>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</si>
  <si>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</si>
  <si>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</si>
  <si>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</si>
  <si>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</si>
  <si>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</si>
  <si>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</si>
  <si>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</si>
  <si>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</si>
  <si>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</si>
  <si>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</si>
  <si>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</si>
  <si>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</si>
  <si>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</si>
  <si>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</si>
  <si>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</si>
  <si>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</si>
  <si>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</si>
  <si>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</si>
  <si>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</si>
  <si>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</si>
  <si>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</si>
  <si>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</si>
  <si>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</si>
  <si>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</si>
  <si>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</si>
  <si>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</si>
  <si>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</si>
  <si>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</si>
  <si>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</si>
  <si>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</si>
  <si>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</si>
  <si>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</si>
  <si>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</si>
  <si>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</si>
  <si>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</si>
  <si>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</si>
  <si>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</si>
  <si>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</si>
  <si>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</si>
  <si>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</si>
  <si>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</si>
  <si>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</si>
  <si>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</si>
  <si>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</si>
  <si>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</si>
  <si>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</si>
  <si>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</si>
  <si>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</si>
  <si>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</si>
  <si>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</si>
  <si>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</si>
  <si>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</si>
  <si>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</si>
  <si>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</si>
  <si>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</si>
  <si>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</si>
  <si>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</si>
  <si>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</si>
  <si>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</si>
  <si>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</si>
  <si>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</si>
  <si>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</si>
  <si>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</si>
  <si>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</si>
  <si>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</si>
  <si>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</si>
  <si>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</si>
  <si>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</si>
  <si>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</si>
  <si>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</si>
  <si>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</si>
  <si>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</si>
  <si>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</si>
  <si>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</si>
  <si>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</si>
  <si>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</si>
  <si>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</si>
  <si>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</si>
  <si>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</si>
  <si>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</si>
  <si>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</si>
  <si>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</si>
  <si>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</si>
  <si>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</si>
  <si>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</si>
  <si>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</si>
  <si>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</si>
  <si>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</si>
  <si>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</si>
  <si>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</si>
  <si>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</si>
  <si>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</si>
  <si>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</si>
  <si>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</si>
  <si>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</si>
  <si>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</si>
  <si>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</si>
  <si>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</si>
  <si>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</si>
  <si>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</si>
  <si>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</si>
  <si>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</si>
  <si>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</si>
  <si>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</si>
  <si>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</si>
  <si>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</si>
  <si>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</si>
  <si>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</si>
  <si>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</si>
  <si>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</si>
  <si>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</si>
  <si>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</si>
  <si>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</si>
  <si>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</si>
  <si>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</si>
  <si>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</si>
  <si>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</si>
  <si>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</si>
  <si>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</si>
  <si>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</si>
  <si>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</si>
  <si>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</si>
  <si>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</si>
  <si>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</si>
  <si>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</si>
  <si>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</si>
  <si>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</si>
  <si>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</si>
  <si>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</si>
  <si>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</si>
  <si>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</si>
  <si>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</si>
  <si>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</si>
  <si>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</si>
  <si>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</si>
  <si>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</si>
  <si>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</si>
  <si>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</si>
  <si>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</si>
  <si>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</si>
  <si>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</si>
  <si>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</si>
  <si>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</si>
  <si>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</si>
  <si>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</si>
  <si>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</si>
  <si>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</si>
  <si>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</si>
  <si>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</si>
  <si>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</si>
  <si>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</si>
  <si>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</si>
  <si>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</si>
  <si>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</si>
  <si>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</si>
  <si>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</si>
  <si>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</si>
  <si>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</si>
  <si>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</si>
  <si>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</si>
  <si>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</si>
  <si>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</si>
  <si>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</si>
  <si>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</si>
  <si>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</si>
  <si>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</si>
  <si>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</si>
  <si>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</si>
  <si>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</si>
  <si>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</si>
  <si>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</si>
  <si>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</si>
  <si>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</si>
  <si>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</si>
  <si>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</si>
  <si>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</si>
  <si>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</si>
  <si>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</si>
  <si>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</si>
  <si>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</si>
  <si>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</si>
  <si>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</si>
  <si>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</si>
  <si>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</si>
  <si>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</si>
  <si>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</si>
  <si>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</si>
  <si>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</si>
  <si>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</si>
  <si>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</si>
  <si>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</si>
  <si>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</si>
  <si>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</si>
  <si>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</si>
  <si>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</si>
  <si>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</si>
  <si>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</si>
  <si>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</si>
  <si>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</si>
  <si>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</si>
  <si>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</si>
  <si>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</si>
  <si>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</si>
  <si>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</si>
  <si>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</si>
  <si>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</si>
  <si>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</si>
  <si>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</si>
  <si>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</si>
  <si>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</si>
  <si>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</si>
  <si>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</si>
  <si>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</si>
  <si>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</si>
  <si>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</si>
  <si>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</si>
  <si>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</si>
  <si>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</si>
  <si>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</si>
  <si>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</si>
  <si>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</si>
  <si>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</si>
  <si>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</si>
  <si>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</si>
  <si>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</si>
  <si>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</si>
  <si>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</si>
  <si>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</si>
  <si>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</si>
  <si>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</si>
  <si>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</si>
  <si>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</si>
  <si>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</si>
  <si>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</si>
  <si>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</si>
  <si>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</si>
  <si>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</si>
  <si>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</si>
  <si>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</si>
  <si>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</si>
  <si>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</si>
  <si>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</si>
  <si>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</si>
  <si>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</si>
  <si>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</si>
  <si>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</si>
  <si>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</si>
  <si>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</si>
  <si>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</si>
  <si>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</si>
  <si>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</si>
  <si>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</si>
  <si>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</si>
  <si>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</si>
  <si>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</si>
  <si>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</si>
  <si>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</si>
  <si>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</si>
  <si>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</si>
  <si>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</si>
  <si>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</si>
  <si>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</si>
  <si>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</si>
  <si>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</si>
  <si>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</si>
  <si>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</si>
  <si>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</si>
  <si>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</si>
  <si>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</si>
  <si>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</si>
  <si>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</si>
  <si>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</si>
  <si>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</si>
  <si>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</si>
  <si>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</si>
  <si>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</si>
  <si>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</si>
  <si>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</si>
  <si>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</si>
  <si>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</si>
  <si>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</si>
  <si>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</si>
  <si>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</si>
  <si>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</si>
  <si>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</si>
  <si>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</si>
  <si>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</si>
  <si>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</si>
  <si>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</si>
  <si>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</si>
  <si>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</si>
  <si>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</si>
  <si>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</si>
  <si>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</si>
  <si>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</si>
  <si>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</si>
  <si>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</si>
  <si>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</si>
  <si>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</si>
  <si>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</si>
  <si>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</si>
  <si>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</si>
  <si>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</si>
  <si>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</si>
  <si>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</si>
  <si>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</si>
  <si>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</si>
  <si>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</si>
  <si>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</si>
  <si>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</si>
  <si>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</si>
  <si>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</si>
  <si>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</si>
  <si>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</si>
  <si>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</si>
  <si>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</si>
  <si>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</si>
  <si>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</si>
  <si>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</si>
  <si>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</si>
  <si>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</si>
  <si>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</si>
  <si>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</si>
  <si>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</si>
  <si>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</si>
  <si>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</si>
  <si>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</si>
  <si>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</si>
  <si>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</si>
  <si>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</si>
  <si>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</si>
  <si>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</si>
  <si>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</si>
  <si>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</si>
  <si>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</si>
  <si>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</si>
  <si>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</si>
  <si>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</si>
  <si>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</si>
  <si>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</si>
  <si>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</si>
  <si>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</si>
  <si>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</si>
  <si>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</si>
  <si>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</si>
  <si>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</si>
  <si>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</si>
  <si>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</si>
  <si>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</si>
  <si>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</si>
  <si>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</si>
  <si>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</si>
  <si>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</si>
  <si>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</si>
  <si>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</si>
  <si>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</si>
  <si>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</si>
  <si>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</si>
  <si>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</si>
  <si>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</si>
  <si>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</si>
  <si>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</si>
  <si>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</si>
  <si>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</si>
  <si>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</si>
  <si>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</si>
  <si>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</si>
  <si>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</si>
  <si>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</si>
  <si>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</si>
  <si>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</si>
  <si>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</si>
  <si>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</si>
  <si>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</si>
  <si>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</si>
  <si>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</si>
  <si>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</si>
  <si>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</si>
  <si>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</si>
  <si>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</si>
  <si>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</si>
  <si>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</si>
  <si>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</si>
  <si>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</si>
  <si>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</si>
  <si>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</si>
  <si>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</si>
  <si>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</si>
  <si>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</si>
  <si>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</si>
  <si>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</si>
  <si>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</si>
  <si>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</si>
  <si>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</si>
  <si>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</si>
  <si>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</si>
  <si>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</si>
  <si>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</si>
  <si>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</si>
  <si>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</si>
  <si>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</si>
  <si>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</si>
  <si>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</si>
  <si>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</si>
  <si>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</si>
  <si>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</si>
  <si>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</si>
  <si>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</si>
  <si>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</si>
  <si>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</si>
  <si>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</si>
  <si>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</si>
  <si>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</si>
  <si>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</si>
  <si>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</si>
  <si>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</si>
  <si>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</si>
  <si>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</si>
  <si>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</si>
  <si>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</si>
  <si>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</si>
  <si>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</si>
  <si>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</si>
  <si>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</si>
  <si>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</si>
  <si>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</si>
  <si>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</si>
  <si>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</si>
  <si>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</si>
  <si>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</si>
  <si>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</si>
  <si>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</si>
  <si>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</si>
  <si>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</si>
  <si>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</si>
  <si>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</si>
  <si>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</si>
  <si>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</si>
  <si>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</si>
  <si>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</si>
  <si>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</si>
  <si>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</si>
  <si>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</si>
  <si>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</si>
  <si>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</si>
  <si>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</si>
  <si>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</si>
  <si>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</si>
  <si>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</si>
  <si>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</si>
  <si>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</si>
  <si>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</si>
  <si>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</si>
  <si>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</si>
  <si>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</si>
  <si>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</si>
  <si>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</si>
  <si>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</si>
  <si>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</si>
  <si>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</si>
  <si>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</si>
  <si>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</si>
  <si>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</si>
  <si>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</si>
  <si>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</si>
  <si>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</si>
  <si>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</si>
  <si>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</si>
  <si>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</si>
  <si>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</si>
  <si>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</si>
  <si>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</si>
  <si>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</si>
  <si>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</si>
  <si>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</si>
  <si>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</si>
  <si>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</si>
  <si>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</si>
  <si>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</si>
  <si>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</si>
  <si>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</si>
  <si>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</si>
  <si>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</si>
  <si>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</si>
  <si>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</si>
  <si>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</si>
  <si>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</si>
  <si>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</si>
  <si>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</si>
  <si>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</si>
  <si>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</si>
  <si>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</si>
  <si>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</si>
  <si>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</si>
  <si>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</si>
  <si>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</si>
  <si>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</si>
  <si>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</si>
  <si>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КЛ2</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</si>
  <si>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</si>
  <si>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</si>
  <si>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</si>
  <si>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</si>
  <si>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</si>
  <si>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Строительство  электроснабжения казино "Шамбала" п.Куликово, Зеленоградского р-на</t>
  </si>
  <si>
    <t>L_21-16</t>
  </si>
  <si>
    <t xml:space="preserve">69-08/21тп </t>
  </si>
  <si>
    <t>п Куликово Зеленоградский район</t>
  </si>
  <si>
    <t>казино "Шамбала"</t>
  </si>
  <si>
    <t>Строительство 2КЛ 15 кВ сеч 3х150 мм2 протяженностью 2х1 км, КТП 15/0,4 кВ</t>
  </si>
  <si>
    <t>3х150</t>
  </si>
  <si>
    <t>п. Куликово Зеленоградского района</t>
  </si>
  <si>
    <t>ПСД</t>
  </si>
  <si>
    <t>ООО" БалтСтройСервис"</t>
  </si>
  <si>
    <t>25.10.2021</t>
  </si>
  <si>
    <t>06.12.2021</t>
  </si>
  <si>
    <t>2 КЛ 15 кВ сеч 3х150 мм2, протяженностью 480 м 495 м</t>
  </si>
  <si>
    <t xml:space="preserve">Строительство 2-х КЛ 15 кВ </t>
  </si>
  <si>
    <t>З</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</si>
  <si>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480 м и 495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</si>
</sst>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2"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633</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632</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639</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647</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4.5453160000000006</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3.8010969999999999</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3" t="str">
        <f>'1. паспорт местоположение'!A5:C5</f>
        <v>Год раскрытия информации: 2022 год</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4" t="str">
        <f>'1. паспорт местоположение'!A9:C9</f>
        <v xml:space="preserve">Акционерное общество "Западная энергетическая компания" </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4" t="str">
        <f>'1. паспорт местоположение'!A12:C12</f>
        <v>L_21-16</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5" t="str">
        <f>'1. паспорт местоположение'!A15:C15</f>
        <v>Строительство  электроснабжения казино "Шамбала" п.Куликово, Зеленоградского р-на</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7" t="s">
        <v>183</v>
      </c>
      <c r="B20" s="497" t="s">
        <v>182</v>
      </c>
      <c r="C20" s="492" t="s">
        <v>181</v>
      </c>
      <c r="D20" s="492"/>
      <c r="E20" s="507" t="s">
        <v>180</v>
      </c>
      <c r="F20" s="507"/>
      <c r="G20" s="497" t="s">
        <v>423</v>
      </c>
      <c r="H20" s="500" t="s">
        <v>424</v>
      </c>
      <c r="I20" s="501"/>
      <c r="J20" s="501"/>
      <c r="K20" s="501"/>
      <c r="L20" s="500" t="s">
        <v>425</v>
      </c>
      <c r="M20" s="501"/>
      <c r="N20" s="501"/>
      <c r="O20" s="501"/>
      <c r="P20" s="500" t="s">
        <v>426</v>
      </c>
      <c r="Q20" s="501"/>
      <c r="R20" s="501"/>
      <c r="S20" s="501"/>
      <c r="T20" s="500" t="s">
        <v>438</v>
      </c>
      <c r="U20" s="501"/>
      <c r="V20" s="501"/>
      <c r="W20" s="501"/>
      <c r="X20" s="500" t="s">
        <v>439</v>
      </c>
      <c r="Y20" s="501"/>
      <c r="Z20" s="501"/>
      <c r="AA20" s="501"/>
      <c r="AB20" s="509" t="s">
        <v>179</v>
      </c>
      <c r="AC20" s="509"/>
      <c r="AD20" s="65"/>
      <c r="AE20" s="65"/>
      <c r="AF20" s="65"/>
    </row>
    <row r="21" spans="1:32" ht="99.75" customHeight="1" x14ac:dyDescent="0.25">
      <c r="A21" s="498"/>
      <c r="B21" s="498"/>
      <c r="C21" s="492"/>
      <c r="D21" s="492"/>
      <c r="E21" s="507"/>
      <c r="F21" s="507"/>
      <c r="G21" s="498"/>
      <c r="H21" s="492" t="s">
        <v>2</v>
      </c>
      <c r="I21" s="492"/>
      <c r="J21" s="492" t="s">
        <v>9</v>
      </c>
      <c r="K21" s="492"/>
      <c r="L21" s="492" t="s">
        <v>2</v>
      </c>
      <c r="M21" s="492"/>
      <c r="N21" s="492" t="s">
        <v>9</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62" t="s">
        <v>2</v>
      </c>
      <c r="D22" s="62" t="s">
        <v>178</v>
      </c>
      <c r="E22" s="64" t="s">
        <v>437</v>
      </c>
      <c r="F22" s="64" t="s">
        <v>482</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5"/>
      <c r="C66" s="495"/>
      <c r="D66" s="495"/>
      <c r="E66" s="495"/>
      <c r="F66" s="495"/>
      <c r="G66" s="495"/>
      <c r="H66" s="495"/>
      <c r="I66" s="49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6"/>
      <c r="C68" s="496"/>
      <c r="D68" s="496"/>
      <c r="E68" s="496"/>
      <c r="F68" s="496"/>
      <c r="G68" s="496"/>
      <c r="H68" s="496"/>
      <c r="I68" s="49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5"/>
      <c r="C70" s="495"/>
      <c r="D70" s="495"/>
      <c r="E70" s="495"/>
      <c r="F70" s="495"/>
      <c r="G70" s="495"/>
      <c r="H70" s="495"/>
      <c r="I70" s="49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5"/>
      <c r="C72" s="495"/>
      <c r="D72" s="495"/>
      <c r="E72" s="495"/>
      <c r="F72" s="495"/>
      <c r="G72" s="495"/>
      <c r="H72" s="495"/>
      <c r="I72" s="49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6"/>
      <c r="C73" s="496"/>
      <c r="D73" s="496"/>
      <c r="E73" s="496"/>
      <c r="F73" s="496"/>
      <c r="G73" s="496"/>
      <c r="H73" s="496"/>
      <c r="I73" s="49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5"/>
      <c r="C74" s="495"/>
      <c r="D74" s="495"/>
      <c r="E74" s="495"/>
      <c r="F74" s="495"/>
      <c r="G74" s="495"/>
      <c r="H74" s="495"/>
      <c r="I74" s="49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2"/>
      <c r="C75" s="502"/>
      <c r="D75" s="502"/>
      <c r="E75" s="502"/>
      <c r="F75" s="502"/>
      <c r="G75" s="502"/>
      <c r="H75" s="502"/>
      <c r="I75" s="50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4"/>
      <c r="C77" s="494"/>
      <c r="D77" s="494"/>
      <c r="E77" s="494"/>
      <c r="F77" s="494"/>
      <c r="G77" s="494"/>
      <c r="H77" s="494"/>
      <c r="I77" s="49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32" zoomScale="70" zoomScaleNormal="70" zoomScaleSheetLayoutView="70" workbookViewId="0">
      <selection activeCell="N57" sqref="N5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4" t="s">
        <v>7</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514"/>
      <c r="AB6" s="514"/>
      <c r="AC6" s="514"/>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5" t="str">
        <f>'6.1. Паспорт сетевой график'!A9</f>
        <v xml:space="preserve">Акционерное общество "Западная энергетическая компания" </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row>
    <row r="9" spans="1:29" ht="18.75" customHeight="1" x14ac:dyDescent="0.25">
      <c r="A9" s="512" t="s">
        <v>6</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5" t="str">
        <f>'6.1. Паспорт сетевой график'!A12</f>
        <v>L_21-16</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row>
    <row r="12" spans="1:29" x14ac:dyDescent="0.25">
      <c r="A12" s="512" t="s">
        <v>5</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1" t="str">
        <f>'6.1. Паспорт сетевой график'!A15</f>
        <v>Строительство  электроснабжения казино "Шамбала" п.Куликово, Зеленоградского р-на</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row>
    <row r="15" spans="1:29" ht="15.75" customHeight="1" x14ac:dyDescent="0.25">
      <c r="A15" s="512" t="s">
        <v>4</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ht="18.75" x14ac:dyDescent="0.3">
      <c r="U17" s="66"/>
      <c r="V17" s="66"/>
      <c r="W17" s="66"/>
      <c r="X17" s="66"/>
      <c r="Y17" s="211"/>
      <c r="Z17" s="211"/>
      <c r="AA17" s="211"/>
      <c r="AB17" s="211"/>
      <c r="AC17" s="211"/>
      <c r="AF17" s="211"/>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ht="49.5" hidden="1" customHeight="1" x14ac:dyDescent="0.25">
      <c r="E19" s="64" t="s">
        <v>597</v>
      </c>
      <c r="F19" s="64" t="s">
        <v>598</v>
      </c>
      <c r="G19" s="64" t="s">
        <v>599</v>
      </c>
      <c r="H19" s="44" t="s">
        <v>600</v>
      </c>
      <c r="L19" s="44" t="s">
        <v>601</v>
      </c>
      <c r="P19" s="44" t="s">
        <v>602</v>
      </c>
    </row>
    <row r="20" spans="1:32" ht="33" customHeight="1" x14ac:dyDescent="0.25">
      <c r="A20" s="497" t="s">
        <v>183</v>
      </c>
      <c r="B20" s="497" t="s">
        <v>182</v>
      </c>
      <c r="C20" s="492" t="s">
        <v>181</v>
      </c>
      <c r="D20" s="492"/>
      <c r="E20" s="513" t="s">
        <v>180</v>
      </c>
      <c r="F20" s="513"/>
      <c r="G20" s="497" t="s">
        <v>613</v>
      </c>
      <c r="H20" s="500">
        <v>2020</v>
      </c>
      <c r="I20" s="501"/>
      <c r="J20" s="501"/>
      <c r="K20" s="510"/>
      <c r="L20" s="500">
        <v>2021</v>
      </c>
      <c r="M20" s="501"/>
      <c r="N20" s="501"/>
      <c r="O20" s="510"/>
      <c r="P20" s="500">
        <v>2022</v>
      </c>
      <c r="Q20" s="501"/>
      <c r="R20" s="501"/>
      <c r="S20" s="510"/>
      <c r="T20" s="500">
        <v>2023</v>
      </c>
      <c r="U20" s="501"/>
      <c r="V20" s="501"/>
      <c r="W20" s="510"/>
      <c r="X20" s="500">
        <v>2024</v>
      </c>
      <c r="Y20" s="501"/>
      <c r="Z20" s="501"/>
      <c r="AA20" s="501"/>
      <c r="AB20" s="509" t="s">
        <v>179</v>
      </c>
      <c r="AC20" s="509"/>
      <c r="AD20" s="403"/>
      <c r="AE20" s="403"/>
      <c r="AF20" s="403"/>
    </row>
    <row r="21" spans="1:32" ht="99.75" customHeight="1" x14ac:dyDescent="0.25">
      <c r="A21" s="498"/>
      <c r="B21" s="498"/>
      <c r="C21" s="492"/>
      <c r="D21" s="492"/>
      <c r="E21" s="513"/>
      <c r="F21" s="513"/>
      <c r="G21" s="498"/>
      <c r="H21" s="492" t="s">
        <v>2</v>
      </c>
      <c r="I21" s="492"/>
      <c r="J21" s="492" t="s">
        <v>617</v>
      </c>
      <c r="K21" s="492"/>
      <c r="L21" s="492" t="s">
        <v>2</v>
      </c>
      <c r="M21" s="492"/>
      <c r="N21" s="492" t="s">
        <v>617</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398" t="s">
        <v>2</v>
      </c>
      <c r="D22" s="398" t="s">
        <v>178</v>
      </c>
      <c r="E22" s="64" t="s">
        <v>545</v>
      </c>
      <c r="F22" s="64" t="s">
        <v>619</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4.5453160000000006</v>
      </c>
      <c r="E24" s="117">
        <f>D24</f>
        <v>4.5453160000000006</v>
      </c>
      <c r="F24" s="119">
        <f>D24-G24-J24-N24</f>
        <v>0</v>
      </c>
      <c r="G24" s="119">
        <v>0</v>
      </c>
      <c r="H24" s="117" t="s">
        <v>537</v>
      </c>
      <c r="I24" s="117">
        <f>SUM(I25:I29)</f>
        <v>0</v>
      </c>
      <c r="J24" s="119">
        <v>0</v>
      </c>
      <c r="K24" s="117">
        <f>SUM(K25:K29)</f>
        <v>0</v>
      </c>
      <c r="L24" s="117" t="s">
        <v>537</v>
      </c>
      <c r="M24" s="117">
        <f t="shared" ref="M24:Y24" si="0">SUM(M25:M29)</f>
        <v>0</v>
      </c>
      <c r="N24" s="117">
        <f>N25+N26+N27+N28+N29</f>
        <v>4.5453160000000006</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4.5453160000000006</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4.5453160000000006</v>
      </c>
      <c r="E28" s="117">
        <f t="shared" si="4"/>
        <v>4.5453160000000006</v>
      </c>
      <c r="F28" s="119">
        <f t="shared" si="5"/>
        <v>0</v>
      </c>
      <c r="G28" s="119">
        <v>0</v>
      </c>
      <c r="H28" s="117" t="s">
        <v>537</v>
      </c>
      <c r="I28" s="119">
        <v>0</v>
      </c>
      <c r="J28" s="119">
        <v>0</v>
      </c>
      <c r="K28" s="119">
        <v>0</v>
      </c>
      <c r="L28" s="117" t="s">
        <v>537</v>
      </c>
      <c r="M28" s="119">
        <v>0</v>
      </c>
      <c r="N28" s="408">
        <v>4.5453160000000006</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4.5453160000000006</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3.8010969999999999</v>
      </c>
      <c r="E30" s="117">
        <f t="shared" si="4"/>
        <v>3.8010969999999999</v>
      </c>
      <c r="F30" s="119">
        <f t="shared" si="5"/>
        <v>0</v>
      </c>
      <c r="G30" s="119">
        <v>0</v>
      </c>
      <c r="H30" s="117" t="s">
        <v>537</v>
      </c>
      <c r="I30" s="117">
        <v>0</v>
      </c>
      <c r="J30" s="119">
        <v>0</v>
      </c>
      <c r="K30" s="117">
        <v>0</v>
      </c>
      <c r="L30" s="117" t="s">
        <v>537</v>
      </c>
      <c r="M30" s="117">
        <v>0</v>
      </c>
      <c r="N30" s="117">
        <v>3.8010969999999999</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3.8010969999999999</v>
      </c>
      <c r="AD30" s="44"/>
      <c r="AE30" s="44"/>
      <c r="AF30" s="44"/>
    </row>
    <row r="31" spans="1:32" x14ac:dyDescent="0.25">
      <c r="A31" s="60" t="s">
        <v>166</v>
      </c>
      <c r="B31" s="33" t="s">
        <v>165</v>
      </c>
      <c r="C31" s="117" t="s">
        <v>537</v>
      </c>
      <c r="D31" s="117">
        <v>0.32650374999999998</v>
      </c>
      <c r="E31" s="117">
        <f t="shared" si="4"/>
        <v>0.32650374999999998</v>
      </c>
      <c r="F31" s="119">
        <f t="shared" si="5"/>
        <v>7.4999999999381117E-7</v>
      </c>
      <c r="G31" s="119">
        <v>0</v>
      </c>
      <c r="H31" s="117" t="s">
        <v>537</v>
      </c>
      <c r="I31" s="119">
        <v>0</v>
      </c>
      <c r="J31" s="119">
        <v>0</v>
      </c>
      <c r="K31" s="119">
        <v>0</v>
      </c>
      <c r="L31" s="117" t="s">
        <v>537</v>
      </c>
      <c r="M31" s="119">
        <v>0</v>
      </c>
      <c r="N31" s="117">
        <v>0.32650299999999999</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0.32650299999999999</v>
      </c>
    </row>
    <row r="32" spans="1:32" ht="31.5" x14ac:dyDescent="0.25">
      <c r="A32" s="60" t="s">
        <v>164</v>
      </c>
      <c r="B32" s="33" t="s">
        <v>163</v>
      </c>
      <c r="C32" s="117" t="s">
        <v>537</v>
      </c>
      <c r="D32" s="117">
        <v>3.4745939999999997</v>
      </c>
      <c r="E32" s="117">
        <f t="shared" si="4"/>
        <v>3.4745939999999997</v>
      </c>
      <c r="F32" s="119">
        <f t="shared" si="5"/>
        <v>0</v>
      </c>
      <c r="G32" s="119">
        <v>0</v>
      </c>
      <c r="H32" s="117" t="s">
        <v>537</v>
      </c>
      <c r="I32" s="119">
        <v>0</v>
      </c>
      <c r="J32" s="119">
        <v>0</v>
      </c>
      <c r="K32" s="119">
        <v>0</v>
      </c>
      <c r="L32" s="117" t="s">
        <v>537</v>
      </c>
      <c r="M32" s="119">
        <v>0</v>
      </c>
      <c r="N32" s="117">
        <v>3.4745939999999997</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3.4745939999999997</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0.97499999999999998</v>
      </c>
      <c r="E41" s="117">
        <f t="shared" si="4"/>
        <v>0.97499999999999998</v>
      </c>
      <c r="F41" s="119">
        <f t="shared" si="5"/>
        <v>0</v>
      </c>
      <c r="G41" s="119">
        <v>0</v>
      </c>
      <c r="H41" s="117" t="s">
        <v>537</v>
      </c>
      <c r="I41" s="119">
        <v>0</v>
      </c>
      <c r="J41" s="119">
        <v>0</v>
      </c>
      <c r="K41" s="119">
        <v>0</v>
      </c>
      <c r="L41" s="117" t="s">
        <v>537</v>
      </c>
      <c r="M41" s="119">
        <v>0</v>
      </c>
      <c r="N41" s="117">
        <f>D41</f>
        <v>0.97499999999999998</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0.97499999999999998</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f>0.48+0.495</f>
        <v>0.97499999999999998</v>
      </c>
      <c r="E49" s="117">
        <f t="shared" si="4"/>
        <v>0.97499999999999998</v>
      </c>
      <c r="F49" s="119">
        <f t="shared" si="5"/>
        <v>0</v>
      </c>
      <c r="G49" s="119">
        <v>0</v>
      </c>
      <c r="H49" s="117" t="s">
        <v>537</v>
      </c>
      <c r="I49" s="119">
        <v>0</v>
      </c>
      <c r="J49" s="119">
        <v>0</v>
      </c>
      <c r="K49" s="119">
        <v>0</v>
      </c>
      <c r="L49" s="117" t="s">
        <v>537</v>
      </c>
      <c r="M49" s="119">
        <v>0</v>
      </c>
      <c r="N49" s="117">
        <f>D49</f>
        <v>0.97499999999999998</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0.97499999999999998</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3.8010977499999998</v>
      </c>
      <c r="E52" s="117">
        <f t="shared" si="4"/>
        <v>3.8010977499999998</v>
      </c>
      <c r="F52" s="119">
        <f t="shared" si="5"/>
        <v>7.4999999988278887E-7</v>
      </c>
      <c r="G52" s="119">
        <v>0</v>
      </c>
      <c r="H52" s="117" t="s">
        <v>537</v>
      </c>
      <c r="I52" s="119">
        <v>0</v>
      </c>
      <c r="J52" s="119">
        <v>0</v>
      </c>
      <c r="K52" s="119">
        <v>0</v>
      </c>
      <c r="L52" s="117" t="s">
        <v>537</v>
      </c>
      <c r="M52" s="119">
        <v>0</v>
      </c>
      <c r="N52" s="117">
        <f>N30</f>
        <v>3.8010969999999999</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3.8010969999999999</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f>D49</f>
        <v>0.97499999999999998</v>
      </c>
      <c r="E56" s="117">
        <f t="shared" si="4"/>
        <v>0.97499999999999998</v>
      </c>
      <c r="F56" s="119">
        <f t="shared" si="5"/>
        <v>0</v>
      </c>
      <c r="G56" s="119">
        <v>0</v>
      </c>
      <c r="H56" s="117" t="s">
        <v>537</v>
      </c>
      <c r="I56" s="119">
        <v>0</v>
      </c>
      <c r="J56" s="119">
        <v>0</v>
      </c>
      <c r="K56" s="119">
        <v>0</v>
      </c>
      <c r="L56" s="117" t="s">
        <v>537</v>
      </c>
      <c r="M56" s="119">
        <v>0</v>
      </c>
      <c r="N56" s="117">
        <f>D56</f>
        <v>0.97499999999999998</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0.97499999999999998</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3.8010969999999999</v>
      </c>
      <c r="E58" s="117">
        <f t="shared" si="4"/>
        <v>3.8010969999999999</v>
      </c>
      <c r="F58" s="119">
        <f t="shared" si="5"/>
        <v>0</v>
      </c>
      <c r="G58" s="119">
        <v>0</v>
      </c>
      <c r="H58" s="117" t="s">
        <v>537</v>
      </c>
      <c r="I58" s="117">
        <v>0</v>
      </c>
      <c r="J58" s="119">
        <v>0</v>
      </c>
      <c r="K58" s="117">
        <v>0</v>
      </c>
      <c r="L58" s="117" t="s">
        <v>537</v>
      </c>
      <c r="M58" s="117">
        <v>0</v>
      </c>
      <c r="N58" s="117">
        <f>N52</f>
        <v>3.8010969999999999</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3.8010969999999999</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5"/>
      <c r="C66" s="495"/>
      <c r="D66" s="495"/>
      <c r="E66" s="495"/>
      <c r="F66" s="495"/>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496"/>
      <c r="C68" s="496"/>
      <c r="D68" s="496"/>
      <c r="E68" s="496"/>
      <c r="F68" s="496"/>
      <c r="G68" s="397"/>
    </row>
    <row r="70" spans="1:28" ht="36.75" customHeight="1" x14ac:dyDescent="0.25">
      <c r="B70" s="495"/>
      <c r="C70" s="495"/>
      <c r="D70" s="495"/>
      <c r="E70" s="495"/>
      <c r="F70" s="495"/>
      <c r="G70" s="396"/>
    </row>
    <row r="71" spans="1:28" x14ac:dyDescent="0.25">
      <c r="B71" s="51"/>
      <c r="C71" s="51"/>
      <c r="D71" s="51"/>
      <c r="E71" s="51"/>
      <c r="F71" s="51"/>
    </row>
    <row r="72" spans="1:28" ht="51" customHeight="1" x14ac:dyDescent="0.25">
      <c r="B72" s="495"/>
      <c r="C72" s="495"/>
      <c r="D72" s="495"/>
      <c r="E72" s="495"/>
      <c r="F72" s="495"/>
      <c r="G72" s="396"/>
    </row>
    <row r="73" spans="1:28" ht="32.25" customHeight="1" x14ac:dyDescent="0.25">
      <c r="B73" s="496"/>
      <c r="C73" s="496"/>
      <c r="D73" s="496"/>
      <c r="E73" s="496"/>
      <c r="F73" s="496"/>
      <c r="G73" s="397"/>
    </row>
    <row r="74" spans="1:28" ht="51.75" customHeight="1" x14ac:dyDescent="0.25">
      <c r="B74" s="495"/>
      <c r="C74" s="495"/>
      <c r="D74" s="495"/>
      <c r="E74" s="495"/>
      <c r="F74" s="495"/>
      <c r="G74" s="396"/>
    </row>
    <row r="75" spans="1:28" ht="21.75" customHeight="1" x14ac:dyDescent="0.25">
      <c r="B75" s="502"/>
      <c r="C75" s="502"/>
      <c r="D75" s="502"/>
      <c r="E75" s="502"/>
      <c r="F75" s="502"/>
      <c r="G75" s="399"/>
    </row>
    <row r="76" spans="1:28" ht="23.25" customHeight="1" x14ac:dyDescent="0.25">
      <c r="B76" s="46"/>
      <c r="C76" s="46"/>
      <c r="D76" s="46"/>
      <c r="E76" s="46"/>
      <c r="F76" s="46"/>
    </row>
    <row r="77" spans="1:28" ht="18.75" customHeight="1" x14ac:dyDescent="0.25">
      <c r="B77" s="494"/>
      <c r="C77" s="494"/>
      <c r="D77" s="494"/>
      <c r="E77" s="494"/>
      <c r="F77" s="494"/>
      <c r="G77" s="39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H19" zoomScale="70" zoomScaleSheetLayoutView="70" workbookViewId="0">
      <selection activeCell="AU26" sqref="AU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ht="15.75" x14ac:dyDescent="0.25">
      <c r="A12" s="426" t="str">
        <f>'1. паспорт местоположение'!A12:C12</f>
        <v>L_21-16</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19" t="str">
        <f>'1. паспорт местоположение'!A15:C15</f>
        <v>Строительство  электроснабжения казино "Шамбала" п.Куликово, Зеленоградского р-на</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80"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0" customFormat="1" x14ac:dyDescent="0.25">
      <c r="A21" s="530" t="s">
        <v>406</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80" customFormat="1" ht="58.5" customHeight="1" x14ac:dyDescent="0.25">
      <c r="A22" s="531" t="s">
        <v>50</v>
      </c>
      <c r="B22" s="535" t="s">
        <v>22</v>
      </c>
      <c r="C22" s="521" t="s">
        <v>49</v>
      </c>
      <c r="D22" s="521" t="s">
        <v>48</v>
      </c>
      <c r="E22" s="538" t="s">
        <v>416</v>
      </c>
      <c r="F22" s="539"/>
      <c r="G22" s="539"/>
      <c r="H22" s="539"/>
      <c r="I22" s="539"/>
      <c r="J22" s="539"/>
      <c r="K22" s="539"/>
      <c r="L22" s="540"/>
      <c r="M22" s="521" t="s">
        <v>47</v>
      </c>
      <c r="N22" s="521" t="s">
        <v>46</v>
      </c>
      <c r="O22" s="521" t="s">
        <v>45</v>
      </c>
      <c r="P22" s="516" t="s">
        <v>228</v>
      </c>
      <c r="Q22" s="516" t="s">
        <v>44</v>
      </c>
      <c r="R22" s="516" t="s">
        <v>43</v>
      </c>
      <c r="S22" s="516" t="s">
        <v>42</v>
      </c>
      <c r="T22" s="516"/>
      <c r="U22" s="541" t="s">
        <v>41</v>
      </c>
      <c r="V22" s="541"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180" customFormat="1" ht="64.5" customHeight="1" x14ac:dyDescent="0.25">
      <c r="A23" s="532"/>
      <c r="B23" s="536"/>
      <c r="C23" s="534"/>
      <c r="D23" s="534"/>
      <c r="E23" s="526" t="s">
        <v>21</v>
      </c>
      <c r="F23" s="517" t="s">
        <v>126</v>
      </c>
      <c r="G23" s="517" t="s">
        <v>125</v>
      </c>
      <c r="H23" s="517" t="s">
        <v>124</v>
      </c>
      <c r="I23" s="519" t="s">
        <v>353</v>
      </c>
      <c r="J23" s="519" t="s">
        <v>354</v>
      </c>
      <c r="K23" s="519" t="s">
        <v>355</v>
      </c>
      <c r="L23" s="517" t="s">
        <v>74</v>
      </c>
      <c r="M23" s="534"/>
      <c r="N23" s="534"/>
      <c r="O23" s="534"/>
      <c r="P23" s="516"/>
      <c r="Q23" s="516"/>
      <c r="R23" s="516"/>
      <c r="S23" s="528" t="s">
        <v>2</v>
      </c>
      <c r="T23" s="528" t="s">
        <v>9</v>
      </c>
      <c r="U23" s="541"/>
      <c r="V23" s="541"/>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42" t="s">
        <v>9</v>
      </c>
      <c r="AR23" s="516"/>
      <c r="AS23" s="516"/>
      <c r="AT23" s="516"/>
      <c r="AU23" s="516"/>
      <c r="AV23" s="525"/>
    </row>
    <row r="24" spans="1:48" s="180" customFormat="1" ht="96.75" customHeight="1" x14ac:dyDescent="0.25">
      <c r="A24" s="533"/>
      <c r="B24" s="537"/>
      <c r="C24" s="522"/>
      <c r="D24" s="522"/>
      <c r="E24" s="527"/>
      <c r="F24" s="518"/>
      <c r="G24" s="518"/>
      <c r="H24" s="518"/>
      <c r="I24" s="520"/>
      <c r="J24" s="520"/>
      <c r="K24" s="520"/>
      <c r="L24" s="518"/>
      <c r="M24" s="522"/>
      <c r="N24" s="522"/>
      <c r="O24" s="522"/>
      <c r="P24" s="516"/>
      <c r="Q24" s="516"/>
      <c r="R24" s="516"/>
      <c r="S24" s="529"/>
      <c r="T24" s="529"/>
      <c r="U24" s="541"/>
      <c r="V24" s="541"/>
      <c r="W24" s="516"/>
      <c r="X24" s="516"/>
      <c r="Y24" s="516"/>
      <c r="Z24" s="516"/>
      <c r="AA24" s="516"/>
      <c r="AB24" s="516"/>
      <c r="AC24" s="516"/>
      <c r="AD24" s="516"/>
      <c r="AE24" s="516"/>
      <c r="AF24" s="181" t="s">
        <v>11</v>
      </c>
      <c r="AG24" s="181" t="s">
        <v>10</v>
      </c>
      <c r="AH24" s="182" t="s">
        <v>2</v>
      </c>
      <c r="AI24" s="182" t="s">
        <v>9</v>
      </c>
      <c r="AJ24" s="522"/>
      <c r="AK24" s="522"/>
      <c r="AL24" s="522"/>
      <c r="AM24" s="522"/>
      <c r="AN24" s="522"/>
      <c r="AO24" s="522"/>
      <c r="AP24" s="522"/>
      <c r="AQ24" s="543"/>
      <c r="AR24" s="516"/>
      <c r="AS24" s="516"/>
      <c r="AT24" s="516"/>
      <c r="AU24" s="516"/>
      <c r="AV24" s="525"/>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t="s">
        <v>640</v>
      </c>
      <c r="R26" s="189"/>
      <c r="S26" s="188"/>
      <c r="T26" s="188"/>
      <c r="U26" s="188"/>
      <c r="V26" s="188"/>
      <c r="W26" s="188"/>
      <c r="X26" s="188"/>
      <c r="Y26" s="188"/>
      <c r="Z26" s="188"/>
      <c r="AA26" s="188"/>
      <c r="AB26" s="188"/>
      <c r="AC26" s="188" t="s">
        <v>641</v>
      </c>
      <c r="AD26" s="187">
        <f>3.474594*1.2</f>
        <v>4.1695127999999997</v>
      </c>
      <c r="AE26" s="187"/>
      <c r="AF26" s="190"/>
      <c r="AG26" s="191"/>
      <c r="AH26" s="192"/>
      <c r="AI26" s="192"/>
      <c r="AJ26" s="192"/>
      <c r="AK26" s="192"/>
      <c r="AL26" s="187"/>
      <c r="AM26" s="187"/>
      <c r="AN26" s="187"/>
      <c r="AO26" s="187"/>
      <c r="AP26" s="229"/>
      <c r="AQ26" s="229" t="s">
        <v>642</v>
      </c>
      <c r="AR26" s="229"/>
      <c r="AS26" s="229" t="s">
        <v>642</v>
      </c>
      <c r="AT26" s="229" t="s">
        <v>643</v>
      </c>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9" sqref="B29"/>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101"/>
      <c r="B6" s="101"/>
      <c r="C6" s="101"/>
      <c r="D6" s="101"/>
      <c r="E6" s="101"/>
      <c r="F6" s="101"/>
      <c r="G6" s="101"/>
      <c r="H6" s="101"/>
    </row>
    <row r="7" spans="1:8" ht="18.75" x14ac:dyDescent="0.25">
      <c r="A7" s="421" t="s">
        <v>7</v>
      </c>
      <c r="B7" s="421"/>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5" t="s">
        <v>6</v>
      </c>
      <c r="B10" s="425"/>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L_21-16</v>
      </c>
      <c r="B12" s="419"/>
      <c r="C12" s="140"/>
      <c r="D12" s="140"/>
      <c r="E12" s="140"/>
      <c r="F12" s="140"/>
      <c r="G12" s="140"/>
      <c r="H12" s="140"/>
    </row>
    <row r="13" spans="1:8" x14ac:dyDescent="0.25">
      <c r="A13" s="425" t="s">
        <v>5</v>
      </c>
      <c r="B13" s="425"/>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электроснабжения казино "Шамбала" п.Куликово, Зеленоградского р-на</v>
      </c>
      <c r="B15" s="454"/>
      <c r="C15" s="140"/>
      <c r="D15" s="140"/>
      <c r="E15" s="140"/>
      <c r="F15" s="140"/>
      <c r="G15" s="140"/>
      <c r="H15" s="140"/>
    </row>
    <row r="16" spans="1:8" x14ac:dyDescent="0.25">
      <c r="A16" s="425" t="s">
        <v>4</v>
      </c>
      <c r="B16" s="425"/>
      <c r="C16" s="141"/>
      <c r="D16" s="141"/>
      <c r="E16" s="141"/>
      <c r="F16" s="141"/>
      <c r="G16" s="141"/>
      <c r="H16" s="141"/>
    </row>
    <row r="17" spans="1:2" x14ac:dyDescent="0.25">
      <c r="B17" s="75"/>
    </row>
    <row r="18" spans="1:2" ht="33.75" customHeight="1" x14ac:dyDescent="0.25">
      <c r="A18" s="544" t="s">
        <v>407</v>
      </c>
      <c r="B18" s="545"/>
    </row>
    <row r="19" spans="1:2" x14ac:dyDescent="0.25">
      <c r="B19" s="32"/>
    </row>
    <row r="20" spans="1:2" ht="16.5" thickBot="1" x14ac:dyDescent="0.3">
      <c r="B20" s="76"/>
    </row>
    <row r="21" spans="1:2" ht="34.15" customHeight="1" thickBot="1" x14ac:dyDescent="0.3">
      <c r="A21" s="77" t="s">
        <v>304</v>
      </c>
      <c r="B21" s="384" t="str">
        <f>A15</f>
        <v>Строительство  электроснабжения казино "Шамбала" п.Куликово, Зеленоградского р-на</v>
      </c>
    </row>
    <row r="22" spans="1:2" ht="30" customHeight="1" thickBot="1" x14ac:dyDescent="0.3">
      <c r="A22" s="77" t="s">
        <v>305</v>
      </c>
      <c r="B22" s="78" t="str">
        <f>'1. паспорт местоположение'!C27</f>
        <v>п. Куликово Зеленоградского района</v>
      </c>
    </row>
    <row r="23" spans="1:2" ht="16.5" thickBot="1" x14ac:dyDescent="0.3">
      <c r="A23" s="77" t="s">
        <v>289</v>
      </c>
      <c r="B23" s="79" t="s">
        <v>629</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44536</v>
      </c>
    </row>
    <row r="26" spans="1:2" ht="16.5" thickBot="1" x14ac:dyDescent="0.3">
      <c r="A26" s="81" t="s">
        <v>308</v>
      </c>
      <c r="B26" s="385" t="s">
        <v>630</v>
      </c>
    </row>
    <row r="27" spans="1:2" ht="29.25" thickBot="1" x14ac:dyDescent="0.3">
      <c r="A27" s="88" t="s">
        <v>612</v>
      </c>
      <c r="B27" s="386">
        <f>'6.2. Паспорт фин осв ввод'!D24</f>
        <v>4.5453160000000006</v>
      </c>
    </row>
    <row r="28" spans="1:2" ht="42" customHeight="1" thickBot="1" x14ac:dyDescent="0.3">
      <c r="A28" s="83" t="s">
        <v>309</v>
      </c>
      <c r="B28" s="83" t="s">
        <v>631</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44499</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6" t="s">
        <v>542</v>
      </c>
    </row>
    <row r="138" spans="1:2" x14ac:dyDescent="0.25">
      <c r="A138" s="86" t="s">
        <v>346</v>
      </c>
      <c r="B138" s="547"/>
    </row>
    <row r="139" spans="1:2" x14ac:dyDescent="0.25">
      <c r="A139" s="86" t="s">
        <v>347</v>
      </c>
      <c r="B139" s="547"/>
    </row>
    <row r="140" spans="1:2" x14ac:dyDescent="0.25">
      <c r="A140" s="86" t="s">
        <v>348</v>
      </c>
      <c r="B140" s="547"/>
    </row>
    <row r="141" spans="1:2" x14ac:dyDescent="0.25">
      <c r="A141" s="86" t="s">
        <v>349</v>
      </c>
      <c r="B141" s="547"/>
    </row>
    <row r="142" spans="1:2" ht="16.5" thickBot="1" x14ac:dyDescent="0.3">
      <c r="A142" s="96" t="s">
        <v>350</v>
      </c>
      <c r="B142" s="548"/>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L19" zoomScale="70" zoomScaleSheetLayoutView="70" workbookViewId="0">
      <selection activeCell="Q24" sqref="Q24"/>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1" t="s">
        <v>7</v>
      </c>
      <c r="B6" s="421"/>
      <c r="C6" s="421"/>
      <c r="D6" s="421"/>
      <c r="E6" s="421"/>
      <c r="F6" s="421"/>
      <c r="G6" s="421"/>
      <c r="H6" s="421"/>
      <c r="I6" s="421"/>
      <c r="J6" s="421"/>
      <c r="K6" s="421"/>
      <c r="L6" s="421"/>
      <c r="M6" s="421"/>
      <c r="N6" s="421"/>
      <c r="O6" s="421"/>
      <c r="P6" s="421"/>
      <c r="Q6" s="421"/>
      <c r="R6" s="421"/>
      <c r="S6" s="421"/>
      <c r="T6" s="138"/>
      <c r="U6" s="138"/>
      <c r="V6" s="138"/>
      <c r="W6" s="138"/>
      <c r="X6" s="138"/>
      <c r="Y6" s="138"/>
      <c r="Z6" s="138"/>
      <c r="AA6" s="138"/>
      <c r="AB6" s="138"/>
    </row>
    <row r="7" spans="1:28" s="17" customFormat="1" ht="18.75" x14ac:dyDescent="0.2">
      <c r="A7" s="421"/>
      <c r="B7" s="421"/>
      <c r="C7" s="421"/>
      <c r="D7" s="421"/>
      <c r="E7" s="421"/>
      <c r="F7" s="421"/>
      <c r="G7" s="421"/>
      <c r="H7" s="421"/>
      <c r="I7" s="421"/>
      <c r="J7" s="421"/>
      <c r="K7" s="421"/>
      <c r="L7" s="421"/>
      <c r="M7" s="421"/>
      <c r="N7" s="421"/>
      <c r="O7" s="421"/>
      <c r="P7" s="421"/>
      <c r="Q7" s="421"/>
      <c r="R7" s="421"/>
      <c r="S7" s="421"/>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5" t="s">
        <v>6</v>
      </c>
      <c r="B9" s="425"/>
      <c r="C9" s="425"/>
      <c r="D9" s="425"/>
      <c r="E9" s="425"/>
      <c r="F9" s="425"/>
      <c r="G9" s="425"/>
      <c r="H9" s="425"/>
      <c r="I9" s="425"/>
      <c r="J9" s="425"/>
      <c r="K9" s="425"/>
      <c r="L9" s="425"/>
      <c r="M9" s="425"/>
      <c r="N9" s="425"/>
      <c r="O9" s="425"/>
      <c r="P9" s="425"/>
      <c r="Q9" s="425"/>
      <c r="R9" s="425"/>
      <c r="S9" s="425"/>
      <c r="T9" s="138"/>
      <c r="U9" s="138"/>
      <c r="V9" s="138"/>
      <c r="W9" s="138"/>
      <c r="X9" s="138"/>
      <c r="Y9" s="138"/>
      <c r="Z9" s="138"/>
      <c r="AA9" s="138"/>
      <c r="AB9" s="138"/>
    </row>
    <row r="10" spans="1:28" s="17" customFormat="1" ht="18.75" x14ac:dyDescent="0.2">
      <c r="A10" s="421"/>
      <c r="B10" s="421"/>
      <c r="C10" s="421"/>
      <c r="D10" s="421"/>
      <c r="E10" s="421"/>
      <c r="F10" s="421"/>
      <c r="G10" s="421"/>
      <c r="H10" s="421"/>
      <c r="I10" s="421"/>
      <c r="J10" s="421"/>
      <c r="K10" s="421"/>
      <c r="L10" s="421"/>
      <c r="M10" s="421"/>
      <c r="N10" s="421"/>
      <c r="O10" s="421"/>
      <c r="P10" s="421"/>
      <c r="Q10" s="421"/>
      <c r="R10" s="421"/>
      <c r="S10" s="421"/>
      <c r="T10" s="138"/>
      <c r="U10" s="138"/>
      <c r="V10" s="138"/>
      <c r="W10" s="138"/>
      <c r="X10" s="138"/>
      <c r="Y10" s="138"/>
      <c r="Z10" s="138"/>
      <c r="AA10" s="138"/>
      <c r="AB10" s="138"/>
    </row>
    <row r="11" spans="1:28" s="17" customFormat="1" ht="18.75" x14ac:dyDescent="0.2">
      <c r="A11" s="426" t="str">
        <f>'1. паспорт местоположение'!A12:C12</f>
        <v>L_21-16</v>
      </c>
      <c r="B11" s="426"/>
      <c r="C11" s="426"/>
      <c r="D11" s="426"/>
      <c r="E11" s="426"/>
      <c r="F11" s="426"/>
      <c r="G11" s="426"/>
      <c r="H11" s="426"/>
      <c r="I11" s="426"/>
      <c r="J11" s="426"/>
      <c r="K11" s="426"/>
      <c r="L11" s="426"/>
      <c r="M11" s="426"/>
      <c r="N11" s="426"/>
      <c r="O11" s="426"/>
      <c r="P11" s="426"/>
      <c r="Q11" s="426"/>
      <c r="R11" s="426"/>
      <c r="S11" s="426"/>
      <c r="T11" s="138"/>
      <c r="U11" s="138"/>
      <c r="V11" s="138"/>
      <c r="W11" s="138"/>
      <c r="X11" s="138"/>
      <c r="Y11" s="138"/>
      <c r="Z11" s="138"/>
      <c r="AA11" s="138"/>
      <c r="AB11" s="138"/>
    </row>
    <row r="12" spans="1:28" s="17"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38"/>
      <c r="U12" s="138"/>
      <c r="V12" s="138"/>
      <c r="W12" s="138"/>
      <c r="X12" s="138"/>
      <c r="Y12" s="138"/>
      <c r="Z12" s="138"/>
      <c r="AA12" s="138"/>
      <c r="AB12" s="138"/>
    </row>
    <row r="13" spans="1:28" s="136"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39"/>
      <c r="U13" s="139"/>
      <c r="V13" s="139"/>
      <c r="W13" s="139"/>
      <c r="X13" s="139"/>
      <c r="Y13" s="139"/>
      <c r="Z13" s="139"/>
      <c r="AA13" s="139"/>
      <c r="AB13" s="139"/>
    </row>
    <row r="14" spans="1:28" s="137" customFormat="1" ht="15.75" x14ac:dyDescent="0.2">
      <c r="A14" s="419" t="str">
        <f>'1. паспорт местоположение'!A15:C15</f>
        <v>Строительство  электроснабжения казино "Шамбала" п.Куликово, Зеленоградского р-на</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5" t="s">
        <v>4</v>
      </c>
      <c r="B15" s="425"/>
      <c r="C15" s="425"/>
      <c r="D15" s="425"/>
      <c r="E15" s="425"/>
      <c r="F15" s="425"/>
      <c r="G15" s="425"/>
      <c r="H15" s="425"/>
      <c r="I15" s="425"/>
      <c r="J15" s="425"/>
      <c r="K15" s="425"/>
      <c r="L15" s="425"/>
      <c r="M15" s="425"/>
      <c r="N15" s="425"/>
      <c r="O15" s="425"/>
      <c r="P15" s="425"/>
      <c r="Q15" s="425"/>
      <c r="R15" s="425"/>
      <c r="S15" s="425"/>
      <c r="T15" s="141"/>
      <c r="U15" s="141"/>
      <c r="V15" s="141"/>
      <c r="W15" s="141"/>
      <c r="X15" s="141"/>
      <c r="Y15" s="141"/>
      <c r="Z15" s="141"/>
      <c r="AA15" s="141"/>
      <c r="AB15" s="141"/>
    </row>
    <row r="16" spans="1:28" s="137"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142"/>
      <c r="U16" s="142"/>
      <c r="V16" s="142"/>
      <c r="W16" s="142"/>
      <c r="X16" s="142"/>
      <c r="Y16" s="142"/>
    </row>
    <row r="17" spans="1:28" s="137" customFormat="1" ht="45.75" customHeight="1" x14ac:dyDescent="0.2">
      <c r="A17" s="429" t="s">
        <v>382</v>
      </c>
      <c r="B17" s="429"/>
      <c r="C17" s="429"/>
      <c r="D17" s="429"/>
      <c r="E17" s="429"/>
      <c r="F17" s="429"/>
      <c r="G17" s="429"/>
      <c r="H17" s="429"/>
      <c r="I17" s="429"/>
      <c r="J17" s="429"/>
      <c r="K17" s="429"/>
      <c r="L17" s="429"/>
      <c r="M17" s="429"/>
      <c r="N17" s="429"/>
      <c r="O17" s="429"/>
      <c r="P17" s="429"/>
      <c r="Q17" s="429"/>
      <c r="R17" s="429"/>
      <c r="S17" s="429"/>
      <c r="T17" s="143"/>
      <c r="U17" s="143"/>
      <c r="V17" s="143"/>
      <c r="W17" s="143"/>
      <c r="X17" s="143"/>
      <c r="Y17" s="143"/>
      <c r="Z17" s="143"/>
      <c r="AA17" s="143"/>
      <c r="AB17" s="143"/>
    </row>
    <row r="18" spans="1:28" s="137"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142"/>
      <c r="U18" s="142"/>
      <c r="V18" s="142"/>
      <c r="W18" s="142"/>
      <c r="X18" s="142"/>
      <c r="Y18" s="142"/>
    </row>
    <row r="19" spans="1:28" s="137" customFormat="1" ht="54" customHeight="1" x14ac:dyDescent="0.2">
      <c r="A19" s="420" t="s">
        <v>3</v>
      </c>
      <c r="B19" s="420" t="s">
        <v>94</v>
      </c>
      <c r="C19" s="422" t="s">
        <v>303</v>
      </c>
      <c r="D19" s="420" t="s">
        <v>302</v>
      </c>
      <c r="E19" s="420" t="s">
        <v>93</v>
      </c>
      <c r="F19" s="420" t="s">
        <v>92</v>
      </c>
      <c r="G19" s="420" t="s">
        <v>298</v>
      </c>
      <c r="H19" s="420" t="s">
        <v>91</v>
      </c>
      <c r="I19" s="420" t="s">
        <v>90</v>
      </c>
      <c r="J19" s="420" t="s">
        <v>89</v>
      </c>
      <c r="K19" s="420" t="s">
        <v>88</v>
      </c>
      <c r="L19" s="420" t="s">
        <v>87</v>
      </c>
      <c r="M19" s="420" t="s">
        <v>86</v>
      </c>
      <c r="N19" s="420" t="s">
        <v>85</v>
      </c>
      <c r="O19" s="420" t="s">
        <v>84</v>
      </c>
      <c r="P19" s="420" t="s">
        <v>83</v>
      </c>
      <c r="Q19" s="420" t="s">
        <v>301</v>
      </c>
      <c r="R19" s="420"/>
      <c r="S19" s="424" t="s">
        <v>376</v>
      </c>
      <c r="T19" s="142"/>
      <c r="U19" s="142"/>
      <c r="V19" s="142"/>
      <c r="W19" s="142"/>
      <c r="X19" s="142"/>
      <c r="Y19" s="142"/>
    </row>
    <row r="20" spans="1:28" s="137" customFormat="1" ht="180.75" customHeight="1" x14ac:dyDescent="0.2">
      <c r="A20" s="420"/>
      <c r="B20" s="420"/>
      <c r="C20" s="423"/>
      <c r="D20" s="420"/>
      <c r="E20" s="420"/>
      <c r="F20" s="420"/>
      <c r="G20" s="420"/>
      <c r="H20" s="420"/>
      <c r="I20" s="420"/>
      <c r="J20" s="420"/>
      <c r="K20" s="420"/>
      <c r="L20" s="420"/>
      <c r="M20" s="420"/>
      <c r="N20" s="420"/>
      <c r="O20" s="420"/>
      <c r="P20" s="420"/>
      <c r="Q20" s="144" t="s">
        <v>299</v>
      </c>
      <c r="R20" s="145" t="s">
        <v>300</v>
      </c>
      <c r="S20" s="424"/>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634</v>
      </c>
      <c r="C22" s="230" t="s">
        <v>627</v>
      </c>
      <c r="D22" s="230" t="s">
        <v>622</v>
      </c>
      <c r="E22" s="230" t="s">
        <v>635</v>
      </c>
      <c r="F22" s="230" t="s">
        <v>537</v>
      </c>
      <c r="G22" s="230" t="s">
        <v>636</v>
      </c>
      <c r="H22" s="409">
        <v>1.2</v>
      </c>
      <c r="I22" s="230">
        <v>0</v>
      </c>
      <c r="J22" s="409">
        <f>H22</f>
        <v>1.2</v>
      </c>
      <c r="K22" s="230" t="s">
        <v>623</v>
      </c>
      <c r="L22" s="230">
        <v>2</v>
      </c>
      <c r="M22" s="230"/>
      <c r="N22" s="230"/>
      <c r="O22" s="230" t="s">
        <v>537</v>
      </c>
      <c r="P22" s="230" t="s">
        <v>537</v>
      </c>
      <c r="Q22" s="378" t="s">
        <v>637</v>
      </c>
      <c r="R22" s="231" t="s">
        <v>537</v>
      </c>
      <c r="S22" s="407">
        <v>18.067224</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17" zoomScale="80" zoomScaleNormal="60" zoomScaleSheetLayoutView="80" workbookViewId="0">
      <selection activeCell="B25" sqref="B25:O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7"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7"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7" customFormat="1" ht="18.75" customHeight="1" x14ac:dyDescent="0.2">
      <c r="A13" s="426" t="str">
        <f>'1. паспорт местоположение'!A12:C12</f>
        <v>L_21-16</v>
      </c>
      <c r="B13" s="426"/>
      <c r="C13" s="426"/>
      <c r="D13" s="426"/>
      <c r="E13" s="426"/>
      <c r="F13" s="426"/>
      <c r="G13" s="426"/>
      <c r="H13" s="426"/>
      <c r="I13" s="426"/>
      <c r="J13" s="426"/>
      <c r="K13" s="426"/>
      <c r="L13" s="426"/>
      <c r="M13" s="426"/>
      <c r="N13" s="426"/>
      <c r="O13" s="426"/>
      <c r="P13" s="426"/>
      <c r="Q13" s="426"/>
      <c r="R13" s="426"/>
      <c r="S13" s="426"/>
      <c r="T13" s="426"/>
    </row>
    <row r="14" spans="1:20" s="17"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136"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37" customFormat="1" x14ac:dyDescent="0.2">
      <c r="A16" s="419" t="str">
        <f>'1. паспорт местоположение'!A15:C15</f>
        <v>Строительство  электроснабжения казино "Шамбала" п.Куликово, Зеленоградского р-на</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20" s="137"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137" customFormat="1" ht="15" customHeight="1" x14ac:dyDescent="0.2">
      <c r="A19" s="445" t="s">
        <v>387</v>
      </c>
      <c r="B19" s="445"/>
      <c r="C19" s="445"/>
      <c r="D19" s="445"/>
      <c r="E19" s="445"/>
      <c r="F19" s="445"/>
      <c r="G19" s="445"/>
      <c r="H19" s="445"/>
      <c r="I19" s="445"/>
      <c r="J19" s="445"/>
      <c r="K19" s="445"/>
      <c r="L19" s="445"/>
      <c r="M19" s="445"/>
      <c r="N19" s="445"/>
      <c r="O19" s="445"/>
      <c r="P19" s="445"/>
      <c r="Q19" s="445"/>
      <c r="R19" s="445"/>
      <c r="S19" s="445"/>
      <c r="T19" s="445"/>
    </row>
    <row r="20" spans="1:20" s="41"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3</v>
      </c>
      <c r="B21" s="432" t="s">
        <v>200</v>
      </c>
      <c r="C21" s="433"/>
      <c r="D21" s="436" t="s">
        <v>116</v>
      </c>
      <c r="E21" s="432" t="s">
        <v>415</v>
      </c>
      <c r="F21" s="433"/>
      <c r="G21" s="432" t="s">
        <v>239</v>
      </c>
      <c r="H21" s="433"/>
      <c r="I21" s="432" t="s">
        <v>115</v>
      </c>
      <c r="J21" s="433"/>
      <c r="K21" s="436" t="s">
        <v>114</v>
      </c>
      <c r="L21" s="432" t="s">
        <v>113</v>
      </c>
      <c r="M21" s="433"/>
      <c r="N21" s="432" t="s">
        <v>441</v>
      </c>
      <c r="O21" s="433"/>
      <c r="P21" s="436" t="s">
        <v>112</v>
      </c>
      <c r="Q21" s="442" t="s">
        <v>111</v>
      </c>
      <c r="R21" s="443"/>
      <c r="S21" s="442" t="s">
        <v>110</v>
      </c>
      <c r="T21" s="444"/>
    </row>
    <row r="22" spans="1:20" ht="204.75" customHeight="1" x14ac:dyDescent="0.25">
      <c r="A22" s="440"/>
      <c r="B22" s="434"/>
      <c r="C22" s="435"/>
      <c r="D22" s="438"/>
      <c r="E22" s="434"/>
      <c r="F22" s="435"/>
      <c r="G22" s="434"/>
      <c r="H22" s="435"/>
      <c r="I22" s="434"/>
      <c r="J22" s="435"/>
      <c r="K22" s="437"/>
      <c r="L22" s="434"/>
      <c r="M22" s="435"/>
      <c r="N22" s="434"/>
      <c r="O22" s="435"/>
      <c r="P22" s="437"/>
      <c r="Q22" s="72" t="s">
        <v>109</v>
      </c>
      <c r="R22" s="72" t="s">
        <v>386</v>
      </c>
      <c r="S22" s="72" t="s">
        <v>108</v>
      </c>
      <c r="T22" s="72" t="s">
        <v>107</v>
      </c>
    </row>
    <row r="23" spans="1:20" ht="51.75" customHeight="1" x14ac:dyDescent="0.25">
      <c r="A23" s="441"/>
      <c r="B23" s="104" t="s">
        <v>105</v>
      </c>
      <c r="C23" s="104" t="s">
        <v>106</v>
      </c>
      <c r="D23" s="437"/>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c r="B25" s="380"/>
      <c r="C25" s="380"/>
      <c r="D25" s="380"/>
      <c r="E25" s="382"/>
      <c r="F25" s="382"/>
      <c r="G25" s="382"/>
      <c r="H25" s="382"/>
      <c r="I25" s="382"/>
      <c r="J25" s="382"/>
      <c r="K25" s="382"/>
      <c r="L25" s="382"/>
      <c r="M25" s="381"/>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x14ac:dyDescent="0.2">
      <c r="A27" s="380"/>
      <c r="B27" s="380"/>
      <c r="C27" s="380"/>
      <c r="D27" s="380"/>
      <c r="E27" s="382"/>
      <c r="F27" s="382"/>
      <c r="G27" s="382"/>
      <c r="H27" s="382"/>
      <c r="I27" s="382"/>
      <c r="J27" s="382"/>
      <c r="K27" s="382"/>
      <c r="L27" s="382"/>
      <c r="M27" s="381"/>
      <c r="N27" s="382"/>
      <c r="O27" s="382"/>
      <c r="P27" s="382"/>
      <c r="Q27" s="382"/>
      <c r="R27" s="382"/>
      <c r="S27" s="382"/>
      <c r="T27" s="382"/>
    </row>
    <row r="28" spans="1:20" s="40" customFormat="1" x14ac:dyDescent="0.2">
      <c r="A28" s="380"/>
      <c r="B28" s="380"/>
      <c r="C28" s="380"/>
      <c r="D28" s="380"/>
      <c r="E28" s="382"/>
      <c r="F28" s="382"/>
      <c r="G28" s="382"/>
      <c r="H28" s="382"/>
      <c r="I28" s="382"/>
      <c r="J28" s="382"/>
      <c r="K28" s="382"/>
      <c r="L28" s="382"/>
      <c r="M28" s="381"/>
      <c r="N28" s="382"/>
      <c r="O28" s="382"/>
      <c r="P28" s="382"/>
      <c r="Q28" s="382"/>
      <c r="R28" s="382"/>
      <c r="S28" s="382"/>
      <c r="T28" s="382"/>
    </row>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x14ac:dyDescent="0.25">
      <c r="B43" s="38" t="s">
        <v>104</v>
      </c>
      <c r="C43" s="38"/>
      <c r="D43" s="38"/>
      <c r="E43" s="38"/>
      <c r="F43" s="38"/>
      <c r="G43" s="38"/>
      <c r="H43" s="38"/>
      <c r="I43" s="38"/>
      <c r="J43" s="38"/>
      <c r="K43" s="38"/>
      <c r="L43" s="38"/>
      <c r="M43" s="38"/>
      <c r="N43" s="38"/>
      <c r="O43" s="38"/>
      <c r="P43" s="38"/>
      <c r="Q43" s="38"/>
      <c r="R43" s="38"/>
    </row>
    <row r="44" spans="2:113" x14ac:dyDescent="0.25">
      <c r="B44" s="431" t="s">
        <v>421</v>
      </c>
      <c r="C44" s="431"/>
      <c r="D44" s="431"/>
      <c r="E44" s="431"/>
      <c r="F44" s="431"/>
      <c r="G44" s="431"/>
      <c r="H44" s="431"/>
      <c r="I44" s="431"/>
      <c r="J44" s="431"/>
      <c r="K44" s="431"/>
      <c r="L44" s="431"/>
      <c r="M44" s="431"/>
      <c r="N44" s="431"/>
      <c r="O44" s="431"/>
      <c r="P44" s="431"/>
      <c r="Q44" s="431"/>
      <c r="R44" s="431"/>
    </row>
    <row r="45" spans="2:113" x14ac:dyDescent="0.25">
      <c r="B45" s="38"/>
      <c r="C45" s="38"/>
      <c r="D45" s="38"/>
      <c r="E45" s="38"/>
      <c r="F45" s="38" t="s">
        <v>611</v>
      </c>
      <c r="G45" s="38"/>
      <c r="H45" s="38"/>
      <c r="I45" s="38"/>
      <c r="J45" s="38"/>
      <c r="K45" s="38"/>
      <c r="L45" s="38"/>
      <c r="M45" s="38"/>
      <c r="N45" s="38"/>
      <c r="O45" s="38"/>
      <c r="P45" s="38"/>
      <c r="Q45" s="38"/>
      <c r="R45" s="38"/>
      <c r="S45" s="38"/>
      <c r="T45" s="38"/>
      <c r="U45" s="38"/>
      <c r="V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2:113" x14ac:dyDescent="0.25">
      <c r="B46" s="37" t="s">
        <v>385</v>
      </c>
      <c r="C46" s="37"/>
      <c r="D46" s="37"/>
      <c r="E46" s="37"/>
      <c r="F46" s="35"/>
      <c r="G46" s="35"/>
      <c r="H46" s="37"/>
      <c r="I46" s="37"/>
      <c r="J46" s="37"/>
      <c r="K46" s="37"/>
      <c r="L46" s="37"/>
      <c r="M46" s="37"/>
      <c r="N46" s="37"/>
      <c r="O46" s="37"/>
      <c r="P46" s="37"/>
      <c r="Q46" s="37"/>
      <c r="R46" s="37"/>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row>
    <row r="47" spans="2:113" x14ac:dyDescent="0.25">
      <c r="B47" s="37" t="s">
        <v>103</v>
      </c>
      <c r="C47" s="37"/>
      <c r="D47" s="37"/>
      <c r="E47" s="37"/>
      <c r="F47" s="35"/>
      <c r="G47" s="35"/>
      <c r="H47" s="37"/>
      <c r="I47" s="37"/>
      <c r="J47" s="37"/>
      <c r="K47" s="37"/>
      <c r="L47" s="37"/>
      <c r="M47" s="37"/>
      <c r="N47" s="37"/>
      <c r="O47" s="37"/>
      <c r="P47" s="37"/>
      <c r="Q47" s="37"/>
      <c r="R47" s="37"/>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2:113" s="35" customFormat="1" x14ac:dyDescent="0.25">
      <c r="B48" s="37" t="s">
        <v>102</v>
      </c>
      <c r="C48" s="37"/>
      <c r="D48" s="37"/>
      <c r="E48" s="37"/>
      <c r="H48" s="37"/>
      <c r="I48" s="37"/>
      <c r="J48" s="37"/>
      <c r="K48" s="37"/>
      <c r="L48" s="37"/>
      <c r="M48" s="37"/>
      <c r="N48" s="37"/>
      <c r="O48" s="37"/>
      <c r="P48" s="37"/>
      <c r="Q48" s="37"/>
      <c r="R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s="35" customFormat="1" x14ac:dyDescent="0.25">
      <c r="B49" s="37" t="s">
        <v>101</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100</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99</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98</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97</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96</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95</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4:R44"/>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abSelected="1" view="pageBreakPreview" topLeftCell="A16" zoomScale="80" zoomScaleSheetLayoutView="80" workbookViewId="0">
      <selection activeCell="S27" sqref="S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L_21-16</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электроснабжения казино "Шамбала" п.Куликово, Зеленоградского р-на</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389</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1" customFormat="1" ht="21" customHeight="1" x14ac:dyDescent="0.25"/>
    <row r="21" spans="1:27" ht="15.75" customHeight="1" x14ac:dyDescent="0.25">
      <c r="A21" s="447" t="s">
        <v>3</v>
      </c>
      <c r="B21" s="450" t="s">
        <v>396</v>
      </c>
      <c r="C21" s="451"/>
      <c r="D21" s="450" t="s">
        <v>398</v>
      </c>
      <c r="E21" s="451"/>
      <c r="F21" s="442" t="s">
        <v>88</v>
      </c>
      <c r="G21" s="444"/>
      <c r="H21" s="444"/>
      <c r="I21" s="443"/>
      <c r="J21" s="447" t="s">
        <v>399</v>
      </c>
      <c r="K21" s="450" t="s">
        <v>400</v>
      </c>
      <c r="L21" s="451"/>
      <c r="M21" s="450" t="s">
        <v>401</v>
      </c>
      <c r="N21" s="451"/>
      <c r="O21" s="450" t="s">
        <v>388</v>
      </c>
      <c r="P21" s="451"/>
      <c r="Q21" s="450" t="s">
        <v>121</v>
      </c>
      <c r="R21" s="451"/>
      <c r="S21" s="447" t="s">
        <v>120</v>
      </c>
      <c r="T21" s="447" t="s">
        <v>402</v>
      </c>
      <c r="U21" s="447" t="s">
        <v>397</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72" t="s">
        <v>109</v>
      </c>
      <c r="Y22" s="72" t="s">
        <v>386</v>
      </c>
      <c r="Z22" s="72" t="s">
        <v>108</v>
      </c>
      <c r="AA22" s="72" t="s">
        <v>107</v>
      </c>
    </row>
    <row r="23" spans="1:27" ht="60" customHeight="1" x14ac:dyDescent="0.25">
      <c r="A23" s="449"/>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c r="K25" s="114" t="s">
        <v>537</v>
      </c>
      <c r="L25" s="114" t="s">
        <v>537</v>
      </c>
      <c r="M25" s="114" t="s">
        <v>537</v>
      </c>
      <c r="N25" s="114" t="s">
        <v>638</v>
      </c>
      <c r="O25" s="114" t="s">
        <v>537</v>
      </c>
      <c r="P25" s="114" t="s">
        <v>585</v>
      </c>
      <c r="Q25" s="114" t="s">
        <v>537</v>
      </c>
      <c r="R25" s="114">
        <v>0.48</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626</v>
      </c>
      <c r="D26" s="114"/>
      <c r="E26" s="114" t="s">
        <v>537</v>
      </c>
      <c r="F26" s="114" t="s">
        <v>537</v>
      </c>
      <c r="G26" s="114">
        <v>15</v>
      </c>
      <c r="H26" s="114" t="s">
        <v>537</v>
      </c>
      <c r="I26" s="114">
        <v>15</v>
      </c>
      <c r="J26" s="114"/>
      <c r="K26" s="114" t="s">
        <v>537</v>
      </c>
      <c r="L26" s="114" t="s">
        <v>537</v>
      </c>
      <c r="M26" s="114" t="s">
        <v>537</v>
      </c>
      <c r="N26" s="114" t="s">
        <v>638</v>
      </c>
      <c r="O26" s="114" t="s">
        <v>537</v>
      </c>
      <c r="P26" s="114" t="s">
        <v>585</v>
      </c>
      <c r="Q26" s="114" t="s">
        <v>537</v>
      </c>
      <c r="R26" s="114">
        <v>0.495</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SheetLayoutView="100" workbookViewId="0">
      <selection activeCell="C30" sqref="C3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1" t="s">
        <v>7</v>
      </c>
      <c r="B7" s="421"/>
      <c r="C7" s="421"/>
      <c r="D7" s="138"/>
      <c r="E7" s="138"/>
      <c r="F7" s="138"/>
      <c r="G7" s="138"/>
      <c r="H7" s="138"/>
      <c r="I7" s="138"/>
      <c r="J7" s="138"/>
      <c r="K7" s="138"/>
      <c r="L7" s="138"/>
      <c r="M7" s="138"/>
      <c r="N7" s="138"/>
      <c r="O7" s="138"/>
      <c r="P7" s="138"/>
      <c r="Q7" s="138"/>
      <c r="R7" s="138"/>
      <c r="S7" s="138"/>
      <c r="T7" s="138"/>
      <c r="U7" s="138"/>
    </row>
    <row r="8" spans="1:29" s="17" customFormat="1" ht="18.75" x14ac:dyDescent="0.2">
      <c r="A8" s="421"/>
      <c r="B8" s="421"/>
      <c r="C8" s="421"/>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5" t="s">
        <v>6</v>
      </c>
      <c r="B10" s="425"/>
      <c r="C10" s="425"/>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1"/>
      <c r="B11" s="421"/>
      <c r="C11" s="421"/>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L_21-16</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5" t="s">
        <v>5</v>
      </c>
      <c r="B13" s="425"/>
      <c r="C13" s="425"/>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7"/>
      <c r="B14" s="427"/>
      <c r="C14" s="427"/>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электроснабжения казино "Шамбала" п.Куликово, Зеленоградского р-на</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5" t="s">
        <v>4</v>
      </c>
      <c r="B16" s="425"/>
      <c r="C16" s="425"/>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8"/>
      <c r="B17" s="428"/>
      <c r="C17" s="428"/>
      <c r="D17" s="142"/>
      <c r="E17" s="142"/>
      <c r="F17" s="142"/>
      <c r="G17" s="142"/>
      <c r="H17" s="142"/>
      <c r="I17" s="142"/>
      <c r="J17" s="142"/>
      <c r="K17" s="142"/>
      <c r="L17" s="142"/>
      <c r="M17" s="142"/>
      <c r="N17" s="142"/>
      <c r="O17" s="142"/>
      <c r="P17" s="142"/>
      <c r="Q17" s="142"/>
      <c r="R17" s="142"/>
    </row>
    <row r="18" spans="1:21" s="137" customFormat="1" ht="27.75" customHeight="1" x14ac:dyDescent="0.2">
      <c r="A18" s="429" t="s">
        <v>381</v>
      </c>
      <c r="B18" s="429"/>
      <c r="C18" s="429"/>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электроснабжения казино "Шамбала" п.Куликово, Зеленоградского р-на</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645</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644</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646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38"/>
      <c r="AB6" s="138"/>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41"/>
      <c r="AB9" s="141"/>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38"/>
      <c r="AB10" s="138"/>
    </row>
    <row r="11" spans="1:28" ht="15.75" x14ac:dyDescent="0.25">
      <c r="A11" s="426" t="str">
        <f>'1. паспорт местоположение'!A12:C12</f>
        <v>L_21-16</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0"/>
      <c r="AB11" s="140"/>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41"/>
      <c r="AB12" s="141"/>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60"/>
      <c r="AB13" s="160"/>
    </row>
    <row r="14" spans="1:28" ht="15.75" x14ac:dyDescent="0.25">
      <c r="A14" s="419" t="str">
        <f>'1. паспорт местоположение'!A15:C15</f>
        <v>Строительство  электроснабжения казино "Шамбала" п.Куликово, Зеленоградского р-на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41"/>
      <c r="AB15" s="14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1"/>
      <c r="AB16" s="161"/>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1"/>
      <c r="AB17" s="161"/>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1"/>
      <c r="AB18" s="161"/>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1"/>
      <c r="AB19" s="161"/>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2"/>
      <c r="AB20" s="162"/>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2"/>
      <c r="AB21" s="162"/>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3"/>
      <c r="AB22" s="163"/>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1" t="s">
        <v>7</v>
      </c>
      <c r="B7" s="421"/>
      <c r="C7" s="421"/>
      <c r="D7" s="421"/>
      <c r="E7" s="421"/>
      <c r="F7" s="421"/>
      <c r="G7" s="421"/>
      <c r="H7" s="421"/>
      <c r="I7" s="421"/>
      <c r="J7" s="421"/>
      <c r="K7" s="421"/>
      <c r="L7" s="421"/>
      <c r="M7" s="421"/>
      <c r="N7" s="421"/>
      <c r="O7" s="421"/>
      <c r="P7" s="138"/>
      <c r="Q7" s="138"/>
      <c r="R7" s="138"/>
      <c r="S7" s="138"/>
      <c r="T7" s="138"/>
      <c r="U7" s="138"/>
      <c r="V7" s="138"/>
      <c r="W7" s="138"/>
      <c r="X7" s="138"/>
      <c r="Y7" s="138"/>
      <c r="Z7" s="138"/>
    </row>
    <row r="8" spans="1:28" s="17" customFormat="1" ht="18.75" x14ac:dyDescent="0.2">
      <c r="A8" s="421"/>
      <c r="B8" s="421"/>
      <c r="C8" s="421"/>
      <c r="D8" s="421"/>
      <c r="E8" s="421"/>
      <c r="F8" s="421"/>
      <c r="G8" s="421"/>
      <c r="H8" s="421"/>
      <c r="I8" s="421"/>
      <c r="J8" s="421"/>
      <c r="K8" s="421"/>
      <c r="L8" s="421"/>
      <c r="M8" s="421"/>
      <c r="N8" s="421"/>
      <c r="O8" s="421"/>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5" t="s">
        <v>6</v>
      </c>
      <c r="B10" s="425"/>
      <c r="C10" s="425"/>
      <c r="D10" s="425"/>
      <c r="E10" s="425"/>
      <c r="F10" s="425"/>
      <c r="G10" s="425"/>
      <c r="H10" s="425"/>
      <c r="I10" s="425"/>
      <c r="J10" s="425"/>
      <c r="K10" s="425"/>
      <c r="L10" s="425"/>
      <c r="M10" s="425"/>
      <c r="N10" s="425"/>
      <c r="O10" s="425"/>
      <c r="P10" s="138"/>
      <c r="Q10" s="138"/>
      <c r="R10" s="138"/>
      <c r="S10" s="138"/>
      <c r="T10" s="138"/>
      <c r="U10" s="138"/>
      <c r="V10" s="138"/>
      <c r="W10" s="138"/>
      <c r="X10" s="138"/>
      <c r="Y10" s="138"/>
      <c r="Z10" s="138"/>
    </row>
    <row r="11" spans="1:28" s="17" customFormat="1" ht="18.75" x14ac:dyDescent="0.2">
      <c r="A11" s="421"/>
      <c r="B11" s="421"/>
      <c r="C11" s="421"/>
      <c r="D11" s="421"/>
      <c r="E11" s="421"/>
      <c r="F11" s="421"/>
      <c r="G11" s="421"/>
      <c r="H11" s="421"/>
      <c r="I11" s="421"/>
      <c r="J11" s="421"/>
      <c r="K11" s="421"/>
      <c r="L11" s="421"/>
      <c r="M11" s="421"/>
      <c r="N11" s="421"/>
      <c r="O11" s="421"/>
      <c r="P11" s="138"/>
      <c r="Q11" s="138"/>
      <c r="R11" s="138"/>
      <c r="S11" s="138"/>
      <c r="T11" s="138"/>
      <c r="U11" s="138"/>
      <c r="V11" s="138"/>
      <c r="W11" s="138"/>
      <c r="X11" s="138"/>
      <c r="Y11" s="138"/>
      <c r="Z11" s="138"/>
    </row>
    <row r="12" spans="1:28" s="17" customFormat="1" ht="18.75" x14ac:dyDescent="0.2">
      <c r="A12" s="426" t="str">
        <f>'1. паспорт местоположение'!A12:C12</f>
        <v>L_21-16</v>
      </c>
      <c r="B12" s="426"/>
      <c r="C12" s="426"/>
      <c r="D12" s="426"/>
      <c r="E12" s="426"/>
      <c r="F12" s="426"/>
      <c r="G12" s="426"/>
      <c r="H12" s="426"/>
      <c r="I12" s="426"/>
      <c r="J12" s="426"/>
      <c r="K12" s="426"/>
      <c r="L12" s="426"/>
      <c r="M12" s="426"/>
      <c r="N12" s="426"/>
      <c r="O12" s="426"/>
      <c r="P12" s="138"/>
      <c r="Q12" s="138"/>
      <c r="R12" s="138"/>
      <c r="S12" s="138"/>
      <c r="T12" s="138"/>
      <c r="U12" s="138"/>
      <c r="V12" s="138"/>
      <c r="W12" s="138"/>
      <c r="X12" s="138"/>
      <c r="Y12" s="138"/>
      <c r="Z12" s="138"/>
    </row>
    <row r="13" spans="1:28" s="17" customFormat="1" ht="18.75" x14ac:dyDescent="0.2">
      <c r="A13" s="425" t="s">
        <v>5</v>
      </c>
      <c r="B13" s="425"/>
      <c r="C13" s="425"/>
      <c r="D13" s="425"/>
      <c r="E13" s="425"/>
      <c r="F13" s="425"/>
      <c r="G13" s="425"/>
      <c r="H13" s="425"/>
      <c r="I13" s="425"/>
      <c r="J13" s="425"/>
      <c r="K13" s="425"/>
      <c r="L13" s="425"/>
      <c r="M13" s="425"/>
      <c r="N13" s="425"/>
      <c r="O13" s="425"/>
      <c r="P13" s="138"/>
      <c r="Q13" s="138"/>
      <c r="R13" s="138"/>
      <c r="S13" s="138"/>
      <c r="T13" s="138"/>
      <c r="U13" s="138"/>
      <c r="V13" s="138"/>
      <c r="W13" s="138"/>
      <c r="X13" s="138"/>
      <c r="Y13" s="138"/>
      <c r="Z13" s="138"/>
    </row>
    <row r="14" spans="1:28" s="136" customFormat="1" ht="15.75" customHeight="1" x14ac:dyDescent="0.2">
      <c r="A14" s="427"/>
      <c r="B14" s="427"/>
      <c r="C14" s="427"/>
      <c r="D14" s="427"/>
      <c r="E14" s="427"/>
      <c r="F14" s="427"/>
      <c r="G14" s="427"/>
      <c r="H14" s="427"/>
      <c r="I14" s="427"/>
      <c r="J14" s="427"/>
      <c r="K14" s="427"/>
      <c r="L14" s="427"/>
      <c r="M14" s="427"/>
      <c r="N14" s="427"/>
      <c r="O14" s="427"/>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электроснабжения казино "Шамбала" п.Куликово, Зеленоградского р-на</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5" t="s">
        <v>4</v>
      </c>
      <c r="B16" s="425"/>
      <c r="C16" s="425"/>
      <c r="D16" s="425"/>
      <c r="E16" s="425"/>
      <c r="F16" s="425"/>
      <c r="G16" s="425"/>
      <c r="H16" s="425"/>
      <c r="I16" s="425"/>
      <c r="J16" s="425"/>
      <c r="K16" s="425"/>
      <c r="L16" s="425"/>
      <c r="M16" s="425"/>
      <c r="N16" s="425"/>
      <c r="O16" s="425"/>
      <c r="P16" s="141"/>
      <c r="Q16" s="141"/>
      <c r="R16" s="141"/>
      <c r="S16" s="141"/>
      <c r="T16" s="141"/>
      <c r="U16" s="141"/>
      <c r="V16" s="141"/>
      <c r="W16" s="141"/>
      <c r="X16" s="141"/>
      <c r="Y16" s="141"/>
      <c r="Z16" s="141"/>
    </row>
    <row r="17" spans="1:26" s="137" customFormat="1" ht="15" customHeight="1" x14ac:dyDescent="0.2">
      <c r="A17" s="428"/>
      <c r="B17" s="428"/>
      <c r="C17" s="428"/>
      <c r="D17" s="428"/>
      <c r="E17" s="428"/>
      <c r="F17" s="428"/>
      <c r="G17" s="428"/>
      <c r="H17" s="428"/>
      <c r="I17" s="428"/>
      <c r="J17" s="428"/>
      <c r="K17" s="428"/>
      <c r="L17" s="428"/>
      <c r="M17" s="428"/>
      <c r="N17" s="428"/>
      <c r="O17" s="428"/>
      <c r="P17" s="142"/>
      <c r="Q17" s="142"/>
      <c r="R17" s="142"/>
      <c r="S17" s="142"/>
      <c r="T17" s="142"/>
      <c r="U17" s="142"/>
      <c r="V17" s="142"/>
      <c r="W17" s="142"/>
    </row>
    <row r="18" spans="1:26" s="137" customFormat="1" ht="91.5" customHeight="1" x14ac:dyDescent="0.2">
      <c r="A18" s="462" t="s">
        <v>390</v>
      </c>
      <c r="B18" s="462"/>
      <c r="C18" s="462"/>
      <c r="D18" s="462"/>
      <c r="E18" s="462"/>
      <c r="F18" s="462"/>
      <c r="G18" s="462"/>
      <c r="H18" s="462"/>
      <c r="I18" s="462"/>
      <c r="J18" s="462"/>
      <c r="K18" s="462"/>
      <c r="L18" s="462"/>
      <c r="M18" s="462"/>
      <c r="N18" s="462"/>
      <c r="O18" s="462"/>
      <c r="P18" s="143"/>
      <c r="Q18" s="143"/>
      <c r="R18" s="143"/>
      <c r="S18" s="143"/>
      <c r="T18" s="143"/>
      <c r="U18" s="143"/>
      <c r="V18" s="143"/>
      <c r="W18" s="143"/>
      <c r="X18" s="143"/>
      <c r="Y18" s="143"/>
      <c r="Z18" s="143"/>
    </row>
    <row r="19" spans="1:26" s="137"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2"/>
      <c r="Q19" s="142"/>
      <c r="R19" s="142"/>
      <c r="S19" s="142"/>
      <c r="T19" s="142"/>
      <c r="U19" s="142"/>
      <c r="V19" s="142"/>
      <c r="W19" s="142"/>
    </row>
    <row r="20" spans="1:26" s="137" customFormat="1" ht="51" customHeight="1" x14ac:dyDescent="0.2">
      <c r="A20" s="463"/>
      <c r="B20" s="463"/>
      <c r="C20" s="463"/>
      <c r="D20" s="463"/>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E24" sqref="E24"/>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2" t="str">
        <f>'1. паспорт местоположение'!A5:C5</f>
        <v>Год раскрытия информации: 2022 год</v>
      </c>
      <c r="B5" s="482"/>
      <c r="C5" s="482"/>
      <c r="D5" s="482"/>
      <c r="E5" s="482"/>
      <c r="F5" s="482"/>
      <c r="G5" s="482"/>
      <c r="H5" s="48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3" t="s">
        <v>7</v>
      </c>
      <c r="B7" s="483"/>
      <c r="C7" s="483"/>
      <c r="D7" s="483"/>
      <c r="E7" s="483"/>
      <c r="F7" s="483"/>
      <c r="G7" s="483"/>
      <c r="H7" s="48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4" t="str">
        <f>'1. паспорт местоположение'!A9:C10</f>
        <v xml:space="preserve">Акционерное общество "Западная энергетическая компания" </v>
      </c>
      <c r="B9" s="484"/>
      <c r="C9" s="484"/>
      <c r="D9" s="484"/>
      <c r="E9" s="484"/>
      <c r="F9" s="484"/>
      <c r="G9" s="484"/>
      <c r="H9" s="48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5" t="s">
        <v>6</v>
      </c>
      <c r="B10" s="485"/>
      <c r="C10" s="485"/>
      <c r="D10" s="485"/>
      <c r="E10" s="485"/>
      <c r="F10" s="485"/>
      <c r="G10" s="485"/>
      <c r="H10" s="48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4" t="str">
        <f>'1. паспорт местоположение'!A12:C12</f>
        <v>L_21-16</v>
      </c>
      <c r="B12" s="484"/>
      <c r="C12" s="484"/>
      <c r="D12" s="484"/>
      <c r="E12" s="484"/>
      <c r="F12" s="484"/>
      <c r="G12" s="484"/>
      <c r="H12" s="48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5" t="s">
        <v>5</v>
      </c>
      <c r="B13" s="485"/>
      <c r="C13" s="485"/>
      <c r="D13" s="485"/>
      <c r="E13" s="485"/>
      <c r="F13" s="485"/>
      <c r="G13" s="485"/>
      <c r="H13" s="48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6" t="str">
        <f>'1. паспорт местоположение'!A15:C15</f>
        <v>Строительство  электроснабжения казино "Шамбала" п.Куликово, Зеленоградского р-на</v>
      </c>
      <c r="B15" s="486"/>
      <c r="C15" s="486"/>
      <c r="D15" s="486"/>
      <c r="E15" s="486"/>
      <c r="F15" s="486"/>
      <c r="G15" s="486"/>
      <c r="H15" s="48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5" t="s">
        <v>4</v>
      </c>
      <c r="B16" s="485"/>
      <c r="C16" s="485"/>
      <c r="D16" s="485"/>
      <c r="E16" s="485"/>
      <c r="F16" s="485"/>
      <c r="G16" s="485"/>
      <c r="H16" s="48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4" t="s">
        <v>391</v>
      </c>
      <c r="B18" s="484"/>
      <c r="C18" s="484"/>
      <c r="D18" s="484"/>
      <c r="E18" s="484"/>
      <c r="F18" s="484"/>
      <c r="G18" s="484"/>
      <c r="H18" s="48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3787763.3333333344</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9" t="s">
        <v>285</v>
      </c>
      <c r="E28" s="470"/>
      <c r="F28" s="471"/>
      <c r="G28" s="480">
        <f ca="1">IF(SUM(B89:L89)=0,"не окупается",SUM(B89:L89))</f>
        <v>6.2497174883936433</v>
      </c>
      <c r="H28" s="48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3787.7633333333342</v>
      </c>
      <c r="C29" s="238"/>
      <c r="D29" s="469" t="s">
        <v>283</v>
      </c>
      <c r="E29" s="470"/>
      <c r="F29" s="471"/>
      <c r="G29" s="480">
        <f ca="1">IF(SUM(B90:L90)=0,"не окупается",SUM(B90:L90))</f>
        <v>7.4856328377455927</v>
      </c>
      <c r="H29" s="48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9" t="s">
        <v>546</v>
      </c>
      <c r="E30" s="470"/>
      <c r="F30" s="471"/>
      <c r="G30" s="472">
        <f ca="1">L87</f>
        <v>2862145.7759737531</v>
      </c>
      <c r="H30" s="473"/>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4"/>
      <c r="E31" s="475"/>
      <c r="F31" s="476"/>
      <c r="G31" s="474"/>
      <c r="H31" s="476"/>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18067224/1.2</f>
        <v>15056020</v>
      </c>
      <c r="C50" s="290">
        <f>C108*(1+C49)</f>
        <v>0</v>
      </c>
      <c r="D50" s="290">
        <f>H108*(1+H49)</f>
        <v>314961.53467382787</v>
      </c>
      <c r="E50" s="290">
        <f t="shared" ref="E50:M50" si="3">I108*(1+E49)</f>
        <v>548842.16466464614</v>
      </c>
      <c r="F50" s="290">
        <f t="shared" si="3"/>
        <v>861956.61960582668</v>
      </c>
      <c r="G50" s="290">
        <f t="shared" si="3"/>
        <v>1203291.440969734</v>
      </c>
      <c r="H50" s="290">
        <f t="shared" si="3"/>
        <v>1574807.6733691394</v>
      </c>
      <c r="I50" s="290">
        <f t="shared" si="3"/>
        <v>2308353.0876244842</v>
      </c>
      <c r="J50" s="290">
        <f t="shared" si="3"/>
        <v>2416845.682742835</v>
      </c>
      <c r="K50" s="290">
        <f t="shared" si="3"/>
        <v>2530437.4298317479</v>
      </c>
      <c r="L50" s="290">
        <f t="shared" si="3"/>
        <v>2649367.9890338401</v>
      </c>
      <c r="M50" s="290">
        <f t="shared" si="3"/>
        <v>2773888.2845184305</v>
      </c>
      <c r="N50" s="290">
        <f t="shared" ref="N50:AP50" si="4">N108*(1+N49)</f>
        <v>2904261.0338907964</v>
      </c>
      <c r="O50" s="290">
        <f t="shared" si="4"/>
        <v>3040761.302483663</v>
      </c>
      <c r="P50" s="290">
        <f t="shared" si="4"/>
        <v>3183677.0837003952</v>
      </c>
      <c r="Q50" s="290">
        <f t="shared" si="4"/>
        <v>3333309.9066343135</v>
      </c>
      <c r="R50" s="290">
        <f t="shared" si="4"/>
        <v>3489975.4722461263</v>
      </c>
      <c r="S50" s="290">
        <f t="shared" si="4"/>
        <v>3654004.3194416938</v>
      </c>
      <c r="T50" s="290">
        <f t="shared" si="4"/>
        <v>3825742.5224554534</v>
      </c>
      <c r="U50" s="290">
        <f t="shared" si="4"/>
        <v>4005552.4210108593</v>
      </c>
      <c r="V50" s="290">
        <f t="shared" si="4"/>
        <v>4193813.3847983689</v>
      </c>
      <c r="W50" s="290">
        <f t="shared" si="4"/>
        <v>4390922.6138838921</v>
      </c>
      <c r="X50" s="290">
        <f t="shared" si="4"/>
        <v>4597295.9767364347</v>
      </c>
      <c r="Y50" s="290">
        <f t="shared" si="4"/>
        <v>4813368.8876430476</v>
      </c>
      <c r="Z50" s="290">
        <f t="shared" si="4"/>
        <v>5039597.2253622701</v>
      </c>
      <c r="AA50" s="290">
        <f t="shared" si="4"/>
        <v>5276458.2949542962</v>
      </c>
      <c r="AB50" s="290">
        <f t="shared" si="4"/>
        <v>5524451.8348171478</v>
      </c>
      <c r="AC50" s="290">
        <f t="shared" si="4"/>
        <v>5784101.0710535524</v>
      </c>
      <c r="AD50" s="290">
        <f t="shared" si="4"/>
        <v>6055953.8213930689</v>
      </c>
      <c r="AE50" s="290">
        <f t="shared" si="4"/>
        <v>6340583.6509985421</v>
      </c>
      <c r="AF50" s="290">
        <f t="shared" si="4"/>
        <v>6638591.0825954741</v>
      </c>
      <c r="AG50" s="290">
        <f t="shared" si="4"/>
        <v>6950604.8634774601</v>
      </c>
      <c r="AH50" s="290">
        <f t="shared" si="4"/>
        <v>7277283.2920609014</v>
      </c>
      <c r="AI50" s="290">
        <f t="shared" si="4"/>
        <v>7619315.6067877635</v>
      </c>
      <c r="AJ50" s="290">
        <f t="shared" si="4"/>
        <v>7977423.4403067874</v>
      </c>
      <c r="AK50" s="290">
        <f t="shared" si="4"/>
        <v>8352362.3420012062</v>
      </c>
      <c r="AL50" s="290">
        <f t="shared" si="4"/>
        <v>8744923.3720752615</v>
      </c>
      <c r="AM50" s="290">
        <f t="shared" si="4"/>
        <v>9155934.7705627978</v>
      </c>
      <c r="AN50" s="290">
        <f t="shared" si="4"/>
        <v>9586263.7047792487</v>
      </c>
      <c r="AO50" s="290">
        <f t="shared" si="4"/>
        <v>10036818.098903872</v>
      </c>
      <c r="AP50" s="290">
        <f t="shared" si="4"/>
        <v>10508548.549552355</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15056020</v>
      </c>
      <c r="C59" s="301">
        <f>C50*$B$28</f>
        <v>0</v>
      </c>
      <c r="D59" s="301">
        <f t="shared" ref="D59:AP59" si="10">D50*$B$28</f>
        <v>314961.53467382787</v>
      </c>
      <c r="E59" s="301">
        <f t="shared" si="10"/>
        <v>548842.16466464614</v>
      </c>
      <c r="F59" s="301">
        <f t="shared" si="10"/>
        <v>861956.61960582668</v>
      </c>
      <c r="G59" s="301">
        <f>G50*$B$28</f>
        <v>1203291.440969734</v>
      </c>
      <c r="H59" s="301">
        <f t="shared" si="10"/>
        <v>1574807.6733691394</v>
      </c>
      <c r="I59" s="301">
        <f t="shared" si="10"/>
        <v>2308353.0876244842</v>
      </c>
      <c r="J59" s="301">
        <f t="shared" si="10"/>
        <v>2416845.682742835</v>
      </c>
      <c r="K59" s="301">
        <f t="shared" si="10"/>
        <v>2530437.4298317479</v>
      </c>
      <c r="L59" s="301">
        <f t="shared" si="10"/>
        <v>2649367.9890338401</v>
      </c>
      <c r="M59" s="301">
        <f t="shared" si="10"/>
        <v>2773888.2845184305</v>
      </c>
      <c r="N59" s="301">
        <f t="shared" si="10"/>
        <v>2904261.0338907964</v>
      </c>
      <c r="O59" s="301">
        <f t="shared" si="10"/>
        <v>3040761.302483663</v>
      </c>
      <c r="P59" s="301">
        <f t="shared" si="10"/>
        <v>3183677.0837003952</v>
      </c>
      <c r="Q59" s="301">
        <f t="shared" si="10"/>
        <v>3333309.9066343135</v>
      </c>
      <c r="R59" s="301">
        <f t="shared" si="10"/>
        <v>3489975.4722461263</v>
      </c>
      <c r="S59" s="301">
        <f t="shared" si="10"/>
        <v>3654004.3194416938</v>
      </c>
      <c r="T59" s="301">
        <f t="shared" si="10"/>
        <v>3825742.5224554534</v>
      </c>
      <c r="U59" s="301">
        <f t="shared" si="10"/>
        <v>4005552.4210108593</v>
      </c>
      <c r="V59" s="301">
        <f t="shared" si="10"/>
        <v>4193813.3847983689</v>
      </c>
      <c r="W59" s="301">
        <f t="shared" si="10"/>
        <v>4390922.6138838921</v>
      </c>
      <c r="X59" s="301">
        <f t="shared" si="10"/>
        <v>4597295.9767364347</v>
      </c>
      <c r="Y59" s="301">
        <f t="shared" si="10"/>
        <v>4813368.8876430476</v>
      </c>
      <c r="Z59" s="301">
        <f t="shared" si="10"/>
        <v>5039597.2253622701</v>
      </c>
      <c r="AA59" s="301">
        <f t="shared" si="10"/>
        <v>5276458.2949542962</v>
      </c>
      <c r="AB59" s="301">
        <f t="shared" si="10"/>
        <v>5524451.8348171478</v>
      </c>
      <c r="AC59" s="301">
        <f t="shared" si="10"/>
        <v>5784101.0710535524</v>
      </c>
      <c r="AD59" s="301">
        <f t="shared" si="10"/>
        <v>6055953.8213930689</v>
      </c>
      <c r="AE59" s="301">
        <f t="shared" si="10"/>
        <v>6340583.6509985421</v>
      </c>
      <c r="AF59" s="301">
        <f t="shared" si="10"/>
        <v>6638591.0825954741</v>
      </c>
      <c r="AG59" s="301">
        <f t="shared" si="10"/>
        <v>6950604.8634774601</v>
      </c>
      <c r="AH59" s="301">
        <f t="shared" si="10"/>
        <v>7277283.2920609014</v>
      </c>
      <c r="AI59" s="301">
        <f t="shared" si="10"/>
        <v>7619315.6067877635</v>
      </c>
      <c r="AJ59" s="301">
        <f t="shared" si="10"/>
        <v>7977423.4403067874</v>
      </c>
      <c r="AK59" s="301">
        <f t="shared" si="10"/>
        <v>8352362.3420012062</v>
      </c>
      <c r="AL59" s="301">
        <f t="shared" si="10"/>
        <v>8744923.3720752615</v>
      </c>
      <c r="AM59" s="301">
        <f t="shared" si="10"/>
        <v>9155934.7705627978</v>
      </c>
      <c r="AN59" s="301">
        <f t="shared" si="10"/>
        <v>9586263.7047792487</v>
      </c>
      <c r="AO59" s="301">
        <f t="shared" si="10"/>
        <v>10036818.098903872</v>
      </c>
      <c r="AP59" s="301">
        <f t="shared" si="10"/>
        <v>10508548.549552355</v>
      </c>
    </row>
    <row r="60" spans="1:45" x14ac:dyDescent="0.2">
      <c r="A60" s="293" t="s">
        <v>261</v>
      </c>
      <c r="B60" s="294">
        <f t="shared" ref="B60:AP60" si="11">SUM(B61:B65)</f>
        <v>0</v>
      </c>
      <c r="C60" s="294">
        <f t="shared" si="11"/>
        <v>-80553.100222222231</v>
      </c>
      <c r="D60" s="294">
        <f>SUM(D61:D65)</f>
        <v>-77775.407111111126</v>
      </c>
      <c r="E60" s="294">
        <f>SUM(E61:E65)</f>
        <v>-80311.994011269984</v>
      </c>
      <c r="F60" s="294">
        <f t="shared" si="11"/>
        <v>-77784.072060688559</v>
      </c>
      <c r="G60" s="294">
        <f t="shared" si="11"/>
        <v>-75267.889354652012</v>
      </c>
      <c r="H60" s="294">
        <f t="shared" si="11"/>
        <v>-72763.997637654</v>
      </c>
      <c r="I60" s="294">
        <f t="shared" si="11"/>
        <v>-70272.974586179291</v>
      </c>
      <c r="J60" s="294">
        <f t="shared" si="11"/>
        <v>-67795.425027507488</v>
      </c>
      <c r="K60" s="294">
        <f t="shared" si="11"/>
        <v>-65331.982215800337</v>
      </c>
      <c r="L60" s="294">
        <f t="shared" si="11"/>
        <v>-62883.309168165164</v>
      </c>
      <c r="M60" s="294">
        <f t="shared" si="11"/>
        <v>-60450.100063513375</v>
      </c>
      <c r="N60" s="294">
        <f t="shared" si="11"/>
        <v>-58033.081707165162</v>
      </c>
      <c r="O60" s="294">
        <f t="shared" si="11"/>
        <v>-55633.015064290812</v>
      </c>
      <c r="P60" s="294">
        <f t="shared" si="11"/>
        <v>-53250.696865423597</v>
      </c>
      <c r="Q60" s="294">
        <f t="shared" si="11"/>
        <v>-50886.961287431841</v>
      </c>
      <c r="R60" s="294">
        <f t="shared" si="11"/>
        <v>-48542.681713496691</v>
      </c>
      <c r="S60" s="294">
        <f t="shared" si="11"/>
        <v>-46218.772575808813</v>
      </c>
      <c r="T60" s="294">
        <f t="shared" si="11"/>
        <v>-43916.191284871828</v>
      </c>
      <c r="U60" s="294">
        <f t="shared" si="11"/>
        <v>-41635.940249483028</v>
      </c>
      <c r="V60" s="294">
        <f t="shared" si="11"/>
        <v>-39379.068991653177</v>
      </c>
      <c r="W60" s="294">
        <f t="shared" si="11"/>
        <v>-37146.676360927544</v>
      </c>
      <c r="X60" s="294">
        <f t="shared" si="11"/>
        <v>-34939.912852780028</v>
      </c>
      <c r="Y60" s="294">
        <f t="shared" si="11"/>
        <v>-32759.983035971803</v>
      </c>
      <c r="Z60" s="294">
        <f t="shared" si="11"/>
        <v>-30608.148093995813</v>
      </c>
      <c r="AA60" s="294">
        <f t="shared" si="11"/>
        <v>-28485.728485969172</v>
      </c>
      <c r="AB60" s="294">
        <f t="shared" si="11"/>
        <v>-26394.106732587497</v>
      </c>
      <c r="AC60" s="294">
        <f t="shared" si="11"/>
        <v>-24334.73033301911</v>
      </c>
      <c r="AD60" s="294">
        <f t="shared" si="11"/>
        <v>-22309.114818893231</v>
      </c>
      <c r="AE60" s="294">
        <f t="shared" si="11"/>
        <v>-20318.846951825657</v>
      </c>
      <c r="AF60" s="294">
        <f t="shared" si="11"/>
        <v>-18365.588071228129</v>
      </c>
      <c r="AG60" s="294">
        <f t="shared" si="11"/>
        <v>-19228.770710575882</v>
      </c>
      <c r="AH60" s="294">
        <f t="shared" si="11"/>
        <v>-20132.522933972949</v>
      </c>
      <c r="AI60" s="294">
        <f t="shared" si="11"/>
        <v>-21078.751511869679</v>
      </c>
      <c r="AJ60" s="294">
        <f t="shared" si="11"/>
        <v>-22069.452832927553</v>
      </c>
      <c r="AK60" s="294">
        <f t="shared" si="11"/>
        <v>-23106.717116075146</v>
      </c>
      <c r="AL60" s="294">
        <f t="shared" si="11"/>
        <v>-24192.732820530673</v>
      </c>
      <c r="AM60" s="294">
        <f t="shared" si="11"/>
        <v>-25329.791263095613</v>
      </c>
      <c r="AN60" s="294">
        <f t="shared" si="11"/>
        <v>-26520.291452461104</v>
      </c>
      <c r="AO60" s="294">
        <f t="shared" si="11"/>
        <v>-27766.745150726776</v>
      </c>
      <c r="AP60" s="294">
        <f t="shared" si="11"/>
        <v>-29071.782172810934</v>
      </c>
    </row>
    <row r="61" spans="1:45" x14ac:dyDescent="0.2">
      <c r="A61" s="302" t="s">
        <v>260</v>
      </c>
      <c r="B61" s="294"/>
      <c r="C61" s="294">
        <f>-IF(C$47&lt;=$B$30,0,$B$29*(1+C$49)*$B$28)</f>
        <v>0</v>
      </c>
      <c r="D61" s="294">
        <f>-IF(D$47&lt;=$B$30,0,$B$29*(1+D$49)*$B$28)</f>
        <v>0</v>
      </c>
      <c r="E61" s="294">
        <f>-IF(E$47&lt;=$B$30,0,$B$29*(1+E$49)*$B$28)</f>
        <v>-5314.2800112699761</v>
      </c>
      <c r="F61" s="294">
        <f t="shared" ref="F61:AP61" si="12">-IF(F$47&lt;=$B$30,0,$B$29*(1+F$49)*$B$28)</f>
        <v>-5564.0511717996642</v>
      </c>
      <c r="G61" s="294">
        <f t="shared" si="12"/>
        <v>-5825.5615768742482</v>
      </c>
      <c r="H61" s="294">
        <f t="shared" si="12"/>
        <v>-6099.3629709873376</v>
      </c>
      <c r="I61" s="294">
        <f t="shared" si="12"/>
        <v>-6386.033030623742</v>
      </c>
      <c r="J61" s="294">
        <f t="shared" si="12"/>
        <v>-6686.1765830630575</v>
      </c>
      <c r="K61" s="294">
        <f t="shared" si="12"/>
        <v>-7000.4268824670207</v>
      </c>
      <c r="L61" s="294">
        <f t="shared" si="12"/>
        <v>-7329.4469459429702</v>
      </c>
      <c r="M61" s="294">
        <f t="shared" si="12"/>
        <v>-7673.9309524022901</v>
      </c>
      <c r="N61" s="294">
        <f t="shared" si="12"/>
        <v>-8034.6057071651967</v>
      </c>
      <c r="O61" s="294">
        <f t="shared" si="12"/>
        <v>-8412.2321754019595</v>
      </c>
      <c r="P61" s="294">
        <f t="shared" si="12"/>
        <v>-8807.6070876458507</v>
      </c>
      <c r="Q61" s="294">
        <f t="shared" si="12"/>
        <v>-9221.5646207652062</v>
      </c>
      <c r="R61" s="294">
        <f t="shared" si="12"/>
        <v>-9654.9781579411701</v>
      </c>
      <c r="S61" s="294">
        <f t="shared" si="12"/>
        <v>-10108.762131364405</v>
      </c>
      <c r="T61" s="294">
        <f t="shared" si="12"/>
        <v>-10583.873951538531</v>
      </c>
      <c r="U61" s="294">
        <f t="shared" si="12"/>
        <v>-11081.31602726084</v>
      </c>
      <c r="V61" s="294">
        <f t="shared" si="12"/>
        <v>-11602.137880542099</v>
      </c>
      <c r="W61" s="294">
        <f t="shared" si="12"/>
        <v>-12147.438360927577</v>
      </c>
      <c r="X61" s="294">
        <f t="shared" si="12"/>
        <v>-12718.367963891173</v>
      </c>
      <c r="Y61" s="294">
        <f t="shared" si="12"/>
        <v>-13316.131258194056</v>
      </c>
      <c r="Z61" s="294">
        <f t="shared" si="12"/>
        <v>-13941.989427329177</v>
      </c>
      <c r="AA61" s="294">
        <f t="shared" si="12"/>
        <v>-14597.262930413646</v>
      </c>
      <c r="AB61" s="294">
        <f t="shared" si="12"/>
        <v>-15283.334288143085</v>
      </c>
      <c r="AC61" s="294">
        <f t="shared" si="12"/>
        <v>-16001.650999685808</v>
      </c>
      <c r="AD61" s="294">
        <f t="shared" si="12"/>
        <v>-16753.728596671041</v>
      </c>
      <c r="AE61" s="294">
        <f t="shared" si="12"/>
        <v>-17541.153840714578</v>
      </c>
      <c r="AF61" s="294">
        <f t="shared" si="12"/>
        <v>-18365.588071228161</v>
      </c>
      <c r="AG61" s="294">
        <f t="shared" si="12"/>
        <v>-19228.770710575882</v>
      </c>
      <c r="AH61" s="294">
        <f t="shared" si="12"/>
        <v>-20132.522933972949</v>
      </c>
      <c r="AI61" s="294">
        <f t="shared" si="12"/>
        <v>-21078.751511869679</v>
      </c>
      <c r="AJ61" s="294">
        <f t="shared" si="12"/>
        <v>-22069.452832927553</v>
      </c>
      <c r="AK61" s="294">
        <f t="shared" si="12"/>
        <v>-23106.717116075146</v>
      </c>
      <c r="AL61" s="294">
        <f t="shared" si="12"/>
        <v>-24192.732820530673</v>
      </c>
      <c r="AM61" s="294">
        <f t="shared" si="12"/>
        <v>-25329.791263095613</v>
      </c>
      <c r="AN61" s="294">
        <f t="shared" si="12"/>
        <v>-26520.291452461104</v>
      </c>
      <c r="AO61" s="294">
        <f t="shared" si="12"/>
        <v>-27766.745150726776</v>
      </c>
      <c r="AP61" s="294">
        <f t="shared" si="12"/>
        <v>-29071.782172810934</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-80553.100222222231</v>
      </c>
      <c r="D65" s="405">
        <f>-($B$25+D67+C67)*0.022</f>
        <v>-77775.407111111126</v>
      </c>
      <c r="E65" s="406">
        <f>-($B$25+E67+C67+D67)*0.022</f>
        <v>-74997.714000000007</v>
      </c>
      <c r="F65" s="406">
        <f>-($B$25+F67+D67+E67+C67)*0.022</f>
        <v>-72220.020888888888</v>
      </c>
      <c r="G65" s="406">
        <f>-($B$25+G67+E67+F67+D67+C67)*0.022</f>
        <v>-69442.327777777769</v>
      </c>
      <c r="H65" s="406">
        <f>-($B$25+H67+F67+G67+E67+C67+D67)*0.022</f>
        <v>-66664.634666666665</v>
      </c>
      <c r="I65" s="406">
        <f>-($B$25+C67+I67+G67+H67+F67+D67+E67)*0.022</f>
        <v>-63886.941555555546</v>
      </c>
      <c r="J65" s="406">
        <f>-($B$25+D67+J67+H67+I67+G67+E67+F67+C67)*0.022</f>
        <v>-61109.248444444427</v>
      </c>
      <c r="K65" s="406">
        <f>-($B$25+E67+K67+I67+J67+H67+F67+G67+C67+D67)*0.022</f>
        <v>-58331.555333333316</v>
      </c>
      <c r="L65" s="406">
        <f>-($B$25+F67+L67+J67+K67+I67+G67+H67+E67+D67+C67)*0.022</f>
        <v>-55553.862222222197</v>
      </c>
      <c r="M65" s="406">
        <f>-($B$25+G67+M67+K67+L67+J67+H67+I67+F67+E67+C67+D67)*0.022</f>
        <v>-52776.169111111085</v>
      </c>
      <c r="N65" s="406">
        <f>-($B$25+H67+N67+L67+M67+K67+I67+J67+G67+F67+E67+C67+D67)*0.022</f>
        <v>-49998.475999999966</v>
      </c>
      <c r="O65" s="406">
        <f>-($B$25+I67+O67+M67+N67+L67+J67+K67+H67+G67+F67+D67+C67+E67)*0.022</f>
        <v>-47220.782888888854</v>
      </c>
      <c r="P65" s="406">
        <f>-($B$25+J67+P67+N67+O67+M67+K67+L67+I67+H67+G67+E67+F67+C67+D67)*0.022</f>
        <v>-44443.089777777743</v>
      </c>
      <c r="Q65" s="406">
        <f>-($B$25+K67+Q67+O67+P67+N67+L67+M67+J67+I67+H67+F67+G67+D67+C67+E67)*0.022</f>
        <v>-41665.396666666631</v>
      </c>
      <c r="R65" s="406">
        <f>-($B$25+L67+R67+P67+Q67+O67+M67+N67+K67+J67+I67+G67+H67+E67+D67+C67+F67)*0.022</f>
        <v>-38887.703555555519</v>
      </c>
      <c r="S65" s="406">
        <f>-($B$25+M67+S67+Q67+R67+P67+N67+O67+L67+K67+J67+H67+I67+F67+E67+D67+C67+G67)*0.022</f>
        <v>-36110.010444444408</v>
      </c>
      <c r="T65" s="406">
        <f>-($B$25+N67+T67+R67+S67+Q67+O67+P67+M67+L67+K67+I67+J67+G67+F67+E67+D67+C67+H67)*0.022</f>
        <v>-33332.317333333296</v>
      </c>
      <c r="U65" s="406">
        <f>-($B$25+O67+U67+S67+T67+R67+P67+Q67+N67+M67+L67+J67+K67+H67+G67+F67+E67+C67+D67++I67)*0.022</f>
        <v>-30554.624222222188</v>
      </c>
      <c r="V65" s="406">
        <f>-($B$25+P67+V67+T67+U67+S67+Q67+R67+O67+N67+M67+K67+L67+I67+H67+G67+F67+D67+E67+C67+J67)*0.022</f>
        <v>-27776.931111111076</v>
      </c>
      <c r="W65" s="406">
        <f>-($B$25+Q67+W67+U67+V67+T67+R67+S67+P67+O67+N67+L67+M67+J67+I67+H67+G67+E67+F67+D67+C67+K67)*0.022</f>
        <v>-24999.237999999968</v>
      </c>
      <c r="X65" s="406">
        <f>-($B$25+R67+X67+V67+W67+U67+S67+T67+Q67+P67+O67+M67+N67+K67+J67+I67+H67+F67+G67+E67+D67+C67+L67)*0.022</f>
        <v>-22221.544888888857</v>
      </c>
      <c r="Y65" s="406">
        <f>-($B$25+S67+Y67+W67+X67+V67+T67+U67+R67+Q67+P67+N67+O67+L67+K67+J67+I67+G67+H67+F67+E67+D67+C67+M67)*0.022</f>
        <v>-19443.851777777749</v>
      </c>
      <c r="Z65" s="406">
        <f>-($B$25+T67+Z67+X67+Y67+W67+U67+V67+S67+R67+Q67+O67+P67+M67+L67+K67+J67+H67+I67+G67+F67+E67+D67+C67+N67)*0.022</f>
        <v>-16666.158666666637</v>
      </c>
      <c r="AA65" s="406">
        <f>-($B$25+U67+AA67+Y67+Z67+X67+V67+W67+T67+S67+R67+P67+Q67+N67+M67+L67+K67+I67+J67+H67+G67+F67+E67+D67+C67+O67)*0.022</f>
        <v>-13888.465555555525</v>
      </c>
      <c r="AB65" s="406">
        <f>-($B$25+V67+AB67+Z67+AA67+Y67+W67+X67+U67+T67+S67+Q67+R67+O67+N67+M67+L67+J67+K67+I67+H67+G67+F67+E67+D67+C67+P67)*0.022</f>
        <v>-11110.772444444414</v>
      </c>
      <c r="AC65" s="406">
        <f>-($B$25+W67+AC67+AA67+AB67+Z67+X67+Y67+V67+U67+T67+R67+S67+P67+O67+N67+M67+K67+L67+J67+I67+H67+G67+F67+E67+D67+C67+Q67)*0.022</f>
        <v>-8333.0793333333022</v>
      </c>
      <c r="AD65" s="406">
        <f>-($B$25+X67+AD67+AB67+AC67+AA67+Y67+Z67+W67+V67+U67+S67+T67+Q67+P67+O67+N67+L67+M67+K67+J67+I67+H67+G67+F67+E67+D67+C67+R67)*0.022</f>
        <v>-5555.3862222221915</v>
      </c>
      <c r="AE65" s="406">
        <f>-($B$25+Y67+AE67+AC67+AD67+AB67+Z67+AA67+X67+W67+V67+T67+U67+R67+Q67+P67+O67+M67+N67+L67+K67+J67+I67+H67+G67+F67+E67+D67+C67+S67)*0.022</f>
        <v>-2777.6931111110798</v>
      </c>
      <c r="AF65" s="406">
        <f>-($B$25+Z67+AF67+AD67+AE67+AC67+AA67+AB67+Y67+X67+W67+U67+V67+S67+R67+Q67+P67+N67+O67+M67+L67+K67+J67+I67+H67+G67+F67+E67+D67+C67+T67)*0.022</f>
        <v>3.201421350240707E-11</v>
      </c>
      <c r="AG65" s="294"/>
      <c r="AH65" s="294"/>
      <c r="AI65" s="294"/>
      <c r="AJ65" s="294"/>
      <c r="AK65" s="294"/>
      <c r="AL65" s="294"/>
      <c r="AM65" s="294"/>
      <c r="AN65" s="294"/>
      <c r="AO65" s="294"/>
      <c r="AP65" s="294"/>
    </row>
    <row r="66" spans="1:45" ht="28.5" x14ac:dyDescent="0.2">
      <c r="A66" s="303" t="s">
        <v>549</v>
      </c>
      <c r="B66" s="301">
        <f t="shared" ref="B66:AO66" si="13">B59+B60</f>
        <v>15056020</v>
      </c>
      <c r="C66" s="301">
        <f t="shared" si="13"/>
        <v>-80553.100222222231</v>
      </c>
      <c r="D66" s="301">
        <f t="shared" si="13"/>
        <v>237186.12756271675</v>
      </c>
      <c r="E66" s="301">
        <f t="shared" si="13"/>
        <v>468530.17065337615</v>
      </c>
      <c r="F66" s="301">
        <f t="shared" si="13"/>
        <v>784172.54754513816</v>
      </c>
      <c r="G66" s="301">
        <f t="shared" si="13"/>
        <v>1128023.551615082</v>
      </c>
      <c r="H66" s="301">
        <f t="shared" si="13"/>
        <v>1502043.6757314855</v>
      </c>
      <c r="I66" s="301">
        <f t="shared" si="13"/>
        <v>2238080.1130383047</v>
      </c>
      <c r="J66" s="301">
        <f t="shared" si="13"/>
        <v>2349050.2577153277</v>
      </c>
      <c r="K66" s="301">
        <f t="shared" si="13"/>
        <v>2465105.4476159476</v>
      </c>
      <c r="L66" s="301">
        <f t="shared" si="13"/>
        <v>2586484.679865675</v>
      </c>
      <c r="M66" s="301">
        <f t="shared" si="13"/>
        <v>2713438.184454917</v>
      </c>
      <c r="N66" s="301">
        <f t="shared" si="13"/>
        <v>2846227.9521836312</v>
      </c>
      <c r="O66" s="301">
        <f t="shared" si="13"/>
        <v>2985128.2874193722</v>
      </c>
      <c r="P66" s="301">
        <f t="shared" si="13"/>
        <v>3130426.3868349716</v>
      </c>
      <c r="Q66" s="301">
        <f t="shared" si="13"/>
        <v>3282422.9453468816</v>
      </c>
      <c r="R66" s="301">
        <f t="shared" si="13"/>
        <v>3441432.7905326295</v>
      </c>
      <c r="S66" s="301">
        <f t="shared" si="13"/>
        <v>3607785.5468658851</v>
      </c>
      <c r="T66" s="301">
        <f t="shared" si="13"/>
        <v>3781826.3311705817</v>
      </c>
      <c r="U66" s="301">
        <f t="shared" si="13"/>
        <v>3963916.4807613762</v>
      </c>
      <c r="V66" s="301">
        <f t="shared" si="13"/>
        <v>4154434.3158067157</v>
      </c>
      <c r="W66" s="301">
        <f t="shared" si="13"/>
        <v>4353775.9375229646</v>
      </c>
      <c r="X66" s="301">
        <f t="shared" si="13"/>
        <v>4562356.0638836548</v>
      </c>
      <c r="Y66" s="301">
        <f t="shared" si="13"/>
        <v>4780608.9046070762</v>
      </c>
      <c r="Z66" s="301">
        <f t="shared" si="13"/>
        <v>5008989.0772682745</v>
      </c>
      <c r="AA66" s="301">
        <f t="shared" si="13"/>
        <v>5247972.5664683273</v>
      </c>
      <c r="AB66" s="301">
        <f t="shared" si="13"/>
        <v>5498057.7280845605</v>
      </c>
      <c r="AC66" s="301">
        <f t="shared" si="13"/>
        <v>5759766.3407205334</v>
      </c>
      <c r="AD66" s="301">
        <f t="shared" si="13"/>
        <v>6033644.7065741755</v>
      </c>
      <c r="AE66" s="301">
        <f t="shared" si="13"/>
        <v>6320264.8040467165</v>
      </c>
      <c r="AF66" s="301">
        <f t="shared" si="13"/>
        <v>6620225.4945242461</v>
      </c>
      <c r="AG66" s="301">
        <f t="shared" si="13"/>
        <v>6931376.0927668838</v>
      </c>
      <c r="AH66" s="301">
        <f t="shared" si="13"/>
        <v>7257150.7691269284</v>
      </c>
      <c r="AI66" s="301">
        <f t="shared" si="13"/>
        <v>7598236.8552758936</v>
      </c>
      <c r="AJ66" s="301">
        <f t="shared" si="13"/>
        <v>7955353.9874738595</v>
      </c>
      <c r="AK66" s="301">
        <f t="shared" si="13"/>
        <v>8329255.6248851307</v>
      </c>
      <c r="AL66" s="301">
        <f t="shared" si="13"/>
        <v>8720730.6392547302</v>
      </c>
      <c r="AM66" s="301">
        <f t="shared" si="13"/>
        <v>9130604.9792997018</v>
      </c>
      <c r="AN66" s="301">
        <f t="shared" si="13"/>
        <v>9559743.4133267868</v>
      </c>
      <c r="AO66" s="301">
        <f t="shared" si="13"/>
        <v>10009051.353753146</v>
      </c>
      <c r="AP66" s="301">
        <f>AP59+AP60</f>
        <v>10479476.767379545</v>
      </c>
    </row>
    <row r="67" spans="1:45" x14ac:dyDescent="0.2">
      <c r="A67" s="302" t="s">
        <v>255</v>
      </c>
      <c r="B67" s="304"/>
      <c r="C67" s="390">
        <f>-($B$25)*$B$28/$B$27</f>
        <v>-126258.77777777781</v>
      </c>
      <c r="D67" s="390">
        <f>C67</f>
        <v>-126258.77777777781</v>
      </c>
      <c r="E67" s="390">
        <f t="shared" ref="E67:L67" si="14">D67</f>
        <v>-126258.77777777781</v>
      </c>
      <c r="F67" s="390">
        <f t="shared" si="14"/>
        <v>-126258.77777777781</v>
      </c>
      <c r="G67" s="390">
        <f t="shared" si="14"/>
        <v>-126258.77777777781</v>
      </c>
      <c r="H67" s="390">
        <f t="shared" si="14"/>
        <v>-126258.77777777781</v>
      </c>
      <c r="I67" s="390">
        <f t="shared" si="14"/>
        <v>-126258.77777777781</v>
      </c>
      <c r="J67" s="390">
        <f t="shared" si="14"/>
        <v>-126258.77777777781</v>
      </c>
      <c r="K67" s="390">
        <f t="shared" si="14"/>
        <v>-126258.77777777781</v>
      </c>
      <c r="L67" s="390">
        <f t="shared" si="14"/>
        <v>-126258.77777777781</v>
      </c>
      <c r="M67" s="294">
        <f t="shared" ref="M67:AP67" si="15">L67</f>
        <v>-126258.77777777781</v>
      </c>
      <c r="N67" s="294">
        <f t="shared" si="15"/>
        <v>-126258.77777777781</v>
      </c>
      <c r="O67" s="294">
        <f t="shared" si="15"/>
        <v>-126258.77777777781</v>
      </c>
      <c r="P67" s="294">
        <f t="shared" si="15"/>
        <v>-126258.77777777781</v>
      </c>
      <c r="Q67" s="294">
        <f t="shared" si="15"/>
        <v>-126258.77777777781</v>
      </c>
      <c r="R67" s="294">
        <f t="shared" si="15"/>
        <v>-126258.77777777781</v>
      </c>
      <c r="S67" s="294">
        <f t="shared" si="15"/>
        <v>-126258.77777777781</v>
      </c>
      <c r="T67" s="294">
        <f t="shared" si="15"/>
        <v>-126258.77777777781</v>
      </c>
      <c r="U67" s="294">
        <f t="shared" si="15"/>
        <v>-126258.77777777781</v>
      </c>
      <c r="V67" s="294">
        <f t="shared" si="15"/>
        <v>-126258.77777777781</v>
      </c>
      <c r="W67" s="294">
        <f t="shared" si="15"/>
        <v>-126258.77777777781</v>
      </c>
      <c r="X67" s="294">
        <f t="shared" si="15"/>
        <v>-126258.77777777781</v>
      </c>
      <c r="Y67" s="294">
        <f t="shared" si="15"/>
        <v>-126258.77777777781</v>
      </c>
      <c r="Z67" s="294">
        <f t="shared" si="15"/>
        <v>-126258.77777777781</v>
      </c>
      <c r="AA67" s="294">
        <f t="shared" si="15"/>
        <v>-126258.77777777781</v>
      </c>
      <c r="AB67" s="294">
        <f t="shared" si="15"/>
        <v>-126258.77777777781</v>
      </c>
      <c r="AC67" s="294">
        <f t="shared" si="15"/>
        <v>-126258.77777777781</v>
      </c>
      <c r="AD67" s="294">
        <f t="shared" si="15"/>
        <v>-126258.77777777781</v>
      </c>
      <c r="AE67" s="294">
        <f t="shared" si="15"/>
        <v>-126258.77777777781</v>
      </c>
      <c r="AF67" s="294">
        <f t="shared" si="15"/>
        <v>-126258.77777777781</v>
      </c>
      <c r="AG67" s="294">
        <f t="shared" si="15"/>
        <v>-126258.77777777781</v>
      </c>
      <c r="AH67" s="294">
        <f t="shared" si="15"/>
        <v>-126258.77777777781</v>
      </c>
      <c r="AI67" s="294">
        <f t="shared" si="15"/>
        <v>-126258.77777777781</v>
      </c>
      <c r="AJ67" s="294">
        <f t="shared" si="15"/>
        <v>-126258.77777777781</v>
      </c>
      <c r="AK67" s="294">
        <f t="shared" si="15"/>
        <v>-126258.77777777781</v>
      </c>
      <c r="AL67" s="294">
        <f t="shared" si="15"/>
        <v>-126258.77777777781</v>
      </c>
      <c r="AM67" s="294">
        <f t="shared" si="15"/>
        <v>-126258.77777777781</v>
      </c>
      <c r="AN67" s="294">
        <f t="shared" si="15"/>
        <v>-126258.77777777781</v>
      </c>
      <c r="AO67" s="294">
        <f t="shared" si="15"/>
        <v>-126258.77777777781</v>
      </c>
      <c r="AP67" s="294">
        <f t="shared" si="15"/>
        <v>-126258.77777777781</v>
      </c>
      <c r="AQ67" s="305"/>
      <c r="AR67" s="306"/>
      <c r="AS67" s="306"/>
    </row>
    <row r="68" spans="1:45" ht="28.5" x14ac:dyDescent="0.2">
      <c r="A68" s="303" t="s">
        <v>550</v>
      </c>
      <c r="B68" s="301">
        <f t="shared" ref="B68:J68" si="16">B66+B67</f>
        <v>15056020</v>
      </c>
      <c r="C68" s="301">
        <f>C66+C67</f>
        <v>-206811.87800000003</v>
      </c>
      <c r="D68" s="301">
        <f>D66+D67</f>
        <v>110927.34978493894</v>
      </c>
      <c r="E68" s="301">
        <f t="shared" si="16"/>
        <v>342271.39287559834</v>
      </c>
      <c r="F68" s="301">
        <f>F66+C67</f>
        <v>657913.7697673603</v>
      </c>
      <c r="G68" s="301">
        <f t="shared" si="16"/>
        <v>1001764.7738373042</v>
      </c>
      <c r="H68" s="301">
        <f t="shared" si="16"/>
        <v>1375784.8979537077</v>
      </c>
      <c r="I68" s="301">
        <f t="shared" si="16"/>
        <v>2111821.3352605267</v>
      </c>
      <c r="J68" s="301">
        <f t="shared" si="16"/>
        <v>2222791.4799375497</v>
      </c>
      <c r="K68" s="301">
        <f>K66+K67</f>
        <v>2338846.6698381696</v>
      </c>
      <c r="L68" s="301">
        <f>L66+L67</f>
        <v>2460225.9020878971</v>
      </c>
      <c r="M68" s="301">
        <f t="shared" ref="M68:AO68" si="17">M66+M67</f>
        <v>2587179.406677139</v>
      </c>
      <c r="N68" s="301">
        <f t="shared" si="17"/>
        <v>2719969.1744058533</v>
      </c>
      <c r="O68" s="301">
        <f t="shared" si="17"/>
        <v>2858869.5096415943</v>
      </c>
      <c r="P68" s="301">
        <f t="shared" si="17"/>
        <v>3004167.6090571936</v>
      </c>
      <c r="Q68" s="301">
        <f t="shared" si="17"/>
        <v>3156164.1675691037</v>
      </c>
      <c r="R68" s="301">
        <f t="shared" si="17"/>
        <v>3315174.0127548515</v>
      </c>
      <c r="S68" s="301">
        <f t="shared" si="17"/>
        <v>3481526.7690881072</v>
      </c>
      <c r="T68" s="301">
        <f t="shared" si="17"/>
        <v>3655567.5533928038</v>
      </c>
      <c r="U68" s="301">
        <f t="shared" si="17"/>
        <v>3837657.7029835982</v>
      </c>
      <c r="V68" s="301">
        <f t="shared" si="17"/>
        <v>4028175.5380289378</v>
      </c>
      <c r="W68" s="301">
        <f t="shared" si="17"/>
        <v>4227517.1597451866</v>
      </c>
      <c r="X68" s="301">
        <f t="shared" si="17"/>
        <v>4436097.2861058768</v>
      </c>
      <c r="Y68" s="301">
        <f t="shared" si="17"/>
        <v>4654350.1268292982</v>
      </c>
      <c r="Z68" s="301">
        <f t="shared" si="17"/>
        <v>4882730.2994904965</v>
      </c>
      <c r="AA68" s="301">
        <f t="shared" si="17"/>
        <v>5121713.7886905493</v>
      </c>
      <c r="AB68" s="301">
        <f t="shared" si="17"/>
        <v>5371798.9503067825</v>
      </c>
      <c r="AC68" s="301">
        <f t="shared" si="17"/>
        <v>5633507.5629427554</v>
      </c>
      <c r="AD68" s="301">
        <f t="shared" si="17"/>
        <v>5907385.9287963975</v>
      </c>
      <c r="AE68" s="301">
        <f t="shared" si="17"/>
        <v>6194006.0262689386</v>
      </c>
      <c r="AF68" s="301">
        <f t="shared" si="17"/>
        <v>6493966.7167464681</v>
      </c>
      <c r="AG68" s="301">
        <f t="shared" si="17"/>
        <v>6805117.3149891058</v>
      </c>
      <c r="AH68" s="301">
        <f t="shared" si="17"/>
        <v>7130891.9913491504</v>
      </c>
      <c r="AI68" s="301">
        <f t="shared" si="17"/>
        <v>7471978.0774981156</v>
      </c>
      <c r="AJ68" s="301">
        <f t="shared" si="17"/>
        <v>7829095.2096960815</v>
      </c>
      <c r="AK68" s="301">
        <f t="shared" si="17"/>
        <v>8202996.8471073527</v>
      </c>
      <c r="AL68" s="301">
        <f t="shared" si="17"/>
        <v>8594471.8614769522</v>
      </c>
      <c r="AM68" s="301">
        <f t="shared" si="17"/>
        <v>9004346.2015219238</v>
      </c>
      <c r="AN68" s="301">
        <f t="shared" si="17"/>
        <v>9433484.6355490088</v>
      </c>
      <c r="AO68" s="301">
        <f t="shared" si="17"/>
        <v>9882792.5759753678</v>
      </c>
      <c r="AP68" s="301">
        <f>AP66+AP67</f>
        <v>10353217.989601767</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15056020</v>
      </c>
      <c r="C70" s="301">
        <f t="shared" si="19"/>
        <v>-206811.87800000003</v>
      </c>
      <c r="D70" s="301">
        <f t="shared" si="19"/>
        <v>110927.34978493894</v>
      </c>
      <c r="E70" s="301">
        <f t="shared" si="19"/>
        <v>342271.39287559834</v>
      </c>
      <c r="F70" s="301">
        <f t="shared" si="19"/>
        <v>657913.7697673603</v>
      </c>
      <c r="G70" s="301">
        <f t="shared" si="19"/>
        <v>1001764.7738373042</v>
      </c>
      <c r="H70" s="301">
        <f t="shared" si="19"/>
        <v>1375784.8979537077</v>
      </c>
      <c r="I70" s="301">
        <f t="shared" si="19"/>
        <v>2111821.3352605267</v>
      </c>
      <c r="J70" s="301">
        <f t="shared" si="19"/>
        <v>2222791.4799375497</v>
      </c>
      <c r="K70" s="301">
        <f t="shared" si="19"/>
        <v>2338846.6698381696</v>
      </c>
      <c r="L70" s="301">
        <f t="shared" si="19"/>
        <v>2460225.9020878971</v>
      </c>
      <c r="M70" s="301">
        <f t="shared" si="19"/>
        <v>2587179.406677139</v>
      </c>
      <c r="N70" s="301">
        <f t="shared" si="19"/>
        <v>2719969.1744058533</v>
      </c>
      <c r="O70" s="301">
        <f t="shared" si="19"/>
        <v>2858869.5096415943</v>
      </c>
      <c r="P70" s="301">
        <f t="shared" si="19"/>
        <v>3004167.6090571936</v>
      </c>
      <c r="Q70" s="301">
        <f t="shared" si="19"/>
        <v>3156164.1675691037</v>
      </c>
      <c r="R70" s="301">
        <f t="shared" si="19"/>
        <v>3315174.0127548515</v>
      </c>
      <c r="S70" s="301">
        <f t="shared" si="19"/>
        <v>3481526.7690881072</v>
      </c>
      <c r="T70" s="301">
        <f t="shared" si="19"/>
        <v>3655567.5533928038</v>
      </c>
      <c r="U70" s="301">
        <f t="shared" si="19"/>
        <v>3837657.7029835982</v>
      </c>
      <c r="V70" s="301">
        <f t="shared" si="19"/>
        <v>4028175.5380289378</v>
      </c>
      <c r="W70" s="301">
        <f t="shared" si="19"/>
        <v>4227517.1597451866</v>
      </c>
      <c r="X70" s="301">
        <f t="shared" si="19"/>
        <v>4436097.2861058768</v>
      </c>
      <c r="Y70" s="301">
        <f t="shared" si="19"/>
        <v>4654350.1268292982</v>
      </c>
      <c r="Z70" s="301">
        <f t="shared" si="19"/>
        <v>4882730.2994904965</v>
      </c>
      <c r="AA70" s="301">
        <f t="shared" si="19"/>
        <v>5121713.7886905493</v>
      </c>
      <c r="AB70" s="301">
        <f t="shared" si="19"/>
        <v>5371798.9503067825</v>
      </c>
      <c r="AC70" s="301">
        <f t="shared" si="19"/>
        <v>5633507.5629427554</v>
      </c>
      <c r="AD70" s="301">
        <f t="shared" si="19"/>
        <v>5907385.9287963975</v>
      </c>
      <c r="AE70" s="301">
        <f t="shared" si="19"/>
        <v>6194006.0262689386</v>
      </c>
      <c r="AF70" s="301">
        <f t="shared" si="19"/>
        <v>6493966.7167464681</v>
      </c>
      <c r="AG70" s="301">
        <f t="shared" si="19"/>
        <v>6805117.3149891058</v>
      </c>
      <c r="AH70" s="301">
        <f t="shared" si="19"/>
        <v>7130891.9913491504</v>
      </c>
      <c r="AI70" s="301">
        <f t="shared" si="19"/>
        <v>7471978.0774981156</v>
      </c>
      <c r="AJ70" s="301">
        <f t="shared" si="19"/>
        <v>7829095.2096960815</v>
      </c>
      <c r="AK70" s="301">
        <f t="shared" si="19"/>
        <v>8202996.8471073527</v>
      </c>
      <c r="AL70" s="301">
        <f t="shared" si="19"/>
        <v>8594471.8614769522</v>
      </c>
      <c r="AM70" s="301">
        <f t="shared" si="19"/>
        <v>9004346.2015219238</v>
      </c>
      <c r="AN70" s="301">
        <f t="shared" si="19"/>
        <v>9433484.6355490088</v>
      </c>
      <c r="AO70" s="301">
        <f t="shared" si="19"/>
        <v>9882792.5759753678</v>
      </c>
      <c r="AP70" s="301">
        <f>AP68+AP69</f>
        <v>10353217.989601767</v>
      </c>
    </row>
    <row r="71" spans="1:45" x14ac:dyDescent="0.2">
      <c r="A71" s="302" t="s">
        <v>253</v>
      </c>
      <c r="B71" s="294">
        <f t="shared" ref="B71:AP71" si="20">-B70*$B$36</f>
        <v>-3011204</v>
      </c>
      <c r="C71" s="294">
        <f t="shared" si="20"/>
        <v>41362.375600000007</v>
      </c>
      <c r="D71" s="294">
        <f t="shared" si="20"/>
        <v>-22185.469956987788</v>
      </c>
      <c r="E71" s="294">
        <f t="shared" si="20"/>
        <v>-68454.278575119664</v>
      </c>
      <c r="F71" s="294">
        <f t="shared" si="20"/>
        <v>-131582.75395347207</v>
      </c>
      <c r="G71" s="294">
        <f t="shared" si="20"/>
        <v>-200352.95476746085</v>
      </c>
      <c r="H71" s="294">
        <f t="shared" si="20"/>
        <v>-275156.97959074157</v>
      </c>
      <c r="I71" s="294">
        <f t="shared" si="20"/>
        <v>-422364.2670521054</v>
      </c>
      <c r="J71" s="294">
        <f t="shared" si="20"/>
        <v>-444558.29598750995</v>
      </c>
      <c r="K71" s="294">
        <f t="shared" si="20"/>
        <v>-467769.33396763395</v>
      </c>
      <c r="L71" s="294">
        <f t="shared" si="20"/>
        <v>-492045.18041757942</v>
      </c>
      <c r="M71" s="294">
        <f t="shared" si="20"/>
        <v>-517435.88133542781</v>
      </c>
      <c r="N71" s="294">
        <f t="shared" si="20"/>
        <v>-543993.83488117065</v>
      </c>
      <c r="O71" s="294">
        <f t="shared" si="20"/>
        <v>-571773.9019283189</v>
      </c>
      <c r="P71" s="294">
        <f t="shared" si="20"/>
        <v>-600833.52181143872</v>
      </c>
      <c r="Q71" s="294">
        <f t="shared" si="20"/>
        <v>-631232.83351382078</v>
      </c>
      <c r="R71" s="294">
        <f t="shared" si="20"/>
        <v>-663034.80255097034</v>
      </c>
      <c r="S71" s="294">
        <f t="shared" si="20"/>
        <v>-696305.35381762148</v>
      </c>
      <c r="T71" s="294">
        <f t="shared" si="20"/>
        <v>-731113.51067856082</v>
      </c>
      <c r="U71" s="294">
        <f t="shared" si="20"/>
        <v>-767531.54059671971</v>
      </c>
      <c r="V71" s="294">
        <f t="shared" si="20"/>
        <v>-805635.10760578758</v>
      </c>
      <c r="W71" s="294">
        <f t="shared" si="20"/>
        <v>-845503.43194903736</v>
      </c>
      <c r="X71" s="294">
        <f t="shared" si="20"/>
        <v>-887219.45722117543</v>
      </c>
      <c r="Y71" s="294">
        <f t="shared" si="20"/>
        <v>-930870.02536585974</v>
      </c>
      <c r="Z71" s="294">
        <f t="shared" si="20"/>
        <v>-976546.0598980994</v>
      </c>
      <c r="AA71" s="294">
        <f t="shared" si="20"/>
        <v>-1024342.7577381099</v>
      </c>
      <c r="AB71" s="294">
        <f t="shared" si="20"/>
        <v>-1074359.7900613565</v>
      </c>
      <c r="AC71" s="294">
        <f t="shared" si="20"/>
        <v>-1126701.512588551</v>
      </c>
      <c r="AD71" s="294">
        <f t="shared" si="20"/>
        <v>-1181477.1857592796</v>
      </c>
      <c r="AE71" s="294">
        <f t="shared" si="20"/>
        <v>-1238801.2052537878</v>
      </c>
      <c r="AF71" s="294">
        <f t="shared" si="20"/>
        <v>-1298793.3433492938</v>
      </c>
      <c r="AG71" s="294">
        <f t="shared" si="20"/>
        <v>-1361023.4629978212</v>
      </c>
      <c r="AH71" s="294">
        <f t="shared" si="20"/>
        <v>-1426178.3982698303</v>
      </c>
      <c r="AI71" s="294">
        <f t="shared" si="20"/>
        <v>-1494395.6154996231</v>
      </c>
      <c r="AJ71" s="294">
        <f t="shared" si="20"/>
        <v>-1565819.0419392164</v>
      </c>
      <c r="AK71" s="294">
        <f t="shared" si="20"/>
        <v>-1640599.3694214707</v>
      </c>
      <c r="AL71" s="294">
        <f t="shared" si="20"/>
        <v>-1718894.3722953906</v>
      </c>
      <c r="AM71" s="294">
        <f t="shared" si="20"/>
        <v>-1800869.2403043848</v>
      </c>
      <c r="AN71" s="294">
        <f t="shared" si="20"/>
        <v>-1886696.9271098019</v>
      </c>
      <c r="AO71" s="294">
        <f t="shared" si="20"/>
        <v>-1976558.5151950736</v>
      </c>
      <c r="AP71" s="294">
        <f t="shared" si="20"/>
        <v>-2070643.5979203535</v>
      </c>
    </row>
    <row r="72" spans="1:45" ht="15" thickBot="1" x14ac:dyDescent="0.25">
      <c r="A72" s="307" t="s">
        <v>257</v>
      </c>
      <c r="B72" s="308">
        <f t="shared" ref="B72:AO72" si="21">B70+B71</f>
        <v>12044816</v>
      </c>
      <c r="C72" s="308">
        <f t="shared" si="21"/>
        <v>-165449.50240000003</v>
      </c>
      <c r="D72" s="308">
        <f t="shared" si="21"/>
        <v>88741.879827951154</v>
      </c>
      <c r="E72" s="308">
        <f t="shared" si="21"/>
        <v>273817.11430047866</v>
      </c>
      <c r="F72" s="308">
        <f t="shared" si="21"/>
        <v>526331.01581388828</v>
      </c>
      <c r="G72" s="308">
        <f t="shared" si="21"/>
        <v>801411.81906984339</v>
      </c>
      <c r="H72" s="308">
        <f t="shared" si="21"/>
        <v>1100627.9183629663</v>
      </c>
      <c r="I72" s="308">
        <f t="shared" si="21"/>
        <v>1689457.0682084213</v>
      </c>
      <c r="J72" s="308">
        <f t="shared" si="21"/>
        <v>1778233.1839500398</v>
      </c>
      <c r="K72" s="308">
        <f t="shared" si="21"/>
        <v>1871077.3358705356</v>
      </c>
      <c r="L72" s="308">
        <f t="shared" si="21"/>
        <v>1968180.7216703177</v>
      </c>
      <c r="M72" s="308">
        <f t="shared" si="21"/>
        <v>2069743.5253417112</v>
      </c>
      <c r="N72" s="308">
        <f t="shared" si="21"/>
        <v>2175975.3395246826</v>
      </c>
      <c r="O72" s="308">
        <f t="shared" si="21"/>
        <v>2287095.6077132756</v>
      </c>
      <c r="P72" s="308">
        <f t="shared" si="21"/>
        <v>2403334.0872457549</v>
      </c>
      <c r="Q72" s="308">
        <f t="shared" si="21"/>
        <v>2524931.3340552831</v>
      </c>
      <c r="R72" s="308">
        <f t="shared" si="21"/>
        <v>2652139.2102038814</v>
      </c>
      <c r="S72" s="308">
        <f t="shared" si="21"/>
        <v>2785221.4152704859</v>
      </c>
      <c r="T72" s="308">
        <f t="shared" si="21"/>
        <v>2924454.0427142428</v>
      </c>
      <c r="U72" s="308">
        <f t="shared" si="21"/>
        <v>3070126.1623868784</v>
      </c>
      <c r="V72" s="308">
        <f t="shared" si="21"/>
        <v>3222540.4304231503</v>
      </c>
      <c r="W72" s="308">
        <f t="shared" si="21"/>
        <v>3382013.7277961494</v>
      </c>
      <c r="X72" s="308">
        <f t="shared" si="21"/>
        <v>3548877.8288847012</v>
      </c>
      <c r="Y72" s="308">
        <f t="shared" si="21"/>
        <v>3723480.1014634385</v>
      </c>
      <c r="Z72" s="308">
        <f t="shared" si="21"/>
        <v>3906184.2395923971</v>
      </c>
      <c r="AA72" s="308">
        <f t="shared" si="21"/>
        <v>4097371.0309524396</v>
      </c>
      <c r="AB72" s="308">
        <f t="shared" si="21"/>
        <v>4297439.160245426</v>
      </c>
      <c r="AC72" s="308">
        <f t="shared" si="21"/>
        <v>4506806.0503542041</v>
      </c>
      <c r="AD72" s="308">
        <f t="shared" si="21"/>
        <v>4725908.7430371176</v>
      </c>
      <c r="AE72" s="308">
        <f t="shared" si="21"/>
        <v>4955204.8210151512</v>
      </c>
      <c r="AF72" s="308">
        <f t="shared" si="21"/>
        <v>5195173.3733971743</v>
      </c>
      <c r="AG72" s="308">
        <f t="shared" si="21"/>
        <v>5444093.8519912846</v>
      </c>
      <c r="AH72" s="308">
        <f t="shared" si="21"/>
        <v>5704713.5930793202</v>
      </c>
      <c r="AI72" s="308">
        <f t="shared" si="21"/>
        <v>5977582.4619984925</v>
      </c>
      <c r="AJ72" s="308">
        <f t="shared" si="21"/>
        <v>6263276.1677568648</v>
      </c>
      <c r="AK72" s="308">
        <f t="shared" si="21"/>
        <v>6562397.4776858818</v>
      </c>
      <c r="AL72" s="308">
        <f t="shared" si="21"/>
        <v>6875577.4891815614</v>
      </c>
      <c r="AM72" s="308">
        <f t="shared" si="21"/>
        <v>7203476.9612175394</v>
      </c>
      <c r="AN72" s="308">
        <f t="shared" si="21"/>
        <v>7546787.7084392067</v>
      </c>
      <c r="AO72" s="308">
        <f t="shared" si="21"/>
        <v>7906234.0607802942</v>
      </c>
      <c r="AP72" s="308">
        <f>AP70+AP71</f>
        <v>8282574.3916814132</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15056020</v>
      </c>
      <c r="C75" s="301">
        <f t="shared" si="24"/>
        <v>-206811.87800000003</v>
      </c>
      <c r="D75" s="301">
        <f>D68</f>
        <v>110927.34978493894</v>
      </c>
      <c r="E75" s="301">
        <f t="shared" si="24"/>
        <v>342271.39287559834</v>
      </c>
      <c r="F75" s="301">
        <f t="shared" si="24"/>
        <v>657913.7697673603</v>
      </c>
      <c r="G75" s="301">
        <f t="shared" si="24"/>
        <v>1001764.7738373042</v>
      </c>
      <c r="H75" s="301">
        <f t="shared" si="24"/>
        <v>1375784.8979537077</v>
      </c>
      <c r="I75" s="301">
        <f t="shared" si="24"/>
        <v>2111821.3352605267</v>
      </c>
      <c r="J75" s="301">
        <f t="shared" si="24"/>
        <v>2222791.4799375497</v>
      </c>
      <c r="K75" s="301">
        <f t="shared" si="24"/>
        <v>2338846.6698381696</v>
      </c>
      <c r="L75" s="301">
        <f t="shared" si="24"/>
        <v>2460225.9020878971</v>
      </c>
      <c r="M75" s="301">
        <f t="shared" si="24"/>
        <v>2587179.406677139</v>
      </c>
      <c r="N75" s="301">
        <f t="shared" si="24"/>
        <v>2719969.1744058533</v>
      </c>
      <c r="O75" s="301">
        <f t="shared" si="24"/>
        <v>2858869.5096415943</v>
      </c>
      <c r="P75" s="301">
        <f t="shared" si="24"/>
        <v>3004167.6090571936</v>
      </c>
      <c r="Q75" s="301">
        <f t="shared" si="24"/>
        <v>3156164.1675691037</v>
      </c>
      <c r="R75" s="301">
        <f t="shared" si="24"/>
        <v>3315174.0127548515</v>
      </c>
      <c r="S75" s="301">
        <f t="shared" si="24"/>
        <v>3481526.7690881072</v>
      </c>
      <c r="T75" s="301">
        <f t="shared" si="24"/>
        <v>3655567.5533928038</v>
      </c>
      <c r="U75" s="301">
        <f t="shared" si="24"/>
        <v>3837657.7029835982</v>
      </c>
      <c r="V75" s="301">
        <f t="shared" si="24"/>
        <v>4028175.5380289378</v>
      </c>
      <c r="W75" s="301">
        <f t="shared" si="24"/>
        <v>4227517.1597451866</v>
      </c>
      <c r="X75" s="301">
        <f t="shared" si="24"/>
        <v>4436097.2861058768</v>
      </c>
      <c r="Y75" s="301">
        <f t="shared" si="24"/>
        <v>4654350.1268292982</v>
      </c>
      <c r="Z75" s="301">
        <f t="shared" si="24"/>
        <v>4882730.2994904965</v>
      </c>
      <c r="AA75" s="301">
        <f t="shared" si="24"/>
        <v>5121713.7886905493</v>
      </c>
      <c r="AB75" s="301">
        <f t="shared" si="24"/>
        <v>5371798.9503067825</v>
      </c>
      <c r="AC75" s="301">
        <f t="shared" si="24"/>
        <v>5633507.5629427554</v>
      </c>
      <c r="AD75" s="301">
        <f t="shared" si="24"/>
        <v>5907385.9287963975</v>
      </c>
      <c r="AE75" s="301">
        <f t="shared" si="24"/>
        <v>6194006.0262689386</v>
      </c>
      <c r="AF75" s="301">
        <f t="shared" si="24"/>
        <v>6493966.7167464681</v>
      </c>
      <c r="AG75" s="301">
        <f t="shared" si="24"/>
        <v>6805117.3149891058</v>
      </c>
      <c r="AH75" s="301">
        <f t="shared" si="24"/>
        <v>7130891.9913491504</v>
      </c>
      <c r="AI75" s="301">
        <f t="shared" si="24"/>
        <v>7471978.0774981156</v>
      </c>
      <c r="AJ75" s="301">
        <f t="shared" si="24"/>
        <v>7829095.2096960815</v>
      </c>
      <c r="AK75" s="301">
        <f t="shared" si="24"/>
        <v>8202996.8471073527</v>
      </c>
      <c r="AL75" s="301">
        <f t="shared" si="24"/>
        <v>8594471.8614769522</v>
      </c>
      <c r="AM75" s="301">
        <f t="shared" si="24"/>
        <v>9004346.2015219238</v>
      </c>
      <c r="AN75" s="301">
        <f t="shared" si="24"/>
        <v>9433484.6355490088</v>
      </c>
      <c r="AO75" s="301">
        <f t="shared" si="24"/>
        <v>9882792.5759753678</v>
      </c>
      <c r="AP75" s="301">
        <f>AP68</f>
        <v>10353217.989601767</v>
      </c>
    </row>
    <row r="76" spans="1:45" x14ac:dyDescent="0.2">
      <c r="A76" s="302" t="s">
        <v>255</v>
      </c>
      <c r="B76" s="294">
        <f t="shared" ref="B76:AO76" si="25">-B67</f>
        <v>0</v>
      </c>
      <c r="C76" s="294">
        <f>-C67</f>
        <v>126258.77777777781</v>
      </c>
      <c r="D76" s="294">
        <f t="shared" si="25"/>
        <v>126258.77777777781</v>
      </c>
      <c r="E76" s="294">
        <f t="shared" si="25"/>
        <v>126258.77777777781</v>
      </c>
      <c r="F76" s="294">
        <f>-C67</f>
        <v>126258.77777777781</v>
      </c>
      <c r="G76" s="294">
        <f t="shared" si="25"/>
        <v>126258.77777777781</v>
      </c>
      <c r="H76" s="294">
        <f t="shared" si="25"/>
        <v>126258.77777777781</v>
      </c>
      <c r="I76" s="294">
        <f t="shared" si="25"/>
        <v>126258.77777777781</v>
      </c>
      <c r="J76" s="294">
        <f t="shared" si="25"/>
        <v>126258.77777777781</v>
      </c>
      <c r="K76" s="294">
        <f t="shared" si="25"/>
        <v>126258.77777777781</v>
      </c>
      <c r="L76" s="294">
        <f>-L67</f>
        <v>126258.77777777781</v>
      </c>
      <c r="M76" s="294">
        <f>-M67</f>
        <v>126258.77777777781</v>
      </c>
      <c r="N76" s="294">
        <f t="shared" si="25"/>
        <v>126258.77777777781</v>
      </c>
      <c r="O76" s="294">
        <f t="shared" si="25"/>
        <v>126258.77777777781</v>
      </c>
      <c r="P76" s="294">
        <f t="shared" si="25"/>
        <v>126258.77777777781</v>
      </c>
      <c r="Q76" s="294">
        <f t="shared" si="25"/>
        <v>126258.77777777781</v>
      </c>
      <c r="R76" s="294">
        <f t="shared" si="25"/>
        <v>126258.77777777781</v>
      </c>
      <c r="S76" s="294">
        <f t="shared" si="25"/>
        <v>126258.77777777781</v>
      </c>
      <c r="T76" s="294">
        <f t="shared" si="25"/>
        <v>126258.77777777781</v>
      </c>
      <c r="U76" s="294">
        <f t="shared" si="25"/>
        <v>126258.77777777781</v>
      </c>
      <c r="V76" s="294">
        <f t="shared" si="25"/>
        <v>126258.77777777781</v>
      </c>
      <c r="W76" s="294">
        <f t="shared" si="25"/>
        <v>126258.77777777781</v>
      </c>
      <c r="X76" s="294">
        <f t="shared" si="25"/>
        <v>126258.77777777781</v>
      </c>
      <c r="Y76" s="294">
        <f t="shared" si="25"/>
        <v>126258.77777777781</v>
      </c>
      <c r="Z76" s="294">
        <f t="shared" si="25"/>
        <v>126258.77777777781</v>
      </c>
      <c r="AA76" s="294">
        <f t="shared" si="25"/>
        <v>126258.77777777781</v>
      </c>
      <c r="AB76" s="294">
        <f t="shared" si="25"/>
        <v>126258.77777777781</v>
      </c>
      <c r="AC76" s="294">
        <f t="shared" si="25"/>
        <v>126258.77777777781</v>
      </c>
      <c r="AD76" s="294">
        <f t="shared" si="25"/>
        <v>126258.77777777781</v>
      </c>
      <c r="AE76" s="294">
        <f t="shared" si="25"/>
        <v>126258.77777777781</v>
      </c>
      <c r="AF76" s="294">
        <f t="shared" si="25"/>
        <v>126258.77777777781</v>
      </c>
      <c r="AG76" s="294">
        <f t="shared" si="25"/>
        <v>126258.77777777781</v>
      </c>
      <c r="AH76" s="294">
        <f t="shared" si="25"/>
        <v>126258.77777777781</v>
      </c>
      <c r="AI76" s="294">
        <f t="shared" si="25"/>
        <v>126258.77777777781</v>
      </c>
      <c r="AJ76" s="294">
        <f t="shared" si="25"/>
        <v>126258.77777777781</v>
      </c>
      <c r="AK76" s="294">
        <f t="shared" si="25"/>
        <v>126258.77777777781</v>
      </c>
      <c r="AL76" s="294">
        <f t="shared" si="25"/>
        <v>126258.77777777781</v>
      </c>
      <c r="AM76" s="294">
        <f t="shared" si="25"/>
        <v>126258.77777777781</v>
      </c>
      <c r="AN76" s="294">
        <f t="shared" si="25"/>
        <v>126258.77777777781</v>
      </c>
      <c r="AO76" s="294">
        <f t="shared" si="25"/>
        <v>126258.77777777781</v>
      </c>
      <c r="AP76" s="294">
        <f>-AP67</f>
        <v>126258.77777777781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-3011204</v>
      </c>
      <c r="C78" s="294">
        <f>IF(SUM($B$71:C71)+SUM($A$78:B78)&gt;0,0,SUM($B$71:C71)-SUM($A$78:B78))</f>
        <v>41362.375599999912</v>
      </c>
      <c r="D78" s="294">
        <f>IF(SUM($B$71:D71)+SUM($A$78:C78)&gt;0,0,SUM($B$71:D71)-SUM($A$78:C78))</f>
        <v>-22185.469956988003</v>
      </c>
      <c r="E78" s="294">
        <f>IF(SUM($B$71:E71)+SUM($A$78:D78)&gt;0,0,SUM($B$71:E71)-SUM($A$78:D78))</f>
        <v>-68454.278575119562</v>
      </c>
      <c r="F78" s="294">
        <f>IF(SUM($B$71:F71)+SUM($A$78:E78)&gt;0,0,SUM($B$71:F71)-SUM($A$78:E78))</f>
        <v>-131582.75395347225</v>
      </c>
      <c r="G78" s="294">
        <f>IF(SUM($B$71:G71)+SUM($A$78:F78)&gt;0,0,SUM($B$71:G71)-SUM($A$78:F78))</f>
        <v>-200352.95476746093</v>
      </c>
      <c r="H78" s="294">
        <f>IF(SUM($B$71:H71)+SUM($A$78:G78)&gt;0,0,SUM($B$71:H71)-SUM($A$78:G78))</f>
        <v>-275156.97959074145</v>
      </c>
      <c r="I78" s="294">
        <f>IF(SUM($B$71:I71)+SUM($A$78:H78)&gt;0,0,SUM($B$71:I71)-SUM($A$78:H78))</f>
        <v>-422364.26705210516</v>
      </c>
      <c r="J78" s="294">
        <f>IF(SUM($B$71:J71)+SUM($A$78:I78)&gt;0,0,SUM($B$71:J71)-SUM($A$78:I78))</f>
        <v>-444558.29598751012</v>
      </c>
      <c r="K78" s="294">
        <f>IF(SUM($B$71:K71)+SUM($A$78:J78)&gt;0,0,SUM($B$71:K71)-SUM($A$78:J78))</f>
        <v>-467769.33396763355</v>
      </c>
      <c r="L78" s="294">
        <f>IF(SUM($B$71:L71)+SUM($A$78:K78)&gt;0,0,SUM($B$71:L71)-SUM($A$78:K78))</f>
        <v>-492045.1804175796</v>
      </c>
      <c r="M78" s="294">
        <f>IF(SUM($B$71:M71)+SUM($A$78:L78)&gt;0,0,SUM($B$71:M71)-SUM($A$78:L78))</f>
        <v>-517435.88133542798</v>
      </c>
      <c r="N78" s="294">
        <f>IF(SUM($B$71:N71)+SUM($A$78:M78)&gt;0,0,SUM($B$71:N71)-SUM($A$78:M78))</f>
        <v>-543993.83488117065</v>
      </c>
      <c r="O78" s="294">
        <f>IF(SUM($B$71:O71)+SUM($A$78:N78)&gt;0,0,SUM($B$71:O71)-SUM($A$78:N78))</f>
        <v>-571773.90192831866</v>
      </c>
      <c r="P78" s="294">
        <f>IF(SUM($B$71:P71)+SUM($A$78:O78)&gt;0,0,SUM($B$71:P71)-SUM($A$78:O78))</f>
        <v>-600833.52181143872</v>
      </c>
      <c r="Q78" s="294">
        <f>IF(SUM($B$71:Q71)+SUM($A$78:P78)&gt;0,0,SUM($B$71:Q71)-SUM($A$78:P78))</f>
        <v>-631232.83351382054</v>
      </c>
      <c r="R78" s="294">
        <f>IF(SUM($B$71:R71)+SUM($A$78:Q78)&gt;0,0,SUM($B$71:R71)-SUM($A$78:Q78))</f>
        <v>-663034.80255096965</v>
      </c>
      <c r="S78" s="294">
        <f>IF(SUM($B$71:S71)+SUM($A$78:R78)&gt;0,0,SUM($B$71:S71)-SUM($A$78:R78))</f>
        <v>-696305.35381762125</v>
      </c>
      <c r="T78" s="294">
        <f>IF(SUM($B$71:T71)+SUM($A$78:S78)&gt;0,0,SUM($B$71:T71)-SUM($A$78:S78))</f>
        <v>-731113.5106785614</v>
      </c>
      <c r="U78" s="294">
        <f>IF(SUM($B$71:U71)+SUM($A$78:T78)&gt;0,0,SUM($B$71:U71)-SUM($A$78:T78))</f>
        <v>-767531.54059671983</v>
      </c>
      <c r="V78" s="294">
        <f>IF(SUM($B$71:V71)+SUM($A$78:U78)&gt;0,0,SUM($B$71:V71)-SUM($A$78:U78))</f>
        <v>-805635.10760578699</v>
      </c>
      <c r="W78" s="294">
        <f>IF(SUM($B$71:W71)+SUM($A$78:V78)&gt;0,0,SUM($B$71:W71)-SUM($A$78:V78))</f>
        <v>-845503.43194903806</v>
      </c>
      <c r="X78" s="294">
        <f>IF(SUM($B$71:X71)+SUM($A$78:W78)&gt;0,0,SUM($B$71:X71)-SUM($A$78:W78))</f>
        <v>-887219.45722117461</v>
      </c>
      <c r="Y78" s="294">
        <f>IF(SUM($B$71:Y71)+SUM($A$78:X78)&gt;0,0,SUM($B$71:Y71)-SUM($A$78:X78))</f>
        <v>-930870.02536585927</v>
      </c>
      <c r="Z78" s="294">
        <f>IF(SUM($B$71:Z71)+SUM($A$78:Y78)&gt;0,0,SUM($B$71:Z71)-SUM($A$78:Y78))</f>
        <v>-976546.05989809893</v>
      </c>
      <c r="AA78" s="294">
        <f>IF(SUM($B$71:AA71)+SUM($A$78:Z78)&gt;0,0,SUM($B$71:AA71)-SUM($A$78:Z78))</f>
        <v>-1024342.7577381097</v>
      </c>
      <c r="AB78" s="294">
        <f>IF(SUM($B$71:AB71)+SUM($A$78:AA78)&gt;0,0,SUM($B$71:AB71)-SUM($A$78:AA78))</f>
        <v>-1074359.7900613565</v>
      </c>
      <c r="AC78" s="294">
        <f>IF(SUM($B$71:AC71)+SUM($A$78:AB78)&gt;0,0,SUM($B$71:AC71)-SUM($A$78:AB78))</f>
        <v>-1126701.5125885494</v>
      </c>
      <c r="AD78" s="294">
        <f>IF(SUM($B$71:AD71)+SUM($A$78:AC78)&gt;0,0,SUM($B$71:AD71)-SUM($A$78:AC78))</f>
        <v>-1181477.1857592799</v>
      </c>
      <c r="AE78" s="294">
        <f>IF(SUM($B$71:AE71)+SUM($A$78:AD78)&gt;0,0,SUM($B$71:AE71)-SUM($A$78:AD78))</f>
        <v>-1238801.2052537873</v>
      </c>
      <c r="AF78" s="294">
        <f>IF(SUM($B$71:AF71)+SUM($A$78:AE78)&gt;0,0,SUM($B$71:AF71)-SUM($A$78:AE78))</f>
        <v>-1298793.3433492929</v>
      </c>
      <c r="AG78" s="294">
        <f>IF(SUM($B$71:AG71)+SUM($A$78:AF78)&gt;0,0,SUM($B$71:AG71)-SUM($A$78:AF78))</f>
        <v>-1361023.4629978202</v>
      </c>
      <c r="AH78" s="294">
        <f>IF(SUM($B$71:AH71)+SUM($A$78:AG78)&gt;0,0,SUM($B$71:AH71)-SUM($A$78:AG78))</f>
        <v>-1426178.3982698321</v>
      </c>
      <c r="AI78" s="294">
        <f>IF(SUM($B$71:AI71)+SUM($A$78:AH78)&gt;0,0,SUM($B$71:AI71)-SUM($A$78:AH78))</f>
        <v>-1494395.6154996231</v>
      </c>
      <c r="AJ78" s="294">
        <f>IF(SUM($B$71:AJ71)+SUM($A$78:AI78)&gt;0,0,SUM($B$71:AJ71)-SUM($A$78:AI78))</f>
        <v>-1565819.0419392176</v>
      </c>
      <c r="AK78" s="294">
        <f>IF(SUM($B$71:AK71)+SUM($A$78:AJ78)&gt;0,0,SUM($B$71:AK71)-SUM($A$78:AJ78))</f>
        <v>-1640599.3694214709</v>
      </c>
      <c r="AL78" s="294">
        <f>IF(SUM($B$71:AL71)+SUM($A$78:AK78)&gt;0,0,SUM($B$71:AL71)-SUM($A$78:AK78))</f>
        <v>-1718894.3722953908</v>
      </c>
      <c r="AM78" s="294">
        <f>IF(SUM($B$71:AM71)+SUM($A$78:AL78)&gt;0,0,SUM($B$71:AM71)-SUM($A$78:AL78))</f>
        <v>-1800869.2403043844</v>
      </c>
      <c r="AN78" s="294">
        <f>IF(SUM($B$71:AN71)+SUM($A$78:AM78)&gt;0,0,SUM($B$71:AN71)-SUM($A$78:AM78))</f>
        <v>-1886696.9271098003</v>
      </c>
      <c r="AO78" s="294">
        <f>IF(SUM($B$71:AO71)+SUM($A$78:AN78)&gt;0,0,SUM($B$71:AO71)-SUM($A$78:AN78))</f>
        <v>-1976558.5151950717</v>
      </c>
      <c r="AP78" s="294">
        <f>IF(SUM($B$71:AP71)+SUM($A$78:AO78)&gt;0,0,SUM($B$71:AP71)-SUM($A$78:AO78))</f>
        <v>-2070643.5979203507</v>
      </c>
    </row>
    <row r="79" spans="1:45" x14ac:dyDescent="0.2">
      <c r="A79" s="302" t="s">
        <v>252</v>
      </c>
      <c r="B79" s="294">
        <f ca="1">IF(((SUM($B$59:B59)+SUM($B$61:B64))+SUM($B$81:B81))&lt;0,((SUM($B$59:B59)+SUM($B$61:B64))+SUM($B$81:B81))*0.2-SUM($A$79:A79),IF(SUM(A$79:$B79)&lt;0,0-SUM(A$79:$B79),0))</f>
        <v>-496988.79600000003</v>
      </c>
      <c r="C79" s="294">
        <f ca="1">IF(((SUM($B$59:C59)+SUM($B$61:C64))+SUM($B$81:C81))&lt;0,((SUM($B$59:C59)+SUM($B$61:C64))+SUM($B$81:C81))*0.18-SUM($A$79:B79),IF(SUM($B$79:B79)&lt;0,0-SUM($B$79:B79),0))</f>
        <v>49698.879600000044</v>
      </c>
      <c r="D79" s="294">
        <f ca="1">IF(((SUM($B$59:D59)+SUM($B$61:D64))+SUM($B$81:D81))&lt;0,((SUM($B$59:D59)+SUM($B$61:D64))+SUM($B$81:D81))*0.2-SUM($A$79:C79),IF(SUM($B$79:C79)&lt;0,0-SUM($B$79:C79),0))</f>
        <v>11813.108121798548</v>
      </c>
      <c r="E79" s="294">
        <f ca="1">IF(((SUM($B$59:E59)+SUM($B$61:E64))+SUM($B$81:E81))&lt;0,((SUM($B$59:E59)+SUM($B$61:E64))+SUM($B$81:E81))*0.2-SUM($A$79:D79),IF(SUM($B$79:D79)&lt;0,0-SUM($B$79:D79),0))</f>
        <v>106604.28613950458</v>
      </c>
      <c r="F79" s="294">
        <f ca="1">IF(((SUM($B$59:F59)+SUM($B$61:F64))+SUM($B$81:F81))&lt;0,((SUM($B$59:F59)+SUM($B$61:F64))+SUM($B$81:F81))*0.2-SUM($A$79:E79),IF(SUM($B$79:E79)&lt;0,0-SUM($B$79:E79),0))</f>
        <v>167728.06352440067</v>
      </c>
      <c r="G79" s="294">
        <f ca="1">IF(((SUM($B$59:G59)+SUM($B$61:G64))+SUM($B$81:G81))&lt;0,((SUM($B$59:G59)+SUM($B$61:G64))+SUM($B$81:G81))*0.18-SUM($A$79:F79),IF(SUM($B$79:F79)&lt;0,0-SUM($B$79:F79),0))</f>
        <v>161144.45861429619</v>
      </c>
      <c r="H79" s="294">
        <f ca="1">IF(((SUM($B$59:H59)+SUM($B$61:H64))+SUM($B$81:H81))&lt;0,((SUM($B$59:H59)+SUM($B$61:H64))+SUM($B$81:H81))*0.18-SUM($A$79:G79),IF(SUM($B$79:G79)&lt;0,0-SUM($B$79:G79),0))</f>
        <v>0</v>
      </c>
      <c r="I79" s="294">
        <f ca="1">IF(((SUM($B$59:I59)+SUM($B$61:I64))+SUM($B$81:I81))&lt;0,((SUM($B$59:I59)+SUM($B$61:I64))+SUM($B$81:I81))*0.18-SUM($A$79:H79),IF(SUM($B$79:H79)&lt;0,0-SUM($B$79:H79),0))</f>
        <v>0</v>
      </c>
      <c r="J79" s="294">
        <f ca="1">IF(((SUM($B$59:J59)+SUM($B$61:J64))+SUM($B$81:J81))&lt;0,((SUM($B$59:J59)+SUM($B$61:J64))+SUM($B$81:J81))*0.18-SUM($A$79:I79),IF(SUM($B$79:I79)&lt;0,0-SUM($B$79:I79),0))</f>
        <v>0</v>
      </c>
      <c r="K79" s="294">
        <f ca="1">IF(((SUM($B$59:K59)+SUM($B$61:K64))+SUM($B$81:K81))&lt;0,((SUM($B$59:K59)+SUM($B$61:K64))+SUM($B$81:K81))*0.18-SUM($A$79:J79),IF(SUM($B$79:J79)&lt;0,0-SUM($B$79:J79),0))</f>
        <v>0</v>
      </c>
      <c r="L79" s="294">
        <f ca="1">IF(((SUM($B$59:L59)+SUM($B$61:L64))+SUM($B$81:L81))&lt;0,((SUM($B$59:L59)+SUM($B$61:L64))+SUM($B$81:L81))*0.18-SUM($A$79:K79),IF(SUM($B$79:K79)&lt;0,0-SUM($B$79:K79),0))</f>
        <v>0</v>
      </c>
      <c r="M79" s="294">
        <f ca="1">IF(((SUM($B$59:M59)+SUM($B$61:M64))+SUM($B$81:M81))&lt;0,((SUM($B$59:M59)+SUM($B$61:M64))+SUM($B$81:M81))*0.18-SUM($A$79:L79),IF(SUM($B$79:L79)&lt;0,0-SUM($B$79:L79),0))</f>
        <v>0</v>
      </c>
      <c r="N79" s="294">
        <f ca="1">IF(((SUM($B$59:N59)+SUM($B$61:N64))+SUM($B$81:N81))&lt;0,((SUM($B$59:N59)+SUM($B$61:N64))+SUM($B$81:N81))*0.18-SUM($A$79:M79),IF(SUM($B$79:M79)&lt;0,0-SUM($B$79:M79),0))</f>
        <v>0</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-4545316.0000000009</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-4545316.0000000009</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-2984943.98</v>
      </c>
      <c r="C83" s="301">
        <f t="shared" ref="C83:V83" ca="1" si="29">SUM(C75:C82)</f>
        <v>5393.3240444444964</v>
      </c>
      <c r="D83" s="301">
        <f t="shared" ca="1" si="29"/>
        <v>260277.7256756596</v>
      </c>
      <c r="E83" s="301">
        <f t="shared" ca="1" si="29"/>
        <v>513910.31958641182</v>
      </c>
      <c r="F83" s="301">
        <f t="shared" ca="1" si="29"/>
        <v>820751.42873311427</v>
      </c>
      <c r="G83" s="301">
        <f t="shared" ca="1" si="29"/>
        <v>1081925.7404092082</v>
      </c>
      <c r="H83" s="301">
        <f t="shared" ca="1" si="29"/>
        <v>1212111.5084820229</v>
      </c>
      <c r="I83" s="301">
        <f t="shared" ca="1" si="29"/>
        <v>1786253.2696495736</v>
      </c>
      <c r="J83" s="301">
        <f t="shared" ca="1" si="29"/>
        <v>1872097.8399897707</v>
      </c>
      <c r="K83" s="301">
        <f t="shared" ca="1" si="29"/>
        <v>1961919.6606915118</v>
      </c>
      <c r="L83" s="301">
        <f t="shared" ca="1" si="29"/>
        <v>2055905.6625217902</v>
      </c>
      <c r="M83" s="301">
        <f t="shared" ca="1" si="29"/>
        <v>2154251.5619936478</v>
      </c>
      <c r="N83" s="301">
        <f t="shared" ca="1" si="29"/>
        <v>2257162.2742962381</v>
      </c>
      <c r="O83" s="301">
        <f t="shared" ca="1" si="29"/>
        <v>2364852.3456326057</v>
      </c>
      <c r="P83" s="301">
        <f t="shared" ca="1" si="29"/>
        <v>2477546.4058773378</v>
      </c>
      <c r="Q83" s="301">
        <f t="shared" ca="1" si="29"/>
        <v>2595479.642509128</v>
      </c>
      <c r="R83" s="301">
        <f t="shared" ca="1" si="29"/>
        <v>2718898.2968181679</v>
      </c>
      <c r="S83" s="301">
        <f t="shared" ca="1" si="29"/>
        <v>2848060.1834352887</v>
      </c>
      <c r="T83" s="301">
        <f t="shared" ca="1" si="29"/>
        <v>2983235.2342789685</v>
      </c>
      <c r="U83" s="301">
        <f t="shared" ca="1" si="29"/>
        <v>3124706.0680678585</v>
      </c>
      <c r="V83" s="301">
        <f t="shared" ca="1" si="29"/>
        <v>3272768.5866003796</v>
      </c>
      <c r="W83" s="301">
        <f ca="1">SUM(W75:W82)</f>
        <v>3427732.5990594858</v>
      </c>
      <c r="X83" s="301">
        <f ca="1">SUM(X75:X82)</f>
        <v>3589922.4756597271</v>
      </c>
      <c r="Y83" s="301">
        <f ca="1">SUM(Y75:Y82)</f>
        <v>3759677.8320157342</v>
      </c>
      <c r="Z83" s="301">
        <f ca="1">SUM(Z75:Z82)</f>
        <v>3937354.2456760285</v>
      </c>
      <c r="AA83" s="301">
        <f t="shared" ref="AA83:AP83" ca="1" si="30">SUM(AA75:AA82)</f>
        <v>4123324.0063339127</v>
      </c>
      <c r="AB83" s="301">
        <f t="shared" ca="1" si="30"/>
        <v>4317976.9012982724</v>
      </c>
      <c r="AC83" s="301">
        <f t="shared" ca="1" si="30"/>
        <v>4521721.0378815131</v>
      </c>
      <c r="AD83" s="301">
        <f t="shared" ca="1" si="30"/>
        <v>4734983.7044397201</v>
      </c>
      <c r="AE83" s="301">
        <f t="shared" ca="1" si="30"/>
        <v>4958212.2718817201</v>
      </c>
      <c r="AF83" s="301">
        <f t="shared" ca="1" si="30"/>
        <v>5191875.1375490502</v>
      </c>
      <c r="AG83" s="301">
        <f t="shared" ca="1" si="30"/>
        <v>5435240.4912360795</v>
      </c>
      <c r="AH83" s="301">
        <f t="shared" ca="1" si="30"/>
        <v>5690044.0165463965</v>
      </c>
      <c r="AI83" s="301">
        <f t="shared" ca="1" si="30"/>
        <v>5956823.307546299</v>
      </c>
      <c r="AJ83" s="301">
        <f t="shared" ca="1" si="30"/>
        <v>6236141.2252231967</v>
      </c>
      <c r="AK83" s="301">
        <f t="shared" ca="1" si="30"/>
        <v>6528587.0850309087</v>
      </c>
      <c r="AL83" s="301">
        <f t="shared" ca="1" si="30"/>
        <v>6834777.9002495836</v>
      </c>
      <c r="AM83" s="301">
        <f t="shared" ca="1" si="30"/>
        <v>7155359.6837835368</v>
      </c>
      <c r="AN83" s="301">
        <f t="shared" ca="1" si="30"/>
        <v>7491008.8111435827</v>
      </c>
      <c r="AO83" s="301">
        <f t="shared" ca="1" si="30"/>
        <v>7842433.4474895541</v>
      </c>
      <c r="AP83" s="301">
        <f t="shared" ca="1" si="30"/>
        <v>8210375.0417437833</v>
      </c>
    </row>
    <row r="84" spans="1:44" ht="14.25" x14ac:dyDescent="0.2">
      <c r="A84" s="303" t="s">
        <v>551</v>
      </c>
      <c r="B84" s="301">
        <f ca="1">SUM($B$83:B83)</f>
        <v>-2984943.98</v>
      </c>
      <c r="C84" s="301">
        <f ca="1">SUM($B$83:C83)</f>
        <v>-2979550.6559555554</v>
      </c>
      <c r="D84" s="301">
        <f ca="1">SUM($B$83:D83)</f>
        <v>-2719272.9302798957</v>
      </c>
      <c r="E84" s="301">
        <f ca="1">SUM($B$83:E83)</f>
        <v>-2205362.6106934836</v>
      </c>
      <c r="F84" s="301">
        <f ca="1">SUM($B$83:F83)</f>
        <v>-1384611.1819603695</v>
      </c>
      <c r="G84" s="301">
        <f ca="1">SUM($B$83:G83)</f>
        <v>-302685.44155116123</v>
      </c>
      <c r="H84" s="301">
        <f ca="1">SUM($B$83:H83)</f>
        <v>909426.06693086168</v>
      </c>
      <c r="I84" s="301">
        <f ca="1">SUM($B$83:I83)</f>
        <v>2695679.3365804353</v>
      </c>
      <c r="J84" s="301">
        <f ca="1">SUM($B$83:J83)</f>
        <v>4567777.1765702059</v>
      </c>
      <c r="K84" s="301">
        <f ca="1">SUM($B$83:K83)</f>
        <v>6529696.8372617178</v>
      </c>
      <c r="L84" s="301">
        <f ca="1">SUM($B$83:L83)</f>
        <v>8585602.4997835085</v>
      </c>
      <c r="M84" s="301">
        <f ca="1">SUM($B$83:M83)</f>
        <v>10739854.061777156</v>
      </c>
      <c r="N84" s="301">
        <f ca="1">SUM($B$83:N83)</f>
        <v>12997016.336073395</v>
      </c>
      <c r="O84" s="301">
        <f ca="1">SUM($B$83:O83)</f>
        <v>15361868.681706</v>
      </c>
      <c r="P84" s="301">
        <f ca="1">SUM($B$83:P83)</f>
        <v>17839415.087583337</v>
      </c>
      <c r="Q84" s="301">
        <f ca="1">SUM($B$83:Q83)</f>
        <v>20434894.730092466</v>
      </c>
      <c r="R84" s="301">
        <f ca="1">SUM($B$83:R83)</f>
        <v>23153793.026910633</v>
      </c>
      <c r="S84" s="301">
        <f ca="1">SUM($B$83:S83)</f>
        <v>26001853.21034592</v>
      </c>
      <c r="T84" s="301">
        <f ca="1">SUM($B$83:T83)</f>
        <v>28985088.44462489</v>
      </c>
      <c r="U84" s="301">
        <f ca="1">SUM($B$83:U83)</f>
        <v>32109794.51269275</v>
      </c>
      <c r="V84" s="301">
        <f ca="1">SUM($B$83:V83)</f>
        <v>35382563.099293128</v>
      </c>
      <c r="W84" s="301">
        <f ca="1">SUM($B$83:W83)</f>
        <v>38810295.698352613</v>
      </c>
      <c r="X84" s="301">
        <f ca="1">SUM($B$83:X83)</f>
        <v>42400218.174012341</v>
      </c>
      <c r="Y84" s="301">
        <f ca="1">SUM($B$83:Y83)</f>
        <v>46159896.006028071</v>
      </c>
      <c r="Z84" s="301">
        <f ca="1">SUM($B$83:Z83)</f>
        <v>50097250.251704097</v>
      </c>
      <c r="AA84" s="301">
        <f ca="1">SUM($B$83:AA83)</f>
        <v>54220574.258038007</v>
      </c>
      <c r="AB84" s="301">
        <f ca="1">SUM($B$83:AB83)</f>
        <v>58538551.159336276</v>
      </c>
      <c r="AC84" s="301">
        <f ca="1">SUM($B$83:AC83)</f>
        <v>63060272.197217792</v>
      </c>
      <c r="AD84" s="301">
        <f ca="1">SUM($B$83:AD83)</f>
        <v>67795255.901657507</v>
      </c>
      <c r="AE84" s="301">
        <f ca="1">SUM($B$83:AE83)</f>
        <v>72753468.173539221</v>
      </c>
      <c r="AF84" s="301">
        <f ca="1">SUM($B$83:AF83)</f>
        <v>77945343.311088264</v>
      </c>
      <c r="AG84" s="301">
        <f ca="1">SUM($B$83:AG83)</f>
        <v>83380583.80232434</v>
      </c>
      <c r="AH84" s="301">
        <f ca="1">SUM($B$83:AH83)</f>
        <v>89070627.818870738</v>
      </c>
      <c r="AI84" s="301">
        <f ca="1">SUM($B$83:AI83)</f>
        <v>95027451.126417041</v>
      </c>
      <c r="AJ84" s="301">
        <f ca="1">SUM($B$83:AJ83)</f>
        <v>101263592.35164024</v>
      </c>
      <c r="AK84" s="301">
        <f ca="1">SUM($B$83:AK83)</f>
        <v>107792179.43667115</v>
      </c>
      <c r="AL84" s="301">
        <f ca="1">SUM($B$83:AL83)</f>
        <v>114626957.33692074</v>
      </c>
      <c r="AM84" s="301">
        <f ca="1">SUM($B$83:AM83)</f>
        <v>121782317.02070427</v>
      </c>
      <c r="AN84" s="301">
        <f ca="1">SUM($B$83:AN83)</f>
        <v>129273325.83184785</v>
      </c>
      <c r="AO84" s="301">
        <f ca="1">SUM($B$83:AO83)</f>
        <v>137115759.27933741</v>
      </c>
      <c r="AP84" s="301">
        <f ca="1">SUM($B$83:AP83)</f>
        <v>145326134.32108119</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-2847715.6544598872</v>
      </c>
      <c r="C86" s="301">
        <f ca="1">C83*C85</f>
        <v>4683.1474062140678</v>
      </c>
      <c r="D86" s="301">
        <f t="shared" ref="D86:AO86" ca="1" si="32">D83*D85</f>
        <v>205702.32095227341</v>
      </c>
      <c r="E86" s="301">
        <f t="shared" ca="1" si="32"/>
        <v>369666.7614865572</v>
      </c>
      <c r="F86" s="301">
        <f t="shared" ca="1" si="32"/>
        <v>537347.93851289665</v>
      </c>
      <c r="G86" s="301">
        <f t="shared" ca="1" si="32"/>
        <v>644706.82609670702</v>
      </c>
      <c r="H86" s="301">
        <f t="shared" ca="1" si="32"/>
        <v>657397.82871299365</v>
      </c>
      <c r="I86" s="301">
        <f t="shared" ca="1" si="32"/>
        <v>881758.3944283661</v>
      </c>
      <c r="J86" s="301">
        <f t="shared" ca="1" si="32"/>
        <v>841116.17324284476</v>
      </c>
      <c r="K86" s="301">
        <f t="shared" ca="1" si="32"/>
        <v>802286.5960721561</v>
      </c>
      <c r="L86" s="301">
        <f t="shared" ca="1" si="32"/>
        <v>765195.44352263119</v>
      </c>
      <c r="M86" s="301">
        <f t="shared" ca="1" si="32"/>
        <v>729770.80410203326</v>
      </c>
      <c r="N86" s="301">
        <f t="shared" ca="1" si="32"/>
        <v>695943.0890607594</v>
      </c>
      <c r="O86" s="301">
        <f t="shared" ca="1" si="32"/>
        <v>663645.03391570761</v>
      </c>
      <c r="P86" s="301">
        <f t="shared" ca="1" si="32"/>
        <v>632811.68855450395</v>
      </c>
      <c r="Q86" s="301">
        <f t="shared" ca="1" si="32"/>
        <v>603380.39760196034</v>
      </c>
      <c r="R86" s="301">
        <f t="shared" ca="1" si="32"/>
        <v>575290.7725374311</v>
      </c>
      <c r="S86" s="301">
        <f t="shared" ca="1" si="32"/>
        <v>548484.65687889897</v>
      </c>
      <c r="T86" s="301">
        <f t="shared" ca="1" si="32"/>
        <v>522906.0855950581</v>
      </c>
      <c r="U86" s="301">
        <f t="shared" ca="1" si="32"/>
        <v>498501.23976852745</v>
      </c>
      <c r="V86" s="301">
        <f t="shared" ca="1" si="32"/>
        <v>475218.39740996424</v>
      </c>
      <c r="W86" s="301">
        <f t="shared" ca="1" si="32"/>
        <v>453007.88121273817</v>
      </c>
      <c r="X86" s="301">
        <f t="shared" ca="1" si="32"/>
        <v>431822.00393960194</v>
      </c>
      <c r="Y86" s="301">
        <f t="shared" ca="1" si="32"/>
        <v>411615.01204527513</v>
      </c>
      <c r="Z86" s="301">
        <f t="shared" ca="1" si="32"/>
        <v>392343.02806090045</v>
      </c>
      <c r="AA86" s="301">
        <f t="shared" ca="1" si="32"/>
        <v>373963.99219697306</v>
      </c>
      <c r="AB86" s="301">
        <f t="shared" ca="1" si="32"/>
        <v>356437.6035596921</v>
      </c>
      <c r="AC86" s="301">
        <f t="shared" ca="1" si="32"/>
        <v>339725.26132093603</v>
      </c>
      <c r="AD86" s="301">
        <f t="shared" ca="1" si="32"/>
        <v>323790.00613348593</v>
      </c>
      <c r="AE86" s="301">
        <f t="shared" ca="1" si="32"/>
        <v>308596.46204010578</v>
      </c>
      <c r="AF86" s="301">
        <f t="shared" ca="1" si="32"/>
        <v>294110.77908699866</v>
      </c>
      <c r="AG86" s="301">
        <f t="shared" ca="1" si="32"/>
        <v>280237.55981427676</v>
      </c>
      <c r="AH86" s="301">
        <f t="shared" ca="1" si="32"/>
        <v>267020.17686034628</v>
      </c>
      <c r="AI86" s="301">
        <f t="shared" ca="1" si="32"/>
        <v>254427.49783436861</v>
      </c>
      <c r="AJ86" s="301">
        <f t="shared" ca="1" si="32"/>
        <v>242429.87969902539</v>
      </c>
      <c r="AK86" s="301">
        <f t="shared" ca="1" si="32"/>
        <v>230999.09649615726</v>
      </c>
      <c r="AL86" s="301">
        <f t="shared" ca="1" si="32"/>
        <v>220108.27067022424</v>
      </c>
      <c r="AM86" s="301">
        <f t="shared" ca="1" si="32"/>
        <v>209731.80780260079</v>
      </c>
      <c r="AN86" s="301">
        <f t="shared" ca="1" si="32"/>
        <v>199845.33458010864</v>
      </c>
      <c r="AO86" s="301">
        <f t="shared" ca="1" si="32"/>
        <v>190425.63983094366</v>
      </c>
      <c r="AP86" s="301">
        <f ca="1">AP83*AP85</f>
        <v>181450.61847032048</v>
      </c>
    </row>
    <row r="87" spans="1:44" ht="14.25" x14ac:dyDescent="0.2">
      <c r="A87" s="300" t="s">
        <v>553</v>
      </c>
      <c r="B87" s="301">
        <f ca="1">SUM($B$86:B86)</f>
        <v>-2847715.6544598872</v>
      </c>
      <c r="C87" s="301">
        <f ca="1">SUM($B$86:C86)</f>
        <v>-2843032.5070536733</v>
      </c>
      <c r="D87" s="301">
        <f ca="1">SUM($B$86:D86)</f>
        <v>-2637330.1861013998</v>
      </c>
      <c r="E87" s="301">
        <f ca="1">SUM($B$86:E86)</f>
        <v>-2267663.4246148425</v>
      </c>
      <c r="F87" s="301">
        <f ca="1">SUM($B$86:F86)</f>
        <v>-1730315.4861019459</v>
      </c>
      <c r="G87" s="301">
        <f ca="1">SUM($B$86:G86)</f>
        <v>-1085608.6600052388</v>
      </c>
      <c r="H87" s="301">
        <f ca="1">SUM($B$86:H86)</f>
        <v>-428210.83129224519</v>
      </c>
      <c r="I87" s="301">
        <f ca="1">SUM($B$86:I86)</f>
        <v>453547.56313612091</v>
      </c>
      <c r="J87" s="301">
        <f ca="1">SUM($B$86:J86)</f>
        <v>1294663.7363789657</v>
      </c>
      <c r="K87" s="301">
        <f ca="1">SUM($B$86:K86)</f>
        <v>2096950.3324511219</v>
      </c>
      <c r="L87" s="301">
        <f ca="1">SUM($B$86:L86)</f>
        <v>2862145.7759737531</v>
      </c>
      <c r="M87" s="301">
        <f ca="1">SUM($B$86:M86)</f>
        <v>3591916.5800757864</v>
      </c>
      <c r="N87" s="301">
        <f ca="1">SUM($B$86:N86)</f>
        <v>4287859.6691365456</v>
      </c>
      <c r="O87" s="301">
        <f ca="1">SUM($B$86:O86)</f>
        <v>4951504.7030522535</v>
      </c>
      <c r="P87" s="301">
        <f ca="1">SUM($B$86:P86)</f>
        <v>5584316.3916067574</v>
      </c>
      <c r="Q87" s="301">
        <f ca="1">SUM($B$86:Q86)</f>
        <v>6187696.7892087176</v>
      </c>
      <c r="R87" s="301">
        <f ca="1">SUM($B$86:R86)</f>
        <v>6762987.5617461484</v>
      </c>
      <c r="S87" s="301">
        <f ca="1">SUM($B$86:S86)</f>
        <v>7311472.2186250472</v>
      </c>
      <c r="T87" s="301">
        <f ca="1">SUM($B$86:T86)</f>
        <v>7834378.3042201055</v>
      </c>
      <c r="U87" s="301">
        <f ca="1">SUM($B$86:U86)</f>
        <v>8332879.543988633</v>
      </c>
      <c r="V87" s="301">
        <f ca="1">SUM($B$86:V86)</f>
        <v>8808097.9413985964</v>
      </c>
      <c r="W87" s="301">
        <f ca="1">SUM($B$86:W86)</f>
        <v>9261105.8226113338</v>
      </c>
      <c r="X87" s="301">
        <f ca="1">SUM($B$86:X86)</f>
        <v>9692927.8265509363</v>
      </c>
      <c r="Y87" s="301">
        <f ca="1">SUM($B$86:Y86)</f>
        <v>10104542.838596212</v>
      </c>
      <c r="Z87" s="301">
        <f ca="1">SUM($B$86:Z86)</f>
        <v>10496885.866657112</v>
      </c>
      <c r="AA87" s="301">
        <f ca="1">SUM($B$86:AA86)</f>
        <v>10870849.858854085</v>
      </c>
      <c r="AB87" s="301">
        <f ca="1">SUM($B$86:AB86)</f>
        <v>11227287.462413777</v>
      </c>
      <c r="AC87" s="301">
        <f ca="1">SUM($B$86:AC86)</f>
        <v>11567012.723734712</v>
      </c>
      <c r="AD87" s="301">
        <f ca="1">SUM($B$86:AD86)</f>
        <v>11890802.729868198</v>
      </c>
      <c r="AE87" s="301">
        <f ca="1">SUM($B$86:AE86)</f>
        <v>12199399.191908304</v>
      </c>
      <c r="AF87" s="301">
        <f ca="1">SUM($B$86:AF86)</f>
        <v>12493509.970995303</v>
      </c>
      <c r="AG87" s="301">
        <f ca="1">SUM($B$86:AG86)</f>
        <v>12773747.530809579</v>
      </c>
      <c r="AH87" s="301">
        <f ca="1">SUM($B$86:AH86)</f>
        <v>13040767.707669925</v>
      </c>
      <c r="AI87" s="301">
        <f ca="1">SUM($B$86:AI86)</f>
        <v>13295195.205504294</v>
      </c>
      <c r="AJ87" s="301">
        <f ca="1">SUM($B$86:AJ86)</f>
        <v>13537625.08520332</v>
      </c>
      <c r="AK87" s="301">
        <f ca="1">SUM($B$86:AK86)</f>
        <v>13768624.181699477</v>
      </c>
      <c r="AL87" s="301">
        <f ca="1">SUM($B$86:AL86)</f>
        <v>13988732.452369701</v>
      </c>
      <c r="AM87" s="301">
        <f ca="1">SUM($B$86:AM86)</f>
        <v>14198464.260172302</v>
      </c>
      <c r="AN87" s="301">
        <f ca="1">SUM($B$86:AN86)</f>
        <v>14398309.59475241</v>
      </c>
      <c r="AO87" s="301">
        <f ca="1">SUM($B$86:AO86)</f>
        <v>14588735.234583354</v>
      </c>
      <c r="AP87" s="301">
        <f ca="1">SUM($B$86:AP86)</f>
        <v>14770185.853053674</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5.9715104809415553E-2</v>
      </c>
      <c r="I88" s="310">
        <f ca="1">IF((ISERR(IRR($B$83:I83))),0,IF(IRR($B$83:I83)&lt;0,0,IRR($B$83:I83)))</f>
        <v>0.13088498822639938</v>
      </c>
      <c r="J88" s="310">
        <f ca="1">IF((ISERR(IRR($B$83:J83))),0,IF(IRR($B$83:J83)&lt;0,0,IRR($B$83:J83)))</f>
        <v>0.17443714284881717</v>
      </c>
      <c r="K88" s="310">
        <f ca="1">IF((ISERR(IRR($B$83:K83))),0,IF(IRR($B$83:K83)&lt;0,0,IRR($B$83:K83)))</f>
        <v>0.20328724930752751</v>
      </c>
      <c r="L88" s="310">
        <f ca="1">IF((ISERR(IRR($B$83:L83))),0,IF(IRR($B$83:L83)&lt;0,0,IRR($B$83:L83)))</f>
        <v>0.22330347928126759</v>
      </c>
      <c r="M88" s="310">
        <f ca="1">IF((ISERR(IRR($B$83:M83))),0,IF(IRR($B$83:M83)&lt;0,0,IRR($B$83:M83)))</f>
        <v>0.23763664549313201</v>
      </c>
      <c r="N88" s="310">
        <f ca="1">IF((ISERR(IRR($B$83:N83))),0,IF(IRR($B$83:N83)&lt;0,0,IRR($B$83:N83)))</f>
        <v>0.24814292129857241</v>
      </c>
      <c r="O88" s="310">
        <f ca="1">IF((ISERR(IRR($B$83:O83))),0,IF(IRR($B$83:O83)&lt;0,0,IRR($B$83:O83)))</f>
        <v>0.25598461502624215</v>
      </c>
      <c r="P88" s="310">
        <f ca="1">IF((ISERR(IRR($B$83:P83))),0,IF(IRR($B$83:P83)&lt;0,0,IRR($B$83:P83)))</f>
        <v>0.26192248806440444</v>
      </c>
      <c r="Q88" s="310">
        <f ca="1">IF((ISERR(IRR($B$83:Q83))),0,IF(IRR($B$83:Q83)&lt;0,0,IRR($B$83:Q83)))</f>
        <v>0.26647174551942499</v>
      </c>
      <c r="R88" s="310">
        <f ca="1">IF((ISERR(IRR($B$83:R83))),0,IF(IRR($B$83:R83)&lt;0,0,IRR($B$83:R83)))</f>
        <v>0.26999095067980727</v>
      </c>
      <c r="S88" s="310">
        <f ca="1">IF((ISERR(IRR($B$83:S83))),0,IF(IRR($B$83:S83)&lt;0,0,IRR($B$83:S83)))</f>
        <v>0.27273531251868843</v>
      </c>
      <c r="T88" s="310">
        <f ca="1">IF((ISERR(IRR($B$83:T83))),0,IF(IRR($B$83:T83)&lt;0,0,IRR($B$83:T83)))</f>
        <v>0.27488992159747161</v>
      </c>
      <c r="U88" s="310">
        <f ca="1">IF((ISERR(IRR($B$83:U83))),0,IF(IRR($B$83:U83)&lt;0,0,IRR($B$83:U83)))</f>
        <v>0.27659117085867146</v>
      </c>
      <c r="V88" s="310">
        <f ca="1">IF((ISERR(IRR($B$83:V83))),0,IF(IRR($B$83:V83)&lt;0,0,IRR($B$83:V83)))</f>
        <v>0.2779409482110915</v>
      </c>
      <c r="W88" s="310">
        <f ca="1">IF((ISERR(IRR($B$83:W83))),0,IF(IRR($B$83:W83)&lt;0,0,IRR($B$83:W83)))</f>
        <v>0.27901626546425895</v>
      </c>
      <c r="X88" s="310">
        <f ca="1">IF((ISERR(IRR($B$83:X83))),0,IF(IRR($B$83:X83)&lt;0,0,IRR($B$83:X83)))</f>
        <v>0.27987592709490849</v>
      </c>
      <c r="Y88" s="310">
        <f ca="1">IF((ISERR(IRR($B$83:Y83))),0,IF(IRR($B$83:Y83)&lt;0,0,IRR($B$83:Y83)))</f>
        <v>0.28056523331985828</v>
      </c>
      <c r="Z88" s="310">
        <f ca="1">IF((ISERR(IRR($B$83:Z83))),0,IF(IRR($B$83:Z83)&lt;0,0,IRR($B$83:Z83)))</f>
        <v>0.2811193505848224</v>
      </c>
      <c r="AA88" s="310">
        <f ca="1">IF((ISERR(IRR($B$83:AA83))),0,IF(IRR($B$83:AA83)&lt;0,0,IRR($B$83:AA83)))</f>
        <v>0.2815657618955294</v>
      </c>
      <c r="AB88" s="310">
        <f ca="1">IF((ISERR(IRR($B$83:AB83))),0,IF(IRR($B$83:AB83)&lt;0,0,IRR($B$83:AB83)))</f>
        <v>0.28192607120244406</v>
      </c>
      <c r="AC88" s="310">
        <f ca="1">IF((ISERR(IRR($B$83:AC83))),0,IF(IRR($B$83:AC83)&lt;0,0,IRR($B$83:AC83)))</f>
        <v>0.28221734752626748</v>
      </c>
      <c r="AD88" s="310">
        <f ca="1">IF((ISERR(IRR($B$83:AD83))),0,IF(IRR($B$83:AD83)&lt;0,0,IRR($B$83:AD83)))</f>
        <v>0.28245313666637206</v>
      </c>
      <c r="AE88" s="310">
        <f ca="1">IF((ISERR(IRR($B$83:AE83))),0,IF(IRR($B$83:AE83)&lt;0,0,IRR($B$83:AE83)))</f>
        <v>0.2826442298469003</v>
      </c>
      <c r="AF88" s="310">
        <f ca="1">IF((ISERR(IRR($B$83:AF83))),0,IF(IRR($B$83:AF83)&lt;0,0,IRR($B$83:AF83)))</f>
        <v>0.28279925262360828</v>
      </c>
      <c r="AG88" s="310">
        <f ca="1">IF((ISERR(IRR($B$83:AG83))),0,IF(IRR($B$83:AG83)&lt;0,0,IRR($B$83:AG83)))</f>
        <v>0.28292509127270971</v>
      </c>
      <c r="AH88" s="310">
        <f ca="1">IF((ISERR(IRR($B$83:AH83))),0,IF(IRR($B$83:AH83)&lt;0,0,IRR($B$83:AH83)))</f>
        <v>0.28302731532720826</v>
      </c>
      <c r="AI88" s="310">
        <f ca="1">IF((ISERR(IRR($B$83:AI83))),0,IF(IRR($B$83:AI83)&lt;0,0,IRR($B$83:AI83)))</f>
        <v>0.28311040852041547</v>
      </c>
      <c r="AJ88" s="310">
        <f ca="1">IF((ISERR(IRR($B$83:AJ83))),0,IF(IRR($B$83:AJ83)&lt;0,0,IRR($B$83:AJ83)))</f>
        <v>0.2831779873448137</v>
      </c>
      <c r="AK88" s="310">
        <f ca="1">IF((ISERR(IRR($B$83:AK83))),0,IF(IRR($B$83:AK83)&lt;0,0,IRR($B$83:AK83)))</f>
        <v>0.28323297358492838</v>
      </c>
      <c r="AL88" s="310">
        <f ca="1">IF((ISERR(IRR($B$83:AL83))),0,IF(IRR($B$83:AL83)&lt;0,0,IRR($B$83:AL83)))</f>
        <v>0.2832777311040553</v>
      </c>
      <c r="AM88" s="310">
        <f ca="1">IF((ISERR(IRR($B$83:AM83))),0,IF(IRR($B$83:AM83)&lt;0,0,IRR($B$83:AM83)))</f>
        <v>0.28331417470376419</v>
      </c>
      <c r="AN88" s="310">
        <f ca="1">IF((ISERR(IRR($B$83:AN83))),0,IF(IRR($B$83:AN83)&lt;0,0,IRR($B$83:AN83)))</f>
        <v>0.28334385704836196</v>
      </c>
      <c r="AO88" s="310">
        <f ca="1">IF((ISERR(IRR($B$83:AO83))),0,IF(IRR($B$83:AO83)&lt;0,0,IRR($B$83:AO83)))</f>
        <v>0.28336803827808343</v>
      </c>
      <c r="AP88" s="310">
        <f ca="1">IF((ISERR(IRR($B$83:AP83))),0,IF(IRR($B$83:AP83)&lt;0,0,IRR($B$83:AP83)))</f>
        <v>0.28338774190192395</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6.2497174883936433</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7.4856328377455927</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77" t="s">
        <v>562</v>
      </c>
      <c r="B97" s="477"/>
      <c r="C97" s="477"/>
      <c r="D97" s="477"/>
      <c r="E97" s="477"/>
      <c r="F97" s="477"/>
      <c r="G97" s="477"/>
      <c r="H97" s="477"/>
      <c r="I97" s="477"/>
      <c r="J97" s="477"/>
      <c r="K97" s="477"/>
      <c r="L97" s="477"/>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-4336351.9095815662</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-4336351.9095815662</v>
      </c>
      <c r="AR99" s="324"/>
      <c r="AS99" s="324"/>
    </row>
    <row r="100" spans="1:71" s="328" customFormat="1" hidden="1" x14ac:dyDescent="0.2">
      <c r="A100" s="326">
        <f>AQ99</f>
        <v>-4336351.9095815662</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14770185.853053674</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7.1927780291555443</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2.8621457759737532</v>
      </c>
      <c r="B105" s="335">
        <f ca="1">L88</f>
        <v>0.22330347928126759</v>
      </c>
      <c r="C105" s="336">
        <f ca="1">G28</f>
        <v>6.2497174883936433</v>
      </c>
      <c r="D105" s="336">
        <f ca="1">G29</f>
        <v>7.4856328377455927</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195594.15599999999</v>
      </c>
      <c r="I108" s="342">
        <f t="shared" si="38"/>
        <v>391188.31199999998</v>
      </c>
      <c r="J108" s="342">
        <f t="shared" si="38"/>
        <v>586782.46799999999</v>
      </c>
      <c r="K108" s="342">
        <f t="shared" si="38"/>
        <v>782376.62399999995</v>
      </c>
      <c r="L108" s="342">
        <f t="shared" si="38"/>
        <v>977970.78</v>
      </c>
      <c r="M108" s="342">
        <f t="shared" si="38"/>
        <v>1369159.0919999999</v>
      </c>
      <c r="N108" s="342">
        <f t="shared" si="38"/>
        <v>1369159.0919999999</v>
      </c>
      <c r="O108" s="342">
        <f t="shared" si="38"/>
        <v>1369159.0919999999</v>
      </c>
      <c r="P108" s="342">
        <f t="shared" si="38"/>
        <v>1369159.0919999999</v>
      </c>
      <c r="Q108" s="342">
        <f t="shared" si="38"/>
        <v>1369159.0919999999</v>
      </c>
      <c r="R108" s="342">
        <f t="shared" si="38"/>
        <v>1369159.0919999999</v>
      </c>
      <c r="S108" s="342">
        <f t="shared" si="38"/>
        <v>1369159.0919999999</v>
      </c>
      <c r="T108" s="342">
        <f t="shared" si="38"/>
        <v>1369159.0919999999</v>
      </c>
      <c r="U108" s="342">
        <f t="shared" si="38"/>
        <v>1369159.0919999999</v>
      </c>
      <c r="V108" s="342">
        <f t="shared" si="38"/>
        <v>1369159.0919999999</v>
      </c>
      <c r="W108" s="342">
        <f t="shared" si="38"/>
        <v>1369159.0919999999</v>
      </c>
      <c r="X108" s="342">
        <f t="shared" si="38"/>
        <v>1369159.0919999999</v>
      </c>
      <c r="Y108" s="342">
        <f t="shared" si="38"/>
        <v>1369159.0919999999</v>
      </c>
      <c r="Z108" s="342">
        <f t="shared" si="38"/>
        <v>1369159.0919999999</v>
      </c>
      <c r="AA108" s="342">
        <f t="shared" si="38"/>
        <v>1369159.0919999999</v>
      </c>
      <c r="AB108" s="342">
        <f t="shared" si="38"/>
        <v>1369159.0919999999</v>
      </c>
      <c r="AC108" s="342">
        <f t="shared" si="38"/>
        <v>1369159.0919999999</v>
      </c>
      <c r="AD108" s="342">
        <f t="shared" si="38"/>
        <v>1369159.0919999999</v>
      </c>
      <c r="AE108" s="342">
        <f t="shared" si="38"/>
        <v>1369159.0919999999</v>
      </c>
      <c r="AF108" s="342">
        <f t="shared" si="38"/>
        <v>1369159.0919999999</v>
      </c>
      <c r="AG108" s="342">
        <f t="shared" si="38"/>
        <v>1369159.0919999999</v>
      </c>
      <c r="AH108" s="342">
        <f t="shared" si="38"/>
        <v>1369159.0919999999</v>
      </c>
      <c r="AI108" s="342">
        <f t="shared" si="38"/>
        <v>1369159.0919999999</v>
      </c>
      <c r="AJ108" s="342">
        <f t="shared" si="38"/>
        <v>1369159.0919999999</v>
      </c>
      <c r="AK108" s="342">
        <f t="shared" si="38"/>
        <v>1369159.0919999999</v>
      </c>
      <c r="AL108" s="342">
        <f t="shared" si="38"/>
        <v>1369159.0919999999</v>
      </c>
      <c r="AM108" s="342">
        <f t="shared" si="38"/>
        <v>1369159.0919999999</v>
      </c>
      <c r="AN108" s="342">
        <f t="shared" si="38"/>
        <v>1369159.0919999999</v>
      </c>
      <c r="AO108" s="342">
        <f t="shared" si="38"/>
        <v>1369159.0919999999</v>
      </c>
      <c r="AP108" s="342">
        <f t="shared" si="38"/>
        <v>1369159.0919999999</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0.06</v>
      </c>
      <c r="I109" s="340">
        <f t="shared" si="39"/>
        <v>0.12</v>
      </c>
      <c r="J109" s="340">
        <f t="shared" si="39"/>
        <v>0.18</v>
      </c>
      <c r="K109" s="340">
        <f t="shared" si="39"/>
        <v>0.24</v>
      </c>
      <c r="L109" s="340">
        <f t="shared" si="39"/>
        <v>0.3</v>
      </c>
      <c r="M109" s="340">
        <f t="shared" si="39"/>
        <v>0.42</v>
      </c>
      <c r="N109" s="340">
        <f t="shared" si="39"/>
        <v>0.42</v>
      </c>
      <c r="O109" s="340">
        <f t="shared" si="39"/>
        <v>0.42</v>
      </c>
      <c r="P109" s="340">
        <f t="shared" si="39"/>
        <v>0.42</v>
      </c>
      <c r="Q109" s="340">
        <f t="shared" si="39"/>
        <v>0.42</v>
      </c>
      <c r="R109" s="340">
        <f t="shared" si="39"/>
        <v>0.42</v>
      </c>
      <c r="S109" s="340">
        <f t="shared" si="39"/>
        <v>0.42</v>
      </c>
      <c r="T109" s="340">
        <f t="shared" si="39"/>
        <v>0.42</v>
      </c>
      <c r="U109" s="340">
        <f t="shared" si="39"/>
        <v>0.42</v>
      </c>
      <c r="V109" s="340">
        <f t="shared" si="39"/>
        <v>0.42</v>
      </c>
      <c r="W109" s="340">
        <f t="shared" si="39"/>
        <v>0.42</v>
      </c>
      <c r="X109" s="340">
        <f t="shared" si="39"/>
        <v>0.42</v>
      </c>
      <c r="Y109" s="340">
        <f t="shared" si="39"/>
        <v>0.42</v>
      </c>
      <c r="Z109" s="340">
        <f t="shared" si="39"/>
        <v>0.42</v>
      </c>
      <c r="AA109" s="340">
        <f t="shared" si="39"/>
        <v>0.42</v>
      </c>
      <c r="AB109" s="340">
        <f t="shared" si="39"/>
        <v>0.42</v>
      </c>
      <c r="AC109" s="340">
        <f t="shared" si="39"/>
        <v>0.42</v>
      </c>
      <c r="AD109" s="340">
        <f t="shared" si="39"/>
        <v>0.42</v>
      </c>
      <c r="AE109" s="340">
        <f t="shared" si="39"/>
        <v>0.42</v>
      </c>
      <c r="AF109" s="340">
        <f t="shared" si="39"/>
        <v>0.42</v>
      </c>
      <c r="AG109" s="340">
        <f t="shared" si="39"/>
        <v>0.42</v>
      </c>
      <c r="AH109" s="340">
        <f t="shared" si="39"/>
        <v>0.42</v>
      </c>
      <c r="AI109" s="340">
        <f t="shared" si="39"/>
        <v>0.42</v>
      </c>
      <c r="AJ109" s="340">
        <f t="shared" si="39"/>
        <v>0.42</v>
      </c>
      <c r="AK109" s="340">
        <f t="shared" si="39"/>
        <v>0.42</v>
      </c>
      <c r="AL109" s="340">
        <f t="shared" si="39"/>
        <v>0.42</v>
      </c>
      <c r="AM109" s="340">
        <f t="shared" si="39"/>
        <v>0.42</v>
      </c>
      <c r="AN109" s="340">
        <f t="shared" si="39"/>
        <v>0.42</v>
      </c>
      <c r="AO109" s="340">
        <f t="shared" si="39"/>
        <v>0.42</v>
      </c>
      <c r="AP109" s="340">
        <f t="shared" si="39"/>
        <v>0.42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78" t="s">
        <v>576</v>
      </c>
      <c r="C116" s="479"/>
      <c r="D116" s="478" t="s">
        <v>577</v>
      </c>
      <c r="E116" s="479"/>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1.2903225806451613</v>
      </c>
      <c r="H118" s="338" t="s">
        <v>579</v>
      </c>
      <c r="I118" s="338">
        <f>$B$110*G118</f>
        <v>1.2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1.2903225806451613</v>
      </c>
      <c r="H120" s="338" t="s">
        <v>579</v>
      </c>
      <c r="I120" s="343">
        <f>I118</f>
        <v>1.2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67" t="s">
        <v>284</v>
      </c>
      <c r="E122" s="353" t="s">
        <v>584</v>
      </c>
      <c r="F122" s="354">
        <v>35</v>
      </c>
      <c r="G122" s="46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67"/>
      <c r="E123" s="353" t="s">
        <v>585</v>
      </c>
      <c r="F123" s="354">
        <v>30</v>
      </c>
      <c r="G123" s="46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67"/>
      <c r="E124" s="353" t="s">
        <v>588</v>
      </c>
      <c r="F124" s="354">
        <v>30</v>
      </c>
      <c r="G124" s="46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67"/>
      <c r="E125" s="353" t="s">
        <v>589</v>
      </c>
      <c r="F125" s="354">
        <v>30</v>
      </c>
      <c r="G125" s="46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4545316.0000000009</v>
      </c>
      <c r="C126" s="359">
        <f>'6.2. Паспорт фин осв ввод'!D24*1000000</f>
        <v>4545316.0000000009</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hidden="1"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hidden="1"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J52" sqref="J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1" t="s">
        <v>7</v>
      </c>
      <c r="B7" s="421"/>
      <c r="C7" s="421"/>
      <c r="D7" s="421"/>
      <c r="E7" s="421"/>
      <c r="F7" s="421"/>
      <c r="G7" s="421"/>
      <c r="H7" s="421"/>
      <c r="I7" s="421"/>
      <c r="J7" s="421"/>
      <c r="K7" s="421"/>
    </row>
    <row r="8" spans="1:43" ht="18.75" x14ac:dyDescent="0.25">
      <c r="A8" s="421"/>
      <c r="B8" s="421"/>
      <c r="C8" s="421"/>
      <c r="D8" s="421"/>
      <c r="E8" s="421"/>
      <c r="F8" s="421"/>
      <c r="G8" s="421"/>
      <c r="H8" s="421"/>
      <c r="I8" s="421"/>
      <c r="J8" s="421"/>
      <c r="K8" s="421"/>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5" t="s">
        <v>6</v>
      </c>
      <c r="B10" s="425"/>
      <c r="C10" s="425"/>
      <c r="D10" s="425"/>
      <c r="E10" s="425"/>
      <c r="F10" s="425"/>
      <c r="G10" s="425"/>
      <c r="H10" s="425"/>
      <c r="I10" s="425"/>
      <c r="J10" s="425"/>
      <c r="K10" s="425"/>
    </row>
    <row r="11" spans="1:43" ht="18.75" x14ac:dyDescent="0.25">
      <c r="A11" s="421"/>
      <c r="B11" s="421"/>
      <c r="C11" s="421"/>
      <c r="D11" s="421"/>
      <c r="E11" s="421"/>
      <c r="F11" s="421"/>
      <c r="G11" s="421"/>
      <c r="H11" s="421"/>
      <c r="I11" s="421"/>
      <c r="J11" s="421"/>
      <c r="K11" s="421"/>
    </row>
    <row r="12" spans="1:43" x14ac:dyDescent="0.25">
      <c r="A12" s="426" t="str">
        <f>'1. паспорт местоположение'!A12:C12</f>
        <v>L_21-16</v>
      </c>
      <c r="B12" s="426"/>
      <c r="C12" s="426"/>
      <c r="D12" s="426"/>
      <c r="E12" s="426"/>
      <c r="F12" s="426"/>
      <c r="G12" s="426"/>
      <c r="H12" s="426"/>
      <c r="I12" s="426"/>
      <c r="J12" s="426"/>
      <c r="K12" s="426"/>
    </row>
    <row r="13" spans="1:43" x14ac:dyDescent="0.25">
      <c r="A13" s="425" t="s">
        <v>5</v>
      </c>
      <c r="B13" s="425"/>
      <c r="C13" s="425"/>
      <c r="D13" s="425"/>
      <c r="E13" s="425"/>
      <c r="F13" s="425"/>
      <c r="G13" s="425"/>
      <c r="H13" s="425"/>
      <c r="I13" s="425"/>
      <c r="J13" s="425"/>
      <c r="K13" s="425"/>
    </row>
    <row r="14" spans="1:43" ht="18.75" x14ac:dyDescent="0.25">
      <c r="A14" s="427"/>
      <c r="B14" s="427"/>
      <c r="C14" s="427"/>
      <c r="D14" s="427"/>
      <c r="E14" s="427"/>
      <c r="F14" s="427"/>
      <c r="G14" s="427"/>
      <c r="H14" s="427"/>
      <c r="I14" s="427"/>
      <c r="J14" s="427"/>
      <c r="K14" s="427"/>
    </row>
    <row r="15" spans="1:43" x14ac:dyDescent="0.25">
      <c r="A15" s="419" t="str">
        <f>'1. паспорт местоположение'!A15:C15</f>
        <v>Строительство  электроснабжения казино "Шамбала" п.Куликово, Зеленоградского р-на</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93" t="s">
        <v>392</v>
      </c>
      <c r="B19" s="493"/>
      <c r="C19" s="493"/>
      <c r="D19" s="493"/>
      <c r="E19" s="493"/>
      <c r="F19" s="493"/>
      <c r="G19" s="493"/>
      <c r="H19" s="493"/>
      <c r="I19" s="493"/>
      <c r="J19" s="493"/>
      <c r="K19" s="493"/>
    </row>
    <row r="20" spans="1:11" x14ac:dyDescent="0.25">
      <c r="A20" s="48"/>
      <c r="B20" s="48"/>
      <c r="C20" s="69"/>
      <c r="D20" s="69"/>
      <c r="E20" s="69"/>
      <c r="F20" s="69"/>
      <c r="G20" s="69"/>
      <c r="H20" s="69"/>
      <c r="I20" s="69"/>
      <c r="J20" s="69"/>
      <c r="K20" s="69"/>
    </row>
    <row r="21" spans="1:11" ht="28.5" customHeight="1" x14ac:dyDescent="0.25">
      <c r="A21" s="487" t="s">
        <v>199</v>
      </c>
      <c r="B21" s="487" t="s">
        <v>483</v>
      </c>
      <c r="C21" s="487" t="s">
        <v>351</v>
      </c>
      <c r="D21" s="487"/>
      <c r="E21" s="487"/>
      <c r="F21" s="487"/>
      <c r="G21" s="487"/>
      <c r="H21" s="487"/>
      <c r="I21" s="488" t="s">
        <v>198</v>
      </c>
      <c r="J21" s="489" t="s">
        <v>352</v>
      </c>
      <c r="K21" s="487" t="s">
        <v>197</v>
      </c>
    </row>
    <row r="22" spans="1:11" ht="58.5" customHeight="1" x14ac:dyDescent="0.25">
      <c r="A22" s="487"/>
      <c r="B22" s="487"/>
      <c r="C22" s="492" t="s">
        <v>534</v>
      </c>
      <c r="D22" s="492"/>
      <c r="E22" s="492" t="s">
        <v>9</v>
      </c>
      <c r="F22" s="492"/>
      <c r="G22" s="492" t="s">
        <v>535</v>
      </c>
      <c r="H22" s="492"/>
      <c r="I22" s="488"/>
      <c r="J22" s="490"/>
      <c r="K22" s="487"/>
    </row>
    <row r="23" spans="1:11" ht="31.5" x14ac:dyDescent="0.25">
      <c r="A23" s="487"/>
      <c r="B23" s="487"/>
      <c r="C23" s="199" t="s">
        <v>196</v>
      </c>
      <c r="D23" s="199" t="s">
        <v>195</v>
      </c>
      <c r="E23" s="199" t="s">
        <v>196</v>
      </c>
      <c r="F23" s="199" t="s">
        <v>195</v>
      </c>
      <c r="G23" s="199" t="s">
        <v>196</v>
      </c>
      <c r="H23" s="199" t="s">
        <v>195</v>
      </c>
      <c r="I23" s="488"/>
      <c r="J23" s="491"/>
      <c r="K23" s="487"/>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v>44197</v>
      </c>
      <c r="H37" s="206">
        <v>44494</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44494</v>
      </c>
      <c r="H40" s="206">
        <v>44499</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44494</v>
      </c>
      <c r="H43" s="206">
        <v>44499</v>
      </c>
      <c r="I43" s="218"/>
      <c r="J43" s="196"/>
      <c r="K43" s="196"/>
    </row>
    <row r="44" spans="1:11" x14ac:dyDescent="0.25">
      <c r="A44" s="204" t="s">
        <v>516</v>
      </c>
      <c r="B44" s="209" t="s">
        <v>189</v>
      </c>
      <c r="C44" s="233" t="s">
        <v>537</v>
      </c>
      <c r="D44" s="233" t="s">
        <v>537</v>
      </c>
      <c r="E44" s="217">
        <v>43084</v>
      </c>
      <c r="F44" s="217">
        <v>43266</v>
      </c>
      <c r="G44" s="206">
        <v>44494</v>
      </c>
      <c r="H44" s="206">
        <v>44530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44531</v>
      </c>
      <c r="H47" s="234">
        <v>44536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44531</v>
      </c>
      <c r="H49" s="234">
        <v>44536</v>
      </c>
      <c r="I49" s="218"/>
      <c r="J49" s="196"/>
      <c r="K49" s="196"/>
    </row>
    <row r="50" spans="1:11" ht="78.75" x14ac:dyDescent="0.25">
      <c r="A50" s="207" t="s">
        <v>523</v>
      </c>
      <c r="B50" s="209" t="s">
        <v>522</v>
      </c>
      <c r="C50" s="206" t="s">
        <v>537</v>
      </c>
      <c r="D50" s="206" t="s">
        <v>537</v>
      </c>
      <c r="E50" s="217">
        <v>43343</v>
      </c>
      <c r="F50" s="217">
        <v>43343</v>
      </c>
      <c r="G50" s="234">
        <v>44531</v>
      </c>
      <c r="H50" s="234">
        <v>44536</v>
      </c>
      <c r="I50" s="218"/>
      <c r="J50" s="196"/>
      <c r="K50" s="196"/>
    </row>
    <row r="51" spans="1:11" ht="63" x14ac:dyDescent="0.25">
      <c r="A51" s="204" t="s">
        <v>525</v>
      </c>
      <c r="B51" s="209" t="s">
        <v>524</v>
      </c>
      <c r="C51" s="206" t="s">
        <v>537</v>
      </c>
      <c r="D51" s="206" t="s">
        <v>537</v>
      </c>
      <c r="E51" s="217">
        <v>43343</v>
      </c>
      <c r="F51" s="217">
        <v>43343</v>
      </c>
      <c r="G51" s="234">
        <v>44531</v>
      </c>
      <c r="H51" s="234">
        <v>44536</v>
      </c>
      <c r="I51" s="218"/>
      <c r="J51" s="196"/>
      <c r="K51" s="196"/>
    </row>
    <row r="52" spans="1:11" ht="63" x14ac:dyDescent="0.25">
      <c r="A52" s="204" t="s">
        <v>526</v>
      </c>
      <c r="B52" s="209" t="s">
        <v>185</v>
      </c>
      <c r="C52" s="206" t="s">
        <v>537</v>
      </c>
      <c r="D52" s="206" t="s">
        <v>537</v>
      </c>
      <c r="E52" s="217"/>
      <c r="F52" s="217"/>
      <c r="G52" s="234">
        <v>44531</v>
      </c>
      <c r="H52" s="234">
        <v>44536</v>
      </c>
      <c r="I52" s="218"/>
      <c r="J52" s="196"/>
      <c r="K52" s="196"/>
    </row>
    <row r="53" spans="1:11" ht="31.5" x14ac:dyDescent="0.25">
      <c r="A53" s="204" t="s">
        <v>528</v>
      </c>
      <c r="B53" s="209" t="s">
        <v>527</v>
      </c>
      <c r="C53" s="235" t="s">
        <v>537</v>
      </c>
      <c r="D53" s="235" t="s">
        <v>537</v>
      </c>
      <c r="E53" s="217">
        <v>43343</v>
      </c>
      <c r="F53" s="217">
        <v>43343</v>
      </c>
      <c r="G53" s="234">
        <v>44531</v>
      </c>
      <c r="H53" s="234">
        <v>44536</v>
      </c>
      <c r="I53" s="218"/>
      <c r="J53" s="196"/>
      <c r="K53" s="196"/>
    </row>
    <row r="54" spans="1:11" ht="31.5" x14ac:dyDescent="0.25">
      <c r="A54" s="204" t="s">
        <v>532</v>
      </c>
      <c r="B54" s="209" t="s">
        <v>184</v>
      </c>
      <c r="C54" s="235" t="s">
        <v>537</v>
      </c>
      <c r="D54" s="235" t="s">
        <v>537</v>
      </c>
      <c r="E54" s="217">
        <v>43353</v>
      </c>
      <c r="F54" s="217">
        <v>43353</v>
      </c>
      <c r="G54" s="234">
        <v>44531</v>
      </c>
      <c r="H54" s="234">
        <v>44536</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2022-03-30T18:02:47Z</dcterms:modified>
</cp:coreProperties>
</file>