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J 19-10\J 19-10 паспорт_карта\"/>
    </mc:Choice>
  </mc:AlternateContent>
  <xr:revisionPtr revIDLastSave="0" documentId="13_ncr:1_{4E5E220D-78B7-47DD-91D7-4E7BEFCB7188}" xr6:coauthVersionLast="47" xr6:coauthVersionMax="47" xr10:uidLastSave="{00000000-0000-0000-0000-000000000000}"/>
  <bookViews>
    <workbookView xWindow="165" yWindow="30" windowWidth="28290" windowHeight="1560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5" i="31" l="1"/>
  <c r="B81" i="31"/>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C59" i="31"/>
  <c r="B59" i="31"/>
  <c r="AE58" i="31"/>
  <c r="AD58" i="31"/>
  <c r="AD80" i="31" s="1"/>
  <c r="AC58" i="31"/>
  <c r="AC80" i="31" s="1"/>
  <c r="AB58" i="31"/>
  <c r="AB80" i="31" s="1"/>
  <c r="AA58" i="31"/>
  <c r="Z58" i="31"/>
  <c r="Z80" i="31" s="1"/>
  <c r="Y58" i="31"/>
  <c r="Y80" i="31" s="1"/>
  <c r="X58" i="31"/>
  <c r="X80" i="31" s="1"/>
  <c r="W58" i="31"/>
  <c r="V58" i="31"/>
  <c r="V80" i="31" s="1"/>
  <c r="U58" i="31"/>
  <c r="U80" i="31" s="1"/>
  <c r="T58" i="31"/>
  <c r="T80" i="31" s="1"/>
  <c r="S58" i="31"/>
  <c r="R58" i="31"/>
  <c r="R80" i="31" s="1"/>
  <c r="Q58" i="31"/>
  <c r="Q80" i="31" s="1"/>
  <c r="P58" i="31"/>
  <c r="O58" i="31"/>
  <c r="N58" i="31"/>
  <c r="N80" i="31" s="1"/>
  <c r="M58" i="31"/>
  <c r="M80" i="31" s="1"/>
  <c r="L58" i="31"/>
  <c r="L80" i="31" s="1"/>
  <c r="K58" i="31"/>
  <c r="J58" i="31"/>
  <c r="J80" i="31" s="1"/>
  <c r="I58" i="31"/>
  <c r="I80" i="31" s="1"/>
  <c r="H58" i="31"/>
  <c r="H80" i="31" s="1"/>
  <c r="G58" i="31"/>
  <c r="F58" i="31"/>
  <c r="F80" i="31" s="1"/>
  <c r="E58" i="31"/>
  <c r="E80" i="31" s="1"/>
  <c r="D58" i="31"/>
  <c r="D80" i="31" s="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C76" i="31" l="1"/>
  <c r="C80" i="31"/>
  <c r="C66" i="31"/>
  <c r="C68" i="31" s="1"/>
  <c r="G80" i="31"/>
  <c r="K80" i="31"/>
  <c r="O80" i="31"/>
  <c r="S80" i="31"/>
  <c r="W80" i="31"/>
  <c r="AA80" i="31"/>
  <c r="AE80" i="31"/>
  <c r="P80" i="31"/>
  <c r="C75" i="31" l="1"/>
  <c r="C70" i="31"/>
  <c r="C71" i="31" l="1"/>
  <c r="C72" i="31" s="1"/>
  <c r="G54" i="16" l="1"/>
  <c r="AC29" i="29"/>
  <c r="AC28" i="29"/>
  <c r="AC26" i="29"/>
  <c r="AC25" i="29"/>
  <c r="AB28" i="29"/>
  <c r="AA24" i="29"/>
  <c r="V30" i="29"/>
  <c r="V27" i="29"/>
  <c r="W24" i="29"/>
  <c r="D57" i="29"/>
  <c r="D56" i="29"/>
  <c r="D55" i="29"/>
  <c r="D53" i="29"/>
  <c r="D51" i="29"/>
  <c r="D50" i="29"/>
  <c r="D49" i="29"/>
  <c r="D48" i="29"/>
  <c r="D47" i="29"/>
  <c r="D46" i="29"/>
  <c r="D45" i="29"/>
  <c r="D54" i="29" s="1"/>
  <c r="D44" i="29"/>
  <c r="D43" i="29"/>
  <c r="D41" i="29"/>
  <c r="D40" i="29"/>
  <c r="D39" i="29"/>
  <c r="D38" i="29"/>
  <c r="D36" i="29"/>
  <c r="D35" i="29"/>
  <c r="D34" i="29"/>
  <c r="D33" i="29"/>
  <c r="D32" i="29"/>
  <c r="D31" i="29"/>
  <c r="D30" i="29" l="1"/>
  <c r="D52" i="29"/>
  <c r="C54" i="16"/>
  <c r="D26" i="5"/>
  <c r="T30" i="29"/>
  <c r="C34" i="29"/>
  <c r="X34" i="29" s="1"/>
  <c r="AB34" i="29" s="1"/>
  <c r="C33" i="29"/>
  <c r="C32" i="29"/>
  <c r="X32" i="29" s="1"/>
  <c r="AB32" i="29" s="1"/>
  <c r="C31" i="29"/>
  <c r="T31" i="29" s="1"/>
  <c r="T33" i="29" s="1"/>
  <c r="D24" i="29" l="1"/>
  <c r="D27" i="29" s="1"/>
  <c r="B24" i="31"/>
  <c r="AB33" i="29"/>
  <c r="C30" i="29"/>
  <c r="P26" i="5" s="1"/>
  <c r="X33" i="29"/>
  <c r="X31" i="29"/>
  <c r="C24" i="29" l="1"/>
  <c r="D67" i="31"/>
  <c r="D65" i="31" s="1"/>
  <c r="D59" i="31" s="1"/>
  <c r="D66" i="31" s="1"/>
  <c r="B28" i="31"/>
  <c r="I60" i="31" s="1"/>
  <c r="B49" i="31"/>
  <c r="B58" i="31" s="1"/>
  <c r="B34" i="31"/>
  <c r="K61" i="31" s="1"/>
  <c r="X30" i="29"/>
  <c r="X24" i="29" l="1"/>
  <c r="AB24" i="29" s="1"/>
  <c r="AB30" i="29"/>
  <c r="B79" i="31"/>
  <c r="B80" i="31"/>
  <c r="B66" i="31"/>
  <c r="B68" i="31" s="1"/>
  <c r="S61" i="31"/>
  <c r="O60" i="31"/>
  <c r="X64" i="29"/>
  <c r="AB64" i="29" s="1"/>
  <c r="X63" i="29"/>
  <c r="X62" i="29"/>
  <c r="X61" i="29"/>
  <c r="AB61" i="29" s="1"/>
  <c r="X60" i="29"/>
  <c r="X59" i="29"/>
  <c r="X42" i="29"/>
  <c r="AB42" i="29" s="1"/>
  <c r="X37" i="29"/>
  <c r="AB37" i="29" s="1"/>
  <c r="U60" i="31" l="1"/>
  <c r="AA61" i="31"/>
  <c r="B75" i="31"/>
  <c r="B70" i="31"/>
  <c r="B71" i="31" s="1"/>
  <c r="C57" i="29"/>
  <c r="X57" i="29" s="1"/>
  <c r="AB57" i="29" s="1"/>
  <c r="C50" i="29"/>
  <c r="B25" i="26"/>
  <c r="B22" i="26"/>
  <c r="P62" i="29"/>
  <c r="P63" i="29"/>
  <c r="P58" i="29"/>
  <c r="P59" i="29"/>
  <c r="P60" i="29"/>
  <c r="C45" i="29"/>
  <c r="G26" i="5" s="1"/>
  <c r="P25" i="29"/>
  <c r="B72" i="31" l="1"/>
  <c r="B78" i="31"/>
  <c r="B83" i="31" s="1"/>
  <c r="C78" i="31"/>
  <c r="X50" i="29"/>
  <c r="AB50" i="29" s="1"/>
  <c r="L26" i="5"/>
  <c r="B24" i="26"/>
  <c r="X45" i="29"/>
  <c r="AB45" i="29" s="1"/>
  <c r="C54" i="29"/>
  <c r="C52" i="29"/>
  <c r="X52" i="29" s="1"/>
  <c r="B27" i="26"/>
  <c r="AB52" i="29" l="1"/>
  <c r="X58" i="29"/>
  <c r="B86" i="31"/>
  <c r="B84" i="31"/>
  <c r="B89" i="31" s="1"/>
  <c r="B88" i="31"/>
  <c r="P54" i="29"/>
  <c r="X54" i="29"/>
  <c r="C27" i="29"/>
  <c r="H58" i="29"/>
  <c r="H59" i="29"/>
  <c r="H60" i="29"/>
  <c r="H62" i="29"/>
  <c r="H63" i="29"/>
  <c r="AB54" i="29" l="1"/>
  <c r="B87" i="31"/>
  <c r="B90" i="31" s="1"/>
  <c r="X27" i="29"/>
  <c r="T27" i="29"/>
  <c r="AB27" i="29" l="1"/>
  <c r="H26" i="29"/>
  <c r="H25" i="29"/>
  <c r="F31" i="29"/>
  <c r="E58" i="29"/>
  <c r="E59" i="29"/>
  <c r="Z59" i="29" s="1"/>
  <c r="AC59" i="29" s="1"/>
  <c r="E60" i="29"/>
  <c r="Z60" i="29" s="1"/>
  <c r="AC60" i="29" s="1"/>
  <c r="E61" i="29"/>
  <c r="Z61" i="29" s="1"/>
  <c r="AC61" i="29" s="1"/>
  <c r="E62" i="29"/>
  <c r="Z62" i="29" s="1"/>
  <c r="AC62" i="29" s="1"/>
  <c r="E63" i="29"/>
  <c r="Z63" i="29" s="1"/>
  <c r="AC63" i="29" s="1"/>
  <c r="E64" i="29"/>
  <c r="Z64" i="29" s="1"/>
  <c r="AC64" i="29" s="1"/>
  <c r="E54" i="29"/>
  <c r="E57" i="29"/>
  <c r="E50" i="29"/>
  <c r="Z50" i="29" s="1"/>
  <c r="AC50" i="29" s="1"/>
  <c r="E42" i="29"/>
  <c r="Z42" i="29" s="1"/>
  <c r="AC42" i="29" s="1"/>
  <c r="E45" i="29"/>
  <c r="Z45" i="29" s="1"/>
  <c r="AC45" i="29" s="1"/>
  <c r="E37" i="29"/>
  <c r="Z37" i="29" s="1"/>
  <c r="AC37" i="29" s="1"/>
  <c r="E31" i="29"/>
  <c r="E32" i="29"/>
  <c r="Z32" i="29" s="1"/>
  <c r="AC32" i="29" s="1"/>
  <c r="E33" i="29"/>
  <c r="E34" i="29"/>
  <c r="Z34" i="29" s="1"/>
  <c r="AC34" i="29" s="1"/>
  <c r="E25" i="29"/>
  <c r="E26" i="29"/>
  <c r="E27" i="29"/>
  <c r="E29" i="29"/>
  <c r="I24" i="29"/>
  <c r="F54" i="29" l="1"/>
  <c r="Z54" i="29"/>
  <c r="AC54" i="29" s="1"/>
  <c r="G31" i="29"/>
  <c r="G30" i="29" s="1"/>
  <c r="V31" i="29"/>
  <c r="Z31" i="29" s="1"/>
  <c r="F57" i="29"/>
  <c r="Z57" i="29"/>
  <c r="AC57" i="29" s="1"/>
  <c r="E30" i="29"/>
  <c r="Z30" i="29" s="1"/>
  <c r="E52" i="29"/>
  <c r="E28" i="29"/>
  <c r="E24" i="29"/>
  <c r="F24" i="29" s="1"/>
  <c r="F52" i="29" l="1"/>
  <c r="Z52" i="29"/>
  <c r="Z24" i="29"/>
  <c r="AC30" i="29"/>
  <c r="V33" i="29"/>
  <c r="AC31" i="29"/>
  <c r="C50" i="7"/>
  <c r="AC52" i="29" l="1"/>
  <c r="Z58" i="29"/>
  <c r="AC58" i="29" s="1"/>
  <c r="Z27" i="29"/>
  <c r="AC27" i="29" s="1"/>
  <c r="C81" i="31"/>
  <c r="AC24" i="29"/>
  <c r="Z33" i="29"/>
  <c r="AC33" i="29" s="1"/>
  <c r="B133" i="26"/>
  <c r="C79" i="31" l="1"/>
  <c r="C83" i="31" s="1"/>
  <c r="L30" i="15"/>
  <c r="C86" i="31" l="1"/>
  <c r="C88" i="31"/>
  <c r="C84" i="31"/>
  <c r="C89" i="31" s="1"/>
  <c r="D79" i="31"/>
  <c r="D76" i="31"/>
  <c r="E67" i="31"/>
  <c r="D68" i="31"/>
  <c r="L63" i="29"/>
  <c r="AB63" i="29" s="1"/>
  <c r="L62" i="29"/>
  <c r="AB62" i="29" s="1"/>
  <c r="F62" i="29"/>
  <c r="L60" i="29"/>
  <c r="AB60" i="29" s="1"/>
  <c r="L59" i="29"/>
  <c r="AB59" i="29" s="1"/>
  <c r="L58" i="29"/>
  <c r="AB58" i="29" s="1"/>
  <c r="C56" i="29"/>
  <c r="C55" i="29"/>
  <c r="C53" i="29"/>
  <c r="L51" i="29"/>
  <c r="C51" i="29"/>
  <c r="L49" i="29"/>
  <c r="C49" i="29"/>
  <c r="L48" i="29"/>
  <c r="C48" i="29"/>
  <c r="L47" i="29"/>
  <c r="C47" i="29"/>
  <c r="L46" i="29"/>
  <c r="C46" i="29"/>
  <c r="L44" i="29"/>
  <c r="C44" i="29"/>
  <c r="C43" i="29"/>
  <c r="C41" i="29"/>
  <c r="C40" i="29"/>
  <c r="C39" i="29"/>
  <c r="C38" i="29"/>
  <c r="C36" i="29"/>
  <c r="C35" i="29"/>
  <c r="L31" i="29"/>
  <c r="AB31" i="29" s="1"/>
  <c r="L29" i="29"/>
  <c r="H29" i="29"/>
  <c r="AB29" i="29" s="1"/>
  <c r="L26" i="29"/>
  <c r="AB26" i="29" s="1"/>
  <c r="L25" i="29"/>
  <c r="AB25" i="29" s="1"/>
  <c r="F64" i="29"/>
  <c r="F58" i="29"/>
  <c r="Y24" i="29"/>
  <c r="U24" i="29"/>
  <c r="Q24" i="29"/>
  <c r="M24" i="29"/>
  <c r="E65" i="31" l="1"/>
  <c r="E59" i="31" s="1"/>
  <c r="E66" i="31" s="1"/>
  <c r="E68" i="31" s="1"/>
  <c r="D70" i="31"/>
  <c r="D71" i="31" s="1"/>
  <c r="D75" i="31"/>
  <c r="E76" i="31"/>
  <c r="F67" i="31"/>
  <c r="C87" i="31"/>
  <c r="C90" i="31" s="1"/>
  <c r="E79" i="31"/>
  <c r="H35" i="29"/>
  <c r="AB35" i="29" s="1"/>
  <c r="X35" i="29"/>
  <c r="E35" i="29"/>
  <c r="X38" i="29"/>
  <c r="P38" i="29"/>
  <c r="H38" i="29"/>
  <c r="E38" i="29"/>
  <c r="X40" i="29"/>
  <c r="P40" i="29"/>
  <c r="H40" i="29"/>
  <c r="E40" i="29"/>
  <c r="X43" i="29"/>
  <c r="P43" i="29"/>
  <c r="H43" i="29"/>
  <c r="E43" i="29"/>
  <c r="Z43" i="29" s="1"/>
  <c r="AC43" i="29" s="1"/>
  <c r="X55" i="29"/>
  <c r="P55" i="29"/>
  <c r="H55" i="29"/>
  <c r="L55" i="29"/>
  <c r="E55" i="29"/>
  <c r="X36" i="29"/>
  <c r="H36" i="29"/>
  <c r="E36" i="29"/>
  <c r="X39" i="29"/>
  <c r="P39" i="29"/>
  <c r="H39" i="29"/>
  <c r="E39" i="29"/>
  <c r="X41" i="29"/>
  <c r="P41" i="29"/>
  <c r="H41" i="29"/>
  <c r="E41" i="29"/>
  <c r="Z41" i="29" s="1"/>
  <c r="AC41" i="29" s="1"/>
  <c r="X44" i="29"/>
  <c r="P44" i="29"/>
  <c r="H44" i="29"/>
  <c r="E44" i="29"/>
  <c r="Z44" i="29" s="1"/>
  <c r="AC44" i="29" s="1"/>
  <c r="X46" i="29"/>
  <c r="P46" i="29"/>
  <c r="H46" i="29"/>
  <c r="E46" i="29"/>
  <c r="X47" i="29"/>
  <c r="P47" i="29"/>
  <c r="H47" i="29"/>
  <c r="E47" i="29"/>
  <c r="X48" i="29"/>
  <c r="P48" i="29"/>
  <c r="H48" i="29"/>
  <c r="E48" i="29"/>
  <c r="X49" i="29"/>
  <c r="P49" i="29"/>
  <c r="H49" i="29"/>
  <c r="E49" i="29"/>
  <c r="X51" i="29"/>
  <c r="P51" i="29"/>
  <c r="H51" i="29"/>
  <c r="E51" i="29"/>
  <c r="X53" i="29"/>
  <c r="P53" i="29"/>
  <c r="H53" i="29"/>
  <c r="L53" i="29"/>
  <c r="E53" i="29"/>
  <c r="X56" i="29"/>
  <c r="P56" i="29"/>
  <c r="H56" i="29"/>
  <c r="L56" i="29"/>
  <c r="E56" i="29"/>
  <c r="B113" i="26"/>
  <c r="F42" i="29"/>
  <c r="F50" i="29"/>
  <c r="F32" i="29"/>
  <c r="F29" i="29"/>
  <c r="F43" i="29"/>
  <c r="F41" i="29"/>
  <c r="F63" i="29"/>
  <c r="F59" i="29"/>
  <c r="F61" i="29"/>
  <c r="F37" i="29"/>
  <c r="F44" i="29"/>
  <c r="F60"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65" i="31" l="1"/>
  <c r="F59" i="31" s="1"/>
  <c r="F66" i="31" s="1"/>
  <c r="F68" i="31" s="1"/>
  <c r="F56" i="29"/>
  <c r="Z56" i="29"/>
  <c r="AC56" i="29" s="1"/>
  <c r="E70" i="31"/>
  <c r="E71" i="31" s="1"/>
  <c r="E72" i="31" s="1"/>
  <c r="E75" i="31"/>
  <c r="F53" i="29"/>
  <c r="Z53" i="29"/>
  <c r="AC53" i="29" s="1"/>
  <c r="F55" i="29"/>
  <c r="Z55" i="29"/>
  <c r="AC55" i="29" s="1"/>
  <c r="AB56" i="29"/>
  <c r="F51" i="29"/>
  <c r="Z51" i="29"/>
  <c r="AC51" i="29" s="1"/>
  <c r="F49" i="29"/>
  <c r="Z49" i="29"/>
  <c r="AC49" i="29" s="1"/>
  <c r="F48" i="29"/>
  <c r="Z48" i="29"/>
  <c r="AC48" i="29" s="1"/>
  <c r="F47" i="29"/>
  <c r="Z47" i="29"/>
  <c r="AC47" i="29" s="1"/>
  <c r="F46" i="29"/>
  <c r="Z46" i="29"/>
  <c r="AC46" i="29" s="1"/>
  <c r="F39" i="29"/>
  <c r="Z39" i="29"/>
  <c r="AC39" i="29" s="1"/>
  <c r="F36" i="29"/>
  <c r="Z36" i="29"/>
  <c r="AC36" i="29" s="1"/>
  <c r="F40" i="29"/>
  <c r="Z40" i="29"/>
  <c r="AC40" i="29" s="1"/>
  <c r="F38" i="29"/>
  <c r="Z38" i="29"/>
  <c r="AC38" i="29" s="1"/>
  <c r="F35" i="29"/>
  <c r="Z35" i="29"/>
  <c r="AC35" i="29" s="1"/>
  <c r="G67" i="31"/>
  <c r="F76" i="31"/>
  <c r="D72" i="31"/>
  <c r="D78" i="31"/>
  <c r="D83" i="31" s="1"/>
  <c r="AB53" i="29"/>
  <c r="AB51" i="29"/>
  <c r="AB49" i="29"/>
  <c r="AB48" i="29"/>
  <c r="AB47" i="29"/>
  <c r="AB46" i="29"/>
  <c r="AB44" i="29"/>
  <c r="AB41" i="29"/>
  <c r="AB39" i="29"/>
  <c r="AB36" i="29"/>
  <c r="AB55" i="29"/>
  <c r="AB43" i="29"/>
  <c r="AB40" i="29"/>
  <c r="AB38" i="29"/>
  <c r="F79" i="31"/>
  <c r="G79" i="31" s="1"/>
  <c r="H79" i="31" s="1"/>
  <c r="I79" i="31" s="1"/>
  <c r="J79" i="31" s="1"/>
  <c r="K79" i="31" s="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F28" i="29"/>
  <c r="F33" i="29"/>
  <c r="G65" i="31" l="1"/>
  <c r="G59" i="31" s="1"/>
  <c r="G66" i="31" s="1"/>
  <c r="G68" i="31" s="1"/>
  <c r="D86" i="31"/>
  <c r="D88" i="31"/>
  <c r="D84" i="31"/>
  <c r="D89" i="31" s="1"/>
  <c r="F70" i="31"/>
  <c r="F75" i="31"/>
  <c r="E78" i="31"/>
  <c r="E83" i="31" s="1"/>
  <c r="E86" i="31" s="1"/>
  <c r="G76" i="31"/>
  <c r="H67" i="31"/>
  <c r="P57" i="15"/>
  <c r="P56" i="15"/>
  <c r="P55" i="15"/>
  <c r="P50" i="15"/>
  <c r="P49" i="15"/>
  <c r="P48" i="15"/>
  <c r="P47" i="15"/>
  <c r="P46" i="15"/>
  <c r="P44" i="15"/>
  <c r="P42" i="15"/>
  <c r="P41" i="15"/>
  <c r="P40" i="15"/>
  <c r="P39" i="15"/>
  <c r="P38" i="15"/>
  <c r="H65" i="31" l="1"/>
  <c r="H59" i="31" s="1"/>
  <c r="H66" i="31" s="1"/>
  <c r="H68" i="31" s="1"/>
  <c r="E88" i="31"/>
  <c r="H76" i="31"/>
  <c r="I67" i="31"/>
  <c r="G70" i="31"/>
  <c r="G75" i="31"/>
  <c r="F71" i="31"/>
  <c r="F72" i="31" s="1"/>
  <c r="E84" i="31"/>
  <c r="E89" i="31" s="1"/>
  <c r="D87" i="31"/>
  <c r="D90" i="31" s="1"/>
  <c r="E87"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90" i="31" l="1"/>
  <c r="I65" i="31"/>
  <c r="I59" i="31" s="1"/>
  <c r="I66" i="31" s="1"/>
  <c r="I68" i="31" s="1"/>
  <c r="F78" i="31"/>
  <c r="F83" i="31" s="1"/>
  <c r="H70" i="31"/>
  <c r="H75" i="31"/>
  <c r="I76" i="31"/>
  <c r="J67" i="31"/>
  <c r="G71" i="31"/>
  <c r="E32" i="15"/>
  <c r="F32" i="15" s="1"/>
  <c r="E34" i="15"/>
  <c r="F34" i="15" s="1"/>
  <c r="E31" i="15"/>
  <c r="F31" i="15" s="1"/>
  <c r="L31" i="15" s="1"/>
  <c r="E33" i="15"/>
  <c r="F33" i="15" s="1"/>
  <c r="L26" i="15"/>
  <c r="AB26" i="15" s="1"/>
  <c r="N26" i="15"/>
  <c r="E45" i="15"/>
  <c r="F45" i="15" s="1"/>
  <c r="P45" i="15" s="1"/>
  <c r="F45" i="29"/>
  <c r="L27" i="15"/>
  <c r="AB27" i="15" s="1"/>
  <c r="N27" i="15"/>
  <c r="L25" i="15"/>
  <c r="L24" i="15" s="1"/>
  <c r="AB24" i="15" s="1"/>
  <c r="C48" i="7" s="1"/>
  <c r="N25" i="15"/>
  <c r="AB37" i="15"/>
  <c r="C54" i="15"/>
  <c r="F30" i="15"/>
  <c r="C30" i="15"/>
  <c r="P53" i="15"/>
  <c r="J65" i="31" l="1"/>
  <c r="J59" i="31" s="1"/>
  <c r="J66" i="31" s="1"/>
  <c r="E30" i="15"/>
  <c r="I70" i="31"/>
  <c r="I71" i="31" s="1"/>
  <c r="I72" i="31" s="1"/>
  <c r="I75" i="31"/>
  <c r="J68" i="31"/>
  <c r="K67" i="31"/>
  <c r="J76" i="31"/>
  <c r="H71" i="31"/>
  <c r="H72" i="31" s="1"/>
  <c r="G78" i="31"/>
  <c r="G83" i="31" s="1"/>
  <c r="G86" i="31" s="1"/>
  <c r="G72" i="31"/>
  <c r="F86" i="31"/>
  <c r="F88" i="31"/>
  <c r="F84" i="31"/>
  <c r="F89" i="31" s="1"/>
  <c r="G88" i="31"/>
  <c r="AB25" i="15"/>
  <c r="F26" i="29"/>
  <c r="AC26" i="15"/>
  <c r="F34" i="29"/>
  <c r="F30" i="29" s="1"/>
  <c r="AB53" i="15"/>
  <c r="AB45" i="15"/>
  <c r="F25" i="29"/>
  <c r="AC25" i="15"/>
  <c r="N24" i="15"/>
  <c r="AC27" i="15"/>
  <c r="F27" i="29"/>
  <c r="E54" i="15"/>
  <c r="F54" i="15" s="1"/>
  <c r="P54" i="15" s="1"/>
  <c r="C52" i="15"/>
  <c r="C28" i="15"/>
  <c r="AB31" i="15"/>
  <c r="K65" i="31" l="1"/>
  <c r="K59" i="31" s="1"/>
  <c r="K66" i="31" s="1"/>
  <c r="G84" i="31"/>
  <c r="G89" i="31" s="1"/>
  <c r="K76" i="31"/>
  <c r="L67" i="31"/>
  <c r="K68" i="31"/>
  <c r="J75" i="31"/>
  <c r="J70" i="31"/>
  <c r="H78" i="31"/>
  <c r="H83" i="31" s="1"/>
  <c r="F87" i="31"/>
  <c r="F90" i="31" s="1"/>
  <c r="G87" i="31"/>
  <c r="G90" i="31" s="1"/>
  <c r="AC24" i="15"/>
  <c r="AB54" i="15"/>
  <c r="E52" i="15"/>
  <c r="F52" i="15" s="1"/>
  <c r="P52" i="15" s="1"/>
  <c r="C24" i="15"/>
  <c r="E28" i="15"/>
  <c r="L65" i="31" l="1"/>
  <c r="L59" i="31" s="1"/>
  <c r="L66" i="31" s="1"/>
  <c r="I78" i="31"/>
  <c r="H86" i="31"/>
  <c r="H88" i="31"/>
  <c r="H84" i="31"/>
  <c r="H89" i="31" s="1"/>
  <c r="L76" i="31"/>
  <c r="M67" i="31"/>
  <c r="L68" i="31"/>
  <c r="J71" i="31"/>
  <c r="J72" i="31" s="1"/>
  <c r="K70" i="31"/>
  <c r="K75" i="31"/>
  <c r="I83" i="31"/>
  <c r="AB52" i="15"/>
  <c r="F28" i="15"/>
  <c r="F24" i="15" s="1"/>
  <c r="E24" i="15"/>
  <c r="AC23" i="15"/>
  <c r="M65" i="31" l="1"/>
  <c r="M59" i="31" s="1"/>
  <c r="M66" i="31" s="1"/>
  <c r="I86" i="31"/>
  <c r="I87" i="31" s="1"/>
  <c r="I88" i="31"/>
  <c r="L75" i="31"/>
  <c r="L70" i="31"/>
  <c r="H87" i="31"/>
  <c r="H90" i="31" s="1"/>
  <c r="K71" i="31"/>
  <c r="N67" i="31"/>
  <c r="M68" i="31"/>
  <c r="M76" i="31"/>
  <c r="I84" i="31"/>
  <c r="I89" i="31" s="1"/>
  <c r="J78" i="31"/>
  <c r="J83" i="31" s="1"/>
  <c r="A12" i="26"/>
  <c r="N65" i="31" l="1"/>
  <c r="N59" i="31" s="1"/>
  <c r="N66" i="31" s="1"/>
  <c r="K78" i="31"/>
  <c r="K83" i="31" s="1"/>
  <c r="K86" i="31" s="1"/>
  <c r="I90" i="31"/>
  <c r="N76" i="31"/>
  <c r="N68" i="31"/>
  <c r="O67" i="31"/>
  <c r="L71" i="31"/>
  <c r="M75" i="31"/>
  <c r="M70" i="31"/>
  <c r="J86" i="31"/>
  <c r="J87" i="31" s="1"/>
  <c r="J90" i="31" s="1"/>
  <c r="J84" i="31"/>
  <c r="J89" i="31" s="1"/>
  <c r="J88" i="31"/>
  <c r="K72" i="31"/>
  <c r="K88" i="31"/>
  <c r="K84" i="31"/>
  <c r="K89" i="31" s="1"/>
  <c r="B119" i="26"/>
  <c r="B117" i="26"/>
  <c r="B67" i="26"/>
  <c r="B63" i="26"/>
  <c r="B59" i="26"/>
  <c r="B55" i="26"/>
  <c r="A15" i="26"/>
  <c r="B21" i="26" s="1"/>
  <c r="A9" i="26"/>
  <c r="B121" i="26" s="1"/>
  <c r="A5" i="26"/>
  <c r="O65" i="31" l="1"/>
  <c r="O59" i="31" s="1"/>
  <c r="O66" i="31" s="1"/>
  <c r="L78" i="31"/>
  <c r="L83" i="31" s="1"/>
  <c r="L84" i="31" s="1"/>
  <c r="L89" i="31" s="1"/>
  <c r="L86" i="31"/>
  <c r="L87" i="31" s="1"/>
  <c r="G29" i="31" s="1"/>
  <c r="L88" i="31"/>
  <c r="M71" i="31"/>
  <c r="M78" i="31" s="1"/>
  <c r="M83" i="31" s="1"/>
  <c r="O76" i="31"/>
  <c r="P67" i="31"/>
  <c r="O68" i="31"/>
  <c r="N70" i="31"/>
  <c r="N75" i="31"/>
  <c r="K87" i="31"/>
  <c r="K90" i="31" s="1"/>
  <c r="L72" i="31"/>
  <c r="B118" i="26"/>
  <c r="B116" i="26"/>
  <c r="B108" i="26"/>
  <c r="B104" i="26"/>
  <c r="B100" i="26"/>
  <c r="B115" i="26"/>
  <c r="B53" i="26"/>
  <c r="B50" i="26"/>
  <c r="B46" i="26"/>
  <c r="B42" i="26"/>
  <c r="B38" i="26"/>
  <c r="P65" i="31" l="1"/>
  <c r="P59" i="31" s="1"/>
  <c r="P66" i="31" s="1"/>
  <c r="M84" i="31"/>
  <c r="M89" i="31" s="1"/>
  <c r="M86" i="31"/>
  <c r="M87" i="31" s="1"/>
  <c r="M90" i="31" s="1"/>
  <c r="M88" i="31"/>
  <c r="P76" i="31"/>
  <c r="Q67" i="31"/>
  <c r="P68" i="31"/>
  <c r="O70" i="31"/>
  <c r="O75" i="31"/>
  <c r="N71" i="31"/>
  <c r="N78" i="31" s="1"/>
  <c r="N83" i="31" s="1"/>
  <c r="N72" i="31"/>
  <c r="M72" i="31"/>
  <c r="L90"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Q65" i="31" l="1"/>
  <c r="Q59" i="31" s="1"/>
  <c r="Q66" i="31" s="1"/>
  <c r="O71" i="31"/>
  <c r="O78" i="31" s="1"/>
  <c r="O83" i="31" s="1"/>
  <c r="N86" i="31"/>
  <c r="N87" i="31" s="1"/>
  <c r="N84" i="31"/>
  <c r="N89" i="31" s="1"/>
  <c r="N88" i="31"/>
  <c r="P70" i="31"/>
  <c r="P75" i="31"/>
  <c r="Q76" i="31"/>
  <c r="R67" i="31"/>
  <c r="Q68"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31" l="1"/>
  <c r="R59" i="31" s="1"/>
  <c r="R66" i="31" s="1"/>
  <c r="O72" i="31"/>
  <c r="R76" i="31"/>
  <c r="S67" i="31"/>
  <c r="R68" i="31"/>
  <c r="O86" i="31"/>
  <c r="O87" i="31" s="1"/>
  <c r="O90" i="31" s="1"/>
  <c r="O88" i="31"/>
  <c r="O84" i="31"/>
  <c r="O89" i="31" s="1"/>
  <c r="N90" i="31"/>
  <c r="Q75" i="31"/>
  <c r="Q70" i="31"/>
  <c r="P71" i="31"/>
  <c r="P78" i="31" s="1"/>
  <c r="P83" i="31" s="1"/>
  <c r="C51" i="7"/>
  <c r="AB30" i="15"/>
  <c r="C49" i="7" s="1"/>
  <c r="P33" i="15"/>
  <c r="L33" i="15" s="1"/>
  <c r="AB33" i="15" s="1"/>
  <c r="P32" i="15"/>
  <c r="S65" i="31" l="1"/>
  <c r="S59" i="31" s="1"/>
  <c r="S66" i="31" s="1"/>
  <c r="P86" i="31"/>
  <c r="P87" i="31" s="1"/>
  <c r="P90" i="31" s="1"/>
  <c r="P84" i="31"/>
  <c r="P89" i="31" s="1"/>
  <c r="P88" i="31"/>
  <c r="Q71" i="31"/>
  <c r="Q78" i="31" s="1"/>
  <c r="Q83" i="31" s="1"/>
  <c r="T67" i="31"/>
  <c r="S76" i="31"/>
  <c r="S68" i="31"/>
  <c r="R75" i="31"/>
  <c r="R70" i="31"/>
  <c r="R71" i="31" s="1"/>
  <c r="P34" i="15"/>
  <c r="P72" i="31"/>
  <c r="L32" i="15"/>
  <c r="T65" i="31" l="1"/>
  <c r="T59" i="31" s="1"/>
  <c r="T66" i="31" s="1"/>
  <c r="T68" i="31" s="1"/>
  <c r="Q72" i="31"/>
  <c r="R72" i="31"/>
  <c r="R78" i="31"/>
  <c r="R83" i="31" s="1"/>
  <c r="T76" i="31"/>
  <c r="U67" i="31"/>
  <c r="S75" i="31"/>
  <c r="S70" i="31"/>
  <c r="Q86" i="31"/>
  <c r="Q87" i="31" s="1"/>
  <c r="Q90" i="31" s="1"/>
  <c r="Q84" i="31"/>
  <c r="Q89" i="31" s="1"/>
  <c r="Q88" i="31"/>
  <c r="L34" i="15"/>
  <c r="AB34" i="15" s="1"/>
  <c r="AB32" i="15"/>
  <c r="U65" i="31" l="1"/>
  <c r="U59" i="31" s="1"/>
  <c r="U66" i="31" s="1"/>
  <c r="S71" i="31"/>
  <c r="S78" i="31" s="1"/>
  <c r="S83" i="31" s="1"/>
  <c r="R86" i="31"/>
  <c r="R87" i="31" s="1"/>
  <c r="R90" i="31" s="1"/>
  <c r="R88" i="31"/>
  <c r="R84" i="31"/>
  <c r="R89" i="31" s="1"/>
  <c r="T70" i="31"/>
  <c r="T71" i="31" s="1"/>
  <c r="T75" i="31"/>
  <c r="U76" i="31"/>
  <c r="V67" i="31"/>
  <c r="U68" i="31"/>
  <c r="V65" i="31" l="1"/>
  <c r="V59" i="31" s="1"/>
  <c r="V66" i="31" s="1"/>
  <c r="T72" i="31"/>
  <c r="T78" i="31"/>
  <c r="T83" i="31" s="1"/>
  <c r="U75" i="31"/>
  <c r="U70" i="31"/>
  <c r="S86" i="31"/>
  <c r="S87" i="31" s="1"/>
  <c r="S90" i="31" s="1"/>
  <c r="S84" i="31"/>
  <c r="S89" i="31" s="1"/>
  <c r="S88" i="31"/>
  <c r="V68" i="31"/>
  <c r="W67" i="31"/>
  <c r="V76" i="31"/>
  <c r="S72" i="31"/>
  <c r="W65" i="31" l="1"/>
  <c r="W59" i="31" s="1"/>
  <c r="W66" i="31" s="1"/>
  <c r="U71" i="31"/>
  <c r="U78" i="31" s="1"/>
  <c r="U83" i="31" s="1"/>
  <c r="T86" i="31"/>
  <c r="T87" i="31" s="1"/>
  <c r="T90" i="31" s="1"/>
  <c r="T84" i="31"/>
  <c r="T89" i="31" s="1"/>
  <c r="W68" i="31"/>
  <c r="X67" i="31"/>
  <c r="W76" i="31"/>
  <c r="V75" i="31"/>
  <c r="V70" i="31"/>
  <c r="T88" i="31"/>
  <c r="X65" i="31" l="1"/>
  <c r="X59" i="31" s="1"/>
  <c r="X66" i="31" s="1"/>
  <c r="X68" i="31" s="1"/>
  <c r="U72" i="31"/>
  <c r="X76" i="31"/>
  <c r="Y67" i="31"/>
  <c r="V71" i="31"/>
  <c r="V78" i="31" s="1"/>
  <c r="V83" i="31" s="1"/>
  <c r="W75" i="31"/>
  <c r="W70" i="31"/>
  <c r="U86" i="31"/>
  <c r="U87" i="31" s="1"/>
  <c r="U90" i="31" s="1"/>
  <c r="U88" i="31"/>
  <c r="U84" i="31"/>
  <c r="U89" i="31" s="1"/>
  <c r="Y65" i="31" l="1"/>
  <c r="Y59" i="31" s="1"/>
  <c r="Y66" i="31" s="1"/>
  <c r="X75" i="31"/>
  <c r="X70" i="31"/>
  <c r="V86" i="31"/>
  <c r="V87" i="31" s="1"/>
  <c r="V90" i="31" s="1"/>
  <c r="V88" i="31"/>
  <c r="V84" i="31"/>
  <c r="V89" i="31" s="1"/>
  <c r="W71" i="31"/>
  <c r="W78" i="31" s="1"/>
  <c r="W83" i="31" s="1"/>
  <c r="Y76" i="31"/>
  <c r="Z67" i="31"/>
  <c r="Y68" i="31"/>
  <c r="V72" i="31"/>
  <c r="Z65" i="31" l="1"/>
  <c r="Z59" i="31" s="1"/>
  <c r="Z66" i="31" s="1"/>
  <c r="W72" i="31"/>
  <c r="W84" i="31"/>
  <c r="W89" i="31" s="1"/>
  <c r="W86" i="31"/>
  <c r="W87" i="31" s="1"/>
  <c r="W90" i="31" s="1"/>
  <c r="W88" i="31"/>
  <c r="X71" i="31"/>
  <c r="X78" i="31" s="1"/>
  <c r="X83" i="31" s="1"/>
  <c r="Y70" i="31"/>
  <c r="Y75" i="31"/>
  <c r="Z76" i="31"/>
  <c r="AA67" i="31"/>
  <c r="AA65" i="31" s="1"/>
  <c r="AA59" i="31" s="1"/>
  <c r="AA66" i="31" s="1"/>
  <c r="Z68" i="31"/>
  <c r="X86" i="31" l="1"/>
  <c r="X87" i="31" s="1"/>
  <c r="X90" i="31" s="1"/>
  <c r="X84" i="31"/>
  <c r="X89" i="31" s="1"/>
  <c r="X88" i="31"/>
  <c r="Y71" i="31"/>
  <c r="Y78" i="31" s="1"/>
  <c r="Y83" i="31" s="1"/>
  <c r="Z70" i="31"/>
  <c r="Z75" i="31"/>
  <c r="AB67" i="31"/>
  <c r="AB65" i="31" s="1"/>
  <c r="AB59" i="31" s="1"/>
  <c r="AB66" i="31" s="1"/>
  <c r="AA76" i="31"/>
  <c r="AA68" i="31"/>
  <c r="X72" i="31"/>
  <c r="Y86" i="31" l="1"/>
  <c r="Y87" i="31" s="1"/>
  <c r="Y90" i="31" s="1"/>
  <c r="Y84" i="31"/>
  <c r="Y89" i="31" s="1"/>
  <c r="Y88" i="31"/>
  <c r="AC67" i="31"/>
  <c r="AC65" i="31" s="1"/>
  <c r="AC59" i="31" s="1"/>
  <c r="AC66" i="31" s="1"/>
  <c r="AB68" i="31"/>
  <c r="AB76" i="31"/>
  <c r="AA75" i="31"/>
  <c r="AA70" i="31"/>
  <c r="AA71" i="31" s="1"/>
  <c r="Z71" i="31"/>
  <c r="Z78" i="31" s="1"/>
  <c r="Z83" i="31" s="1"/>
  <c r="Z72" i="31"/>
  <c r="Y72" i="31"/>
  <c r="AA72" i="31" l="1"/>
  <c r="AA78" i="31"/>
  <c r="AA83" i="31" s="1"/>
  <c r="AD67" i="31"/>
  <c r="AC68" i="31"/>
  <c r="AC76" i="31"/>
  <c r="Z86" i="31"/>
  <c r="Z87" i="31" s="1"/>
  <c r="Z90" i="31" s="1"/>
  <c r="Z88" i="31"/>
  <c r="Z84" i="31"/>
  <c r="Z89" i="31" s="1"/>
  <c r="AB70" i="31"/>
  <c r="AB75" i="31"/>
  <c r="AD65" i="31" l="1"/>
  <c r="AD59" i="31" s="1"/>
  <c r="AD66" i="31" s="1"/>
  <c r="AC70" i="31"/>
  <c r="AC75" i="31"/>
  <c r="AD76" i="31"/>
  <c r="AD68" i="31"/>
  <c r="AE67" i="31"/>
  <c r="AA86" i="31"/>
  <c r="AA87" i="31" s="1"/>
  <c r="AA90" i="31" s="1"/>
  <c r="AA88" i="31"/>
  <c r="AA84" i="31"/>
  <c r="AA89" i="31" s="1"/>
  <c r="AB71" i="31"/>
  <c r="AB78" i="31" s="1"/>
  <c r="AB83" i="31" s="1"/>
  <c r="AB72" i="31"/>
  <c r="AE65" i="31" l="1"/>
  <c r="AE59" i="31" s="1"/>
  <c r="AE66" i="31" s="1"/>
  <c r="AE68" i="31" s="1"/>
  <c r="AD75" i="31"/>
  <c r="AD70" i="31"/>
  <c r="AB86" i="31"/>
  <c r="AB87" i="31" s="1"/>
  <c r="AB90" i="31" s="1"/>
  <c r="AB84" i="31"/>
  <c r="AB89" i="31" s="1"/>
  <c r="AB88" i="31"/>
  <c r="AE76" i="31"/>
  <c r="AC71" i="31"/>
  <c r="AC78" i="31" s="1"/>
  <c r="AC83" i="31" s="1"/>
  <c r="AC72" i="31"/>
  <c r="AC86" i="31" l="1"/>
  <c r="AC87" i="31" s="1"/>
  <c r="AC90" i="31" s="1"/>
  <c r="AC84" i="31"/>
  <c r="AC89" i="31" s="1"/>
  <c r="AC88" i="31"/>
  <c r="AE75" i="31"/>
  <c r="AE70" i="31"/>
  <c r="AD71" i="31"/>
  <c r="AD78" i="31" s="1"/>
  <c r="AD83" i="31" s="1"/>
  <c r="AD72" i="31" l="1"/>
  <c r="AD86" i="31"/>
  <c r="AD87" i="31" s="1"/>
  <c r="AD90" i="31" s="1"/>
  <c r="AD88" i="31"/>
  <c r="AD84" i="31"/>
  <c r="AD89" i="31" s="1"/>
  <c r="AE71" i="31"/>
  <c r="AE78" i="31" s="1"/>
  <c r="AE83" i="31" s="1"/>
  <c r="AE72" i="31" l="1"/>
  <c r="AE86" i="31"/>
  <c r="AE87" i="31" s="1"/>
  <c r="AE90" i="31" s="1"/>
  <c r="G28" i="31" s="1"/>
  <c r="AE88" i="31"/>
  <c r="AE84" i="31"/>
  <c r="AE89" i="31" s="1"/>
  <c r="G27" i="31" s="1"/>
</calcChain>
</file>

<file path=xl/sharedStrings.xml><?xml version="1.0" encoding="utf-8"?>
<sst xmlns="http://schemas.openxmlformats.org/spreadsheetml/2006/main" count="1197" uniqueCount="619">
  <si>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</si>
  <si>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</si>
  <si>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</si>
  <si>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</si>
  <si>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</si>
  <si>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</si>
  <si>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</si>
  <si>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</si>
  <si>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</si>
  <si>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</si>
  <si>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</si>
  <si>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</si>
  <si>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</si>
  <si>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</si>
  <si>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</si>
  <si>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</si>
  <si>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</si>
  <si>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</si>
  <si>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</si>
  <si>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</si>
  <si>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</si>
  <si>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</si>
  <si>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</si>
  <si>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</si>
  <si>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</si>
  <si>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</si>
  <si>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</si>
  <si>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</si>
  <si>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</si>
  <si>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</si>
  <si>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</si>
  <si>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</si>
  <si>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</si>
  <si>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</si>
  <si>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</si>
  <si>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</si>
  <si>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</si>
  <si>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</si>
  <si>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</si>
  <si>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</si>
  <si>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</si>
  <si>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</si>
  <si>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</si>
  <si>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</si>
  <si>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</si>
  <si>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</si>
  <si>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</si>
  <si>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</si>
  <si>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</si>
  <si>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</si>
  <si>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</si>
  <si>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</si>
  <si>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</si>
  <si>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</si>
  <si>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</si>
  <si>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</si>
  <si>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</si>
  <si>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</si>
  <si>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</si>
  <si>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</si>
  <si>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</si>
  <si>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</si>
  <si>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</si>
  <si>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</si>
  <si>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</si>
  <si>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</si>
  <si>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</si>
  <si>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</si>
  <si>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</si>
  <si>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</si>
  <si>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</si>
  <si>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</si>
  <si>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</si>
  <si>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</si>
  <si>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</si>
  <si>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</si>
  <si>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</si>
  <si>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</si>
  <si>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</si>
  <si>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</si>
  <si>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</si>
  <si>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</si>
  <si>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</si>
  <si>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</si>
  <si>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</si>
  <si>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</si>
  <si>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</si>
  <si>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</si>
  <si>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</si>
  <si>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</si>
  <si>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</si>
  <si>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</si>
  <si>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</si>
  <si>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</si>
  <si>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</si>
  <si>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</si>
  <si>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</si>
  <si>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</si>
  <si>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</si>
  <si>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</si>
  <si>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</si>
  <si>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</si>
  <si>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</si>
  <si>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</si>
  <si>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</si>
  <si>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</si>
  <si>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</si>
  <si>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</si>
  <si>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</si>
  <si>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</si>
  <si>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</si>
  <si>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</si>
  <si>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</si>
  <si>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</si>
  <si>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</si>
  <si>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</si>
  <si>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</si>
  <si>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</si>
  <si>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</si>
  <si>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</si>
  <si>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</si>
  <si>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</si>
  <si>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</si>
  <si>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</si>
  <si>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</si>
  <si>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</si>
  <si>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</si>
  <si>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</si>
  <si>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</si>
  <si>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</si>
  <si>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</si>
  <si>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</si>
  <si>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</si>
  <si>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</si>
  <si>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</si>
  <si>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</si>
  <si>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</si>
  <si>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</si>
  <si>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</si>
  <si>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</si>
  <si>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</si>
  <si>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</si>
  <si>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</si>
  <si>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</si>
  <si>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</si>
  <si>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</si>
  <si>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</si>
  <si>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</si>
  <si>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</si>
  <si>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</si>
  <si>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</si>
  <si>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</si>
  <si>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</si>
  <si>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</si>
  <si>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</si>
  <si>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</si>
  <si>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</si>
  <si>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</si>
  <si>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</si>
  <si>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</si>
  <si>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</si>
  <si>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</si>
  <si>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</si>
  <si>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</si>
  <si>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</si>
  <si>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</si>
  <si>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</si>
  <si>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</si>
  <si>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</si>
  <si>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</si>
  <si>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</si>
  <si>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</si>
  <si>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</si>
  <si>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</si>
  <si>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</si>
  <si>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</si>
  <si>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</si>
  <si>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</si>
  <si>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</si>
  <si>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</si>
  <si>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</si>
  <si>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</si>
  <si>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</si>
  <si>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</si>
  <si>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</si>
  <si>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</si>
  <si>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</si>
  <si>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</si>
  <si>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</si>
  <si>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</si>
  <si>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</si>
  <si>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</si>
  <si>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</si>
  <si>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</si>
  <si>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</si>
  <si>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</si>
  <si>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</si>
  <si>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</si>
  <si>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</si>
  <si>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</si>
  <si>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</si>
  <si>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</si>
  <si>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</si>
  <si>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</si>
  <si>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</si>
  <si>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</si>
  <si>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</si>
  <si>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</si>
  <si>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</si>
  <si>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</si>
  <si>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</si>
  <si>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</si>
  <si>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</si>
  <si>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</si>
  <si>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</si>
  <si>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</si>
  <si>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</si>
  <si>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</si>
  <si>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</si>
  <si>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</si>
  <si>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</si>
  <si>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</si>
  <si>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</si>
  <si>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</si>
  <si>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</si>
  <si>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</si>
  <si>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</si>
  <si>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</si>
  <si>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</si>
  <si>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</si>
  <si>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</si>
  <si>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</si>
  <si>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</si>
  <si>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</si>
  <si>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</si>
  <si>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</si>
  <si>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</si>
  <si>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</si>
  <si>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</si>
  <si>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</si>
  <si>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</si>
  <si>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</si>
  <si>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</si>
  <si>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</si>
  <si>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</si>
  <si>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</si>
  <si>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</si>
  <si>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</si>
  <si>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</si>
  <si>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</si>
  <si>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</si>
  <si>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</si>
  <si>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</si>
  <si>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</si>
  <si>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</si>
  <si>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</si>
  <si>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</si>
  <si>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</si>
  <si>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</si>
  <si>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</si>
  <si>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</si>
  <si>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</si>
  <si>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</si>
  <si>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</si>
  <si>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</si>
  <si>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</si>
  <si>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</si>
  <si>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</si>
  <si>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</si>
  <si>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</si>
  <si>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</si>
  <si>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</si>
  <si>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</si>
  <si>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</si>
  <si>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</si>
  <si>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</si>
  <si>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</si>
  <si>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</si>
  <si>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</si>
  <si>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</si>
  <si>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</si>
  <si>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</si>
  <si>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</si>
  <si>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</si>
  <si>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</si>
  <si>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</si>
  <si>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</si>
  <si>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</si>
  <si>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</si>
  <si>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</si>
  <si>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</si>
  <si>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</si>
  <si>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</si>
  <si>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</si>
  <si>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</si>
  <si>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</si>
  <si>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</si>
  <si>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</si>
  <si>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</si>
  <si>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</si>
  <si>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</si>
  <si>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</si>
  <si>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</si>
  <si>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</si>
  <si>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</si>
  <si>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</si>
  <si>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</si>
  <si>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</si>
  <si>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</si>
  <si>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</si>
  <si>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</si>
  <si>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</si>
  <si>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</si>
  <si>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</si>
  <si>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</si>
  <si>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</si>
  <si>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</si>
  <si>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</si>
  <si>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</si>
  <si>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</si>
  <si>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</si>
  <si>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</si>
  <si>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</si>
  <si>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</si>
  <si>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</si>
  <si>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</si>
  <si>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</si>
  <si>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</si>
  <si>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</si>
  <si>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</si>
  <si>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</si>
  <si>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</si>
  <si>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</si>
  <si>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</si>
  <si>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</si>
  <si>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</si>
  <si>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</si>
  <si>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</si>
  <si>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</si>
  <si>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</si>
  <si>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</si>
  <si>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</si>
  <si>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</si>
  <si>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</si>
  <si>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</si>
  <si>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</si>
  <si>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</si>
  <si>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</si>
  <si>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</si>
  <si>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</si>
  <si>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</si>
  <si>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</si>
  <si>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</si>
  <si>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</si>
  <si>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</si>
  <si>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</si>
  <si>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</si>
  <si>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</si>
  <si>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</si>
  <si>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</si>
  <si>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</si>
  <si>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</si>
  <si>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</si>
  <si>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</si>
  <si>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</si>
  <si>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</si>
  <si>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</si>
  <si>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</si>
  <si>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</si>
  <si>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</si>
  <si>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</si>
  <si>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</si>
  <si>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</si>
  <si>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</si>
  <si>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</si>
  <si>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</si>
  <si>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</si>
  <si>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</si>
  <si>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</si>
  <si>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</si>
  <si>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</si>
  <si>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</si>
  <si>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</si>
  <si>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</si>
  <si>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</si>
  <si>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</si>
  <si>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</si>
  <si>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</si>
  <si>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</si>
  <si>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</si>
  <si>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</si>
  <si>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</si>
  <si>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</si>
  <si>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</si>
  <si>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</si>
  <si>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</si>
  <si>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</si>
  <si>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</si>
  <si>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</si>
  <si>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</si>
  <si>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</si>
  <si>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</si>
  <si>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</si>
  <si>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</si>
  <si>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</si>
  <si>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</si>
  <si>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</si>
  <si>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</si>
  <si>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</si>
  <si>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</si>
  <si>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</si>
  <si>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</si>
  <si>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</si>
  <si>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</si>
  <si>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</si>
  <si>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</si>
  <si>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</si>
  <si>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</si>
  <si>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</si>
  <si>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</si>
  <si>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</si>
  <si>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</si>
  <si>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</si>
  <si>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</si>
  <si>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</si>
  <si>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</si>
  <si>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</si>
  <si>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</si>
  <si>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</si>
  <si>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</si>
  <si>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</si>
  <si>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</si>
  <si>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</si>
  <si>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</si>
  <si>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</si>
  <si>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</si>
  <si>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</si>
  <si>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</si>
  <si>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</si>
  <si>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</si>
  <si>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</si>
  <si>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</si>
  <si>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</si>
  <si>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</si>
  <si>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</si>
  <si>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</si>
  <si>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</si>
  <si>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</si>
  <si>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</si>
  <si>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</si>
  <si>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</si>
  <si>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</si>
  <si>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</si>
  <si>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</si>
  <si>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</si>
  <si>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</si>
  <si>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</si>
  <si>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</si>
  <si>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</si>
  <si>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</si>
  <si>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</si>
  <si>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</si>
  <si>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</si>
  <si>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</si>
  <si>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</si>
  <si>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</si>
  <si>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</si>
  <si>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</si>
  <si>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</si>
  <si>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</si>
  <si>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</si>
  <si>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</si>
  <si>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</si>
  <si>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</si>
  <si>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</si>
  <si>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</si>
  <si>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</si>
  <si>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</si>
  <si>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</si>
  <si>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</si>
  <si>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</si>
  <si>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</si>
  <si>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</si>
  <si>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</si>
  <si>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</si>
  <si>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</si>
  <si>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</si>
  <si>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</si>
  <si>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</si>
  <si>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</si>
  <si>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</si>
  <si>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</si>
  <si>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</si>
  <si>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</si>
  <si>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</si>
  <si>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</si>
  <si>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</si>
  <si>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</si>
  <si>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</si>
  <si>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</si>
  <si>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</si>
  <si>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</si>
  <si>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</si>
  <si>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</si>
  <si>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</si>
  <si>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</si>
  <si>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</si>
  <si>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</si>
  <si>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</si>
  <si>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</si>
  <si>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</si>
  <si>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</si>
  <si>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</si>
  <si>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</si>
  <si>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</si>
  <si>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</si>
  <si>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</si>
  <si>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</si>
  <si>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</si>
  <si>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</si>
  <si>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</si>
  <si>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</si>
  <si>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</si>
  <si>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</si>
  <si>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</si>
  <si>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</si>
  <si>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</si>
  <si>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</si>
  <si>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</si>
  <si>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</si>
  <si>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</si>
  <si>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</si>
  <si>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</si>
  <si>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</si>
  <si>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</si>
  <si>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</si>
  <si>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</si>
  <si>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</si>
  <si>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</si>
  <si>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</si>
  <si>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</si>
  <si>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</si>
  <si>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</si>
  <si>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</si>
  <si>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</si>
  <si>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</si>
  <si>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</si>
  <si>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</si>
  <si>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</si>
  <si>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</si>
  <si>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</si>
  <si>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</si>
  <si>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</si>
  <si>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</si>
  <si>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</si>
  <si>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</si>
  <si>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</si>
  <si>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</si>
  <si>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</si>
  <si>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</si>
  <si>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</si>
  <si>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</si>
  <si>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</si>
  <si>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</si>
  <si>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</si>
  <si>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</si>
  <si>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</si>
  <si>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</si>
  <si>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</si>
  <si>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</si>
  <si>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</si>
  <si>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</si>
  <si>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</si>
  <si>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</si>
  <si>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</si>
  <si>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</si>
  <si>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</si>
  <si>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РУ-15кВ</t>
  </si>
  <si>
    <t>Багратионовский  р-н, п.Южный, Нивенское сельское поселение.</t>
  </si>
  <si>
    <t>ТП-12</t>
  </si>
  <si>
    <t>ячейки РУ-15кВ 5шт</t>
  </si>
  <si>
    <t>отдельные ячейки 15кВ с воздушными разъединителями</t>
  </si>
  <si>
    <t>ячейки с элегазовыми выключателями нагрузки</t>
  </si>
  <si>
    <t>1977</t>
  </si>
  <si>
    <t>ячейки РУ-0,4кВ</t>
  </si>
  <si>
    <t>шкафы с рубильниками и предохранителями</t>
  </si>
  <si>
    <t>шкафы НКУ-0,4 с автоматическими выключателями и АВР</t>
  </si>
  <si>
    <t>РУ-0,4</t>
  </si>
  <si>
    <t>1979</t>
  </si>
  <si>
    <t>ТМ-15/0,4кВ 400кВА</t>
  </si>
  <si>
    <t>1978</t>
  </si>
  <si>
    <t xml:space="preserve"> РУ-15кВ с РЗА и ПА на микропроцессорной базе 5 ячеек</t>
  </si>
  <si>
    <t xml:space="preserve">  физический износ выключателей, отработавших более 40 лет (1978 года )</t>
  </si>
  <si>
    <t xml:space="preserve">показатель замены выключателей15 кВ Вз=5 шт. показатель замены силовых трансформаторов,Рз_тр 800 кВА </t>
  </si>
  <si>
    <t xml:space="preserve">Модернизация оборудования для обеспечения надежности электроснабжения.
</t>
  </si>
  <si>
    <t>J 19-10</t>
  </si>
  <si>
    <t>Реконструкция ТП-12 15/0,4кВ п.Южный, Багратионовского р-на</t>
  </si>
  <si>
    <t>Сметная стоимость проекта в прогнозных ценах  года начала строительства с НДС, млн. руб.</t>
  </si>
  <si>
    <t>ОК</t>
  </si>
  <si>
    <t>2024</t>
  </si>
  <si>
    <t>ТМГ-15/0,4кВ 400кВА</t>
  </si>
  <si>
    <t xml:space="preserve">  Показатель замены выключателей 5 шт. Показатель замены силовых трансформаторов 0,8 МВА. Замена ячеек РУ-15кВ с маслянными выключателями, с РЗА на базе электромеханики в количестве 5 шт. шкафами КРУ-15кВ с РЗА и ПА на микропроцессорной базе замена 2 трансформаторов 15/0,4кВ  400кВА, выработавших нормативный срок ( более 40 лет)</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</si>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</sst>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479">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8" fillId="0" borderId="4"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1"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2"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Fill="1" applyBorder="1" applyAlignment="1">
      <alignment horizontal="justify"/>
    </xf>
    <xf numFmtId="0" fontId="73" fillId="0" borderId="25" xfId="128" applyFill="1" applyBorder="1" applyAlignment="1">
      <alignment horizontal="justify"/>
    </xf>
    <xf numFmtId="0" fontId="28" fillId="0" borderId="0" xfId="0" applyNumberFormat="1" applyFont="1" applyFill="1" applyBorder="1" applyAlignment="1" applyProtection="1"/>
    <xf numFmtId="0" fontId="74"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75"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7" fillId="0" borderId="0" xfId="0" applyNumberFormat="1" applyFont="1" applyFill="1" applyBorder="1" applyAlignment="1" applyProtection="1">
      <alignment horizontal="left" vertical="center"/>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vertical="center"/>
    </xf>
    <xf numFmtId="0" fontId="69" fillId="0" borderId="0" xfId="0" applyNumberFormat="1" applyFont="1" applyFill="1" applyBorder="1" applyAlignment="1" applyProtection="1">
      <alignment vertical="center"/>
    </xf>
    <xf numFmtId="0" fontId="79"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xf numFmtId="0" fontId="81"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vertical="center" wrapText="1"/>
    </xf>
    <xf numFmtId="0" fontId="69"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horizontal="left" vertical="center"/>
    </xf>
    <xf numFmtId="0" fontId="70" fillId="0" borderId="32" xfId="0" applyNumberFormat="1" applyFont="1" applyFill="1" applyBorder="1" applyAlignment="1" applyProtection="1">
      <alignment vertical="center"/>
    </xf>
    <xf numFmtId="0" fontId="70" fillId="0" borderId="34" xfId="0" applyNumberFormat="1" applyFont="1" applyFill="1" applyBorder="1" applyAlignment="1" applyProtection="1">
      <alignment vertical="center"/>
    </xf>
    <xf numFmtId="3" fontId="70" fillId="0" borderId="41" xfId="0" applyNumberFormat="1" applyFont="1" applyFill="1" applyBorder="1" applyAlignment="1" applyProtection="1">
      <alignment vertical="center"/>
    </xf>
    <xf numFmtId="0" fontId="70" fillId="0" borderId="42" xfId="0" applyNumberFormat="1" applyFont="1" applyFill="1" applyBorder="1" applyAlignment="1" applyProtection="1">
      <alignment vertical="center"/>
    </xf>
    <xf numFmtId="0" fontId="70" fillId="0" borderId="43" xfId="0" applyNumberFormat="1" applyFont="1" applyFill="1" applyBorder="1" applyAlignment="1" applyProtection="1">
      <alignment vertical="center"/>
    </xf>
    <xf numFmtId="3" fontId="70"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2"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2" fillId="0" borderId="5" xfId="0" applyNumberFormat="1" applyFont="1" applyFill="1" applyBorder="1" applyAlignment="1" applyProtection="1">
      <alignment horizontal="center" vertical="center"/>
    </xf>
    <xf numFmtId="0" fontId="70" fillId="0" borderId="48" xfId="0" applyNumberFormat="1" applyFont="1" applyFill="1" applyBorder="1" applyAlignment="1" applyProtection="1">
      <alignment horizontal="center" vertical="center"/>
    </xf>
    <xf numFmtId="0" fontId="82" fillId="0" borderId="5" xfId="0" applyNumberFormat="1" applyFont="1" applyFill="1" applyBorder="1" applyAlignment="1" applyProtection="1">
      <alignment horizontal="center" vertical="center"/>
    </xf>
    <xf numFmtId="0" fontId="70" fillId="0" borderId="49" xfId="0" applyNumberFormat="1" applyFont="1" applyFill="1" applyBorder="1" applyAlignment="1" applyProtection="1">
      <alignment vertical="center"/>
    </xf>
    <xf numFmtId="0" fontId="70" fillId="0" borderId="37" xfId="0" applyNumberFormat="1" applyFont="1" applyFill="1" applyBorder="1" applyAlignment="1" applyProtection="1">
      <alignment vertical="center"/>
    </xf>
    <xf numFmtId="10" fontId="70" fillId="0" borderId="35" xfId="0" applyNumberFormat="1" applyFont="1" applyFill="1" applyBorder="1" applyAlignment="1" applyProtection="1">
      <alignment vertical="center"/>
    </xf>
    <xf numFmtId="3" fontId="70" fillId="0" borderId="33" xfId="0" applyNumberFormat="1" applyFont="1" applyFill="1" applyBorder="1" applyAlignment="1" applyProtection="1">
      <alignment vertical="center"/>
    </xf>
    <xf numFmtId="9" fontId="70" fillId="0" borderId="50" xfId="0" applyNumberFormat="1" applyFont="1" applyFill="1" applyBorder="1" applyAlignment="1" applyProtection="1">
      <alignment vertical="center"/>
    </xf>
    <xf numFmtId="0" fontId="70" fillId="0" borderId="38" xfId="0" applyNumberFormat="1" applyFont="1" applyFill="1" applyBorder="1" applyAlignment="1" applyProtection="1">
      <alignment vertical="center"/>
    </xf>
    <xf numFmtId="3" fontId="70" fillId="0" borderId="32" xfId="0" applyNumberFormat="1" applyFont="1" applyFill="1" applyBorder="1" applyAlignment="1" applyProtection="1">
      <alignment vertical="center"/>
    </xf>
    <xf numFmtId="0" fontId="70" fillId="0" borderId="51" xfId="0" applyNumberFormat="1" applyFont="1" applyFill="1" applyBorder="1" applyAlignment="1" applyProtection="1">
      <alignment vertical="center"/>
    </xf>
    <xf numFmtId="10" fontId="70" fillId="0" borderId="36" xfId="0" applyNumberFormat="1" applyFont="1" applyFill="1" applyBorder="1" applyAlignment="1" applyProtection="1">
      <alignment vertical="center"/>
    </xf>
    <xf numFmtId="10" fontId="70" fillId="0" borderId="42" xfId="0" applyNumberFormat="1" applyFont="1" applyFill="1" applyBorder="1" applyAlignment="1" applyProtection="1">
      <alignment vertical="center"/>
    </xf>
    <xf numFmtId="10" fontId="70"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0" fillId="0" borderId="52" xfId="0" applyNumberFormat="1" applyFont="1" applyFill="1" applyBorder="1" applyAlignment="1" applyProtection="1">
      <alignment vertical="center"/>
    </xf>
    <xf numFmtId="0" fontId="83" fillId="0" borderId="0" xfId="0" applyNumberFormat="1" applyFont="1" applyFill="1" applyBorder="1" applyAlignment="1" applyProtection="1">
      <alignment vertical="center"/>
    </xf>
    <xf numFmtId="0" fontId="70" fillId="0" borderId="39" xfId="0" applyNumberFormat="1" applyFont="1" applyFill="1" applyBorder="1" applyAlignment="1" applyProtection="1">
      <alignment horizontal="left" vertical="center"/>
    </xf>
    <xf numFmtId="1" fontId="70" fillId="0" borderId="24" xfId="0" applyNumberFormat="1" applyFont="1" applyFill="1" applyBorder="1" applyAlignment="1" applyProtection="1">
      <alignment horizontal="center" vertical="center"/>
    </xf>
    <xf numFmtId="1" fontId="70" fillId="0" borderId="53"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10" fontId="70" fillId="0" borderId="48" xfId="67" applyNumberFormat="1" applyFont="1" applyFill="1" applyBorder="1" applyAlignment="1">
      <alignment vertical="center"/>
    </xf>
    <xf numFmtId="10" fontId="70"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vertical="center"/>
    </xf>
    <xf numFmtId="3" fontId="70" fillId="0" borderId="23" xfId="67" applyNumberFormat="1" applyFont="1" applyFill="1" applyBorder="1" applyAlignment="1">
      <alignment vertical="center"/>
    </xf>
    <xf numFmtId="0" fontId="70" fillId="0" borderId="55" xfId="0" applyNumberFormat="1" applyFont="1" applyFill="1" applyBorder="1" applyAlignment="1" applyProtection="1">
      <alignment vertical="center"/>
    </xf>
    <xf numFmtId="0" fontId="70" fillId="0" borderId="56" xfId="0" applyNumberFormat="1" applyFont="1" applyFill="1" applyBorder="1" applyAlignment="1" applyProtection="1">
      <alignment vertical="center"/>
    </xf>
    <xf numFmtId="0" fontId="69" fillId="0" borderId="39" xfId="0" applyNumberFormat="1" applyFont="1" applyFill="1" applyBorder="1" applyAlignment="1" applyProtection="1">
      <alignment vertical="center"/>
    </xf>
    <xf numFmtId="3" fontId="70" fillId="0" borderId="48" xfId="0" applyNumberFormat="1" applyFont="1" applyFill="1" applyBorder="1" applyAlignment="1" applyProtection="1">
      <alignment vertical="center"/>
    </xf>
    <xf numFmtId="3" fontId="70" fillId="0" borderId="57" xfId="0" applyNumberFormat="1" applyFont="1" applyFill="1" applyBorder="1" applyAlignment="1" applyProtection="1">
      <alignment vertical="center"/>
    </xf>
    <xf numFmtId="3" fontId="70" fillId="0" borderId="23" xfId="0" applyNumberFormat="1" applyFont="1" applyFill="1" applyBorder="1" applyAlignment="1" applyProtection="1">
      <alignment vertical="center"/>
    </xf>
    <xf numFmtId="3" fontId="70" fillId="0" borderId="58" xfId="0" applyNumberFormat="1" applyFont="1" applyFill="1" applyBorder="1" applyAlignment="1" applyProtection="1">
      <alignment vertical="center"/>
    </xf>
    <xf numFmtId="3" fontId="83" fillId="0" borderId="0" xfId="0" applyNumberFormat="1" applyFont="1" applyFill="1" applyBorder="1" applyAlignment="1" applyProtection="1">
      <alignment horizontal="center" vertical="center"/>
    </xf>
    <xf numFmtId="3" fontId="83"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horizontal="left" vertical="center"/>
    </xf>
    <xf numFmtId="3" fontId="70" fillId="0" borderId="48" xfId="0" applyNumberFormat="1" applyFont="1" applyFill="1" applyBorder="1" applyAlignment="1" applyProtection="1">
      <alignment horizontal="right" vertical="center"/>
    </xf>
    <xf numFmtId="165" fontId="70" fillId="0" borderId="48" xfId="0" applyNumberFormat="1" applyFont="1" applyFill="1" applyBorder="1" applyAlignment="1" applyProtection="1">
      <alignment vertical="center"/>
    </xf>
    <xf numFmtId="0" fontId="69" fillId="0" borderId="54" xfId="0" applyNumberFormat="1" applyFont="1" applyFill="1" applyBorder="1" applyAlignment="1" applyProtection="1">
      <alignment horizontal="left" vertical="center"/>
    </xf>
    <xf numFmtId="175" fontId="79"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0" fillId="0" borderId="48" xfId="0" applyNumberFormat="1" applyFont="1" applyFill="1" applyBorder="1" applyAlignment="1" applyProtection="1">
      <alignment vertical="center"/>
    </xf>
    <xf numFmtId="0" fontId="69" fillId="0" borderId="40" xfId="0" applyNumberFormat="1" applyFont="1" applyFill="1" applyBorder="1" applyAlignment="1" applyProtection="1">
      <alignment horizontal="left" vertical="center"/>
    </xf>
    <xf numFmtId="175" fontId="79" fillId="0" borderId="23" xfId="0" applyNumberFormat="1" applyFont="1" applyFill="1" applyBorder="1" applyAlignment="1" applyProtection="1">
      <alignment horizontal="center" vertical="center"/>
    </xf>
    <xf numFmtId="168" fontId="83" fillId="0" borderId="0" xfId="0" applyNumberFormat="1" applyFont="1" applyFill="1" applyBorder="1" applyAlignment="1" applyProtection="1">
      <alignment horizontal="center" vertical="center"/>
    </xf>
    <xf numFmtId="0" fontId="69"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0"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79" fillId="0" borderId="48" xfId="0" applyNumberFormat="1" applyFont="1" applyFill="1" applyBorder="1" applyAlignment="1" applyProtection="1">
      <alignment horizontal="center" vertical="center"/>
    </xf>
    <xf numFmtId="164" fontId="79" fillId="0" borderId="48" xfId="0" applyNumberFormat="1" applyFont="1" applyFill="1" applyBorder="1" applyAlignment="1" applyProtection="1">
      <alignment horizontal="center" vertical="center"/>
    </xf>
    <xf numFmtId="0" fontId="69" fillId="0" borderId="40" xfId="0" applyNumberFormat="1" applyFont="1" applyFill="1" applyBorder="1" applyAlignment="1" applyProtection="1">
      <alignment vertical="center"/>
    </xf>
    <xf numFmtId="164" fontId="79" fillId="0" borderId="23" xfId="0" applyNumberFormat="1" applyFont="1" applyFill="1" applyBorder="1" applyAlignment="1" applyProtection="1">
      <alignment horizontal="center" vertical="center"/>
    </xf>
    <xf numFmtId="0" fontId="70" fillId="0" borderId="59" xfId="0" applyNumberFormat="1" applyFont="1" applyFill="1" applyBorder="1" applyAlignment="1" applyProtection="1">
      <alignment vertical="center"/>
    </xf>
    <xf numFmtId="171" fontId="70" fillId="0" borderId="0" xfId="0" applyNumberFormat="1" applyFont="1" applyFill="1" applyBorder="1" applyAlignment="1" applyProtection="1">
      <alignment vertical="center"/>
    </xf>
    <xf numFmtId="0" fontId="70" fillId="27" borderId="0" xfId="0" applyNumberFormat="1" applyFont="1" applyFill="1" applyBorder="1" applyAlignment="1" applyProtection="1">
      <alignment vertical="center"/>
    </xf>
    <xf numFmtId="0" fontId="38"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0" fontId="38" fillId="0" borderId="0" xfId="2" applyFont="1" applyFill="1"/>
    <xf numFmtId="165" fontId="70" fillId="0" borderId="48" xfId="0" applyNumberFormat="1" applyFont="1" applyBorder="1" applyAlignment="1">
      <alignment vertical="center"/>
    </xf>
    <xf numFmtId="175" fontId="70" fillId="0" borderId="48" xfId="0" applyNumberFormat="1" applyFont="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70" fillId="0" borderId="45" xfId="0" applyNumberFormat="1" applyFont="1" applyFill="1" applyBorder="1" applyAlignment="1" applyProtection="1">
      <alignment horizontal="center" vertical="center"/>
    </xf>
    <xf numFmtId="0" fontId="70" fillId="0" borderId="46" xfId="0" applyNumberFormat="1" applyFont="1" applyFill="1" applyBorder="1" applyAlignment="1" applyProtection="1">
      <alignment horizontal="center" vertical="center"/>
    </xf>
    <xf numFmtId="0" fontId="70" fillId="0" borderId="47"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wrapText="1"/>
    </xf>
    <xf numFmtId="0" fontId="80" fillId="0" borderId="0" xfId="0" applyNumberFormat="1" applyFont="1" applyFill="1" applyBorder="1" applyAlignment="1" applyProtection="1">
      <alignment horizontal="center" vertical="center" wrapText="1"/>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79"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52" fillId="0" borderId="0" xfId="1" applyFont="1" applyFill="1" applyAlignment="1">
      <alignment horizontal="center" vertical="center" wrapText="1"/>
    </xf>
    <xf numFmtId="0" fontId="38" fillId="0" borderId="0" xfId="2" applyFont="1" applyFill="1" applyAlignment="1">
      <alignment horizontal="center" vertical="center"/>
    </xf>
    <xf numFmtId="0" fontId="38" fillId="0" borderId="1" xfId="2" applyFont="1" applyFill="1" applyBorder="1" applyAlignment="1">
      <alignment horizontal="center" vertical="center"/>
    </xf>
    <xf numFmtId="0" fontId="38" fillId="0" borderId="3" xfId="52"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6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0/J%2019-10%20&#1087;&#1072;&#1089;&#1087;&#1086;&#1088;&#1090;_&#1082;&#1072;&#1088;&#1090;&#1072;/J%2019-10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Сводка затрат"/>
    </sheetNames>
    <sheetDataSet>
      <sheetData sheetId="0" refreshError="1"/>
      <sheetData sheetId="1" refreshError="1"/>
      <sheetData sheetId="2" refreshError="1"/>
      <sheetData sheetId="3" refreshError="1">
        <row r="21">
          <cell r="D21">
            <v>1.3152447360673798</v>
          </cell>
          <cell r="E21">
            <v>0.7752482171944991</v>
          </cell>
          <cell r="F21">
            <v>4.3638802015715239</v>
          </cell>
          <cell r="G21">
            <v>1.0201104418583393E-2</v>
          </cell>
          <cell r="H2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0_&#1082;&#1072;&#1088;&#1090;&#1099;_&#1058;&#1055;-12.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50" zoomScaleSheetLayoutView="100" workbookViewId="0">
      <selection activeCell="C21" sqref="C2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2" t="s">
        <v>617</v>
      </c>
      <c r="B5" s="352"/>
      <c r="C5" s="352"/>
      <c r="D5" s="107"/>
      <c r="E5" s="107"/>
      <c r="F5" s="107"/>
      <c r="G5" s="107"/>
      <c r="H5" s="107"/>
      <c r="I5" s="107"/>
      <c r="J5" s="107"/>
    </row>
    <row r="6" spans="1:22" s="11" customFormat="1" ht="18.75" x14ac:dyDescent="0.3">
      <c r="A6" s="16"/>
      <c r="F6" s="15"/>
      <c r="G6" s="15"/>
      <c r="H6" s="14"/>
    </row>
    <row r="7" spans="1:22" s="11" customFormat="1" ht="18.75" x14ac:dyDescent="0.2">
      <c r="A7" s="356" t="s">
        <v>7</v>
      </c>
      <c r="B7" s="356"/>
      <c r="C7" s="356"/>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58" t="s">
        <v>547</v>
      </c>
      <c r="B9" s="358"/>
      <c r="C9" s="358"/>
      <c r="D9" s="7"/>
      <c r="E9" s="7"/>
      <c r="F9" s="7"/>
      <c r="G9" s="7"/>
      <c r="H9" s="7"/>
      <c r="I9" s="12"/>
      <c r="J9" s="12"/>
      <c r="K9" s="12"/>
      <c r="L9" s="12"/>
      <c r="M9" s="12"/>
      <c r="N9" s="12"/>
      <c r="O9" s="12"/>
      <c r="P9" s="12"/>
      <c r="Q9" s="12"/>
      <c r="R9" s="12"/>
      <c r="S9" s="12"/>
      <c r="T9" s="12"/>
      <c r="U9" s="12"/>
      <c r="V9" s="12"/>
    </row>
    <row r="10" spans="1:22" s="11" customFormat="1" ht="18.75" x14ac:dyDescent="0.2">
      <c r="A10" s="353" t="s">
        <v>6</v>
      </c>
      <c r="B10" s="353"/>
      <c r="C10" s="353"/>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57" t="s">
        <v>595</v>
      </c>
      <c r="B12" s="357"/>
      <c r="C12" s="357"/>
      <c r="D12" s="7"/>
      <c r="E12" s="7"/>
      <c r="F12" s="7"/>
      <c r="G12" s="7"/>
      <c r="H12" s="7"/>
      <c r="I12" s="12"/>
      <c r="J12" s="12"/>
      <c r="K12" s="12"/>
      <c r="L12" s="12"/>
      <c r="M12" s="12"/>
      <c r="N12" s="12"/>
      <c r="O12" s="12"/>
      <c r="P12" s="12"/>
      <c r="Q12" s="12"/>
      <c r="R12" s="12"/>
      <c r="S12" s="12"/>
      <c r="T12" s="12"/>
      <c r="U12" s="12"/>
      <c r="V12" s="12"/>
    </row>
    <row r="13" spans="1:22" s="11" customFormat="1" ht="18.75" x14ac:dyDescent="0.2">
      <c r="A13" s="353" t="s">
        <v>5</v>
      </c>
      <c r="B13" s="353"/>
      <c r="C13" s="353"/>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54" t="s">
        <v>596</v>
      </c>
      <c r="B15" s="354"/>
      <c r="C15" s="354"/>
      <c r="D15" s="7"/>
      <c r="E15" s="7"/>
      <c r="F15" s="7"/>
      <c r="G15" s="7"/>
      <c r="H15" s="7"/>
      <c r="I15" s="7"/>
      <c r="J15" s="7"/>
      <c r="K15" s="7"/>
      <c r="L15" s="7"/>
      <c r="M15" s="7"/>
      <c r="N15" s="7"/>
      <c r="O15" s="7"/>
      <c r="P15" s="7"/>
      <c r="Q15" s="7"/>
      <c r="R15" s="7"/>
      <c r="S15" s="7"/>
      <c r="T15" s="7"/>
      <c r="U15" s="7"/>
      <c r="V15" s="7"/>
    </row>
    <row r="16" spans="1:22" s="3" customFormat="1" ht="15" customHeight="1" x14ac:dyDescent="0.2">
      <c r="A16" s="353" t="s">
        <v>4</v>
      </c>
      <c r="B16" s="353"/>
      <c r="C16" s="35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4" t="s">
        <v>408</v>
      </c>
      <c r="B18" s="355"/>
      <c r="C18" s="35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42" t="s">
        <v>564</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242" t="s">
        <v>565</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49"/>
      <c r="B24" s="350"/>
      <c r="C24" s="351"/>
      <c r="D24" s="23"/>
      <c r="E24" s="23"/>
      <c r="F24" s="23"/>
      <c r="G24" s="23"/>
      <c r="H24" s="23"/>
      <c r="I24" s="22"/>
      <c r="J24" s="22"/>
      <c r="K24" s="22"/>
      <c r="L24" s="22"/>
      <c r="M24" s="22"/>
      <c r="N24" s="22"/>
      <c r="O24" s="22"/>
      <c r="P24" s="22"/>
      <c r="Q24" s="22"/>
      <c r="R24" s="22"/>
      <c r="S24" s="22"/>
      <c r="T24" s="21"/>
      <c r="U24" s="21"/>
      <c r="V24" s="21"/>
    </row>
    <row r="25" spans="1:22" s="131" customFormat="1" ht="58.5" customHeight="1" x14ac:dyDescent="0.2">
      <c r="A25" s="19" t="s">
        <v>60</v>
      </c>
      <c r="B25" s="105" t="s">
        <v>357</v>
      </c>
      <c r="C25" s="25" t="s">
        <v>558</v>
      </c>
      <c r="D25" s="129"/>
      <c r="E25" s="129"/>
      <c r="F25" s="129"/>
      <c r="G25" s="129"/>
      <c r="H25" s="128"/>
      <c r="I25" s="128"/>
      <c r="J25" s="128"/>
      <c r="K25" s="128"/>
      <c r="L25" s="128"/>
      <c r="M25" s="128"/>
      <c r="N25" s="128"/>
      <c r="O25" s="128"/>
      <c r="P25" s="128"/>
      <c r="Q25" s="128"/>
      <c r="R25" s="128"/>
      <c r="S25" s="130"/>
      <c r="T25" s="130"/>
      <c r="U25" s="130"/>
      <c r="V25" s="130"/>
    </row>
    <row r="26" spans="1:22" s="131" customFormat="1" ht="42.75" customHeight="1" x14ac:dyDescent="0.2">
      <c r="A26" s="19" t="s">
        <v>59</v>
      </c>
      <c r="B26" s="105" t="s">
        <v>72</v>
      </c>
      <c r="C26" s="25" t="s">
        <v>559</v>
      </c>
      <c r="D26" s="129"/>
      <c r="E26" s="129"/>
      <c r="F26" s="129"/>
      <c r="G26" s="129"/>
      <c r="H26" s="128"/>
      <c r="I26" s="128"/>
      <c r="J26" s="128"/>
      <c r="K26" s="128"/>
      <c r="L26" s="128"/>
      <c r="M26" s="128"/>
      <c r="N26" s="128"/>
      <c r="O26" s="128"/>
      <c r="P26" s="128"/>
      <c r="Q26" s="128"/>
      <c r="R26" s="128"/>
      <c r="S26" s="130"/>
      <c r="T26" s="130"/>
      <c r="U26" s="130"/>
      <c r="V26" s="130"/>
    </row>
    <row r="27" spans="1:22" s="131" customFormat="1" ht="51.75" customHeight="1" x14ac:dyDescent="0.2">
      <c r="A27" s="19" t="s">
        <v>57</v>
      </c>
      <c r="B27" s="105" t="s">
        <v>71</v>
      </c>
      <c r="C27" s="25" t="s">
        <v>578</v>
      </c>
      <c r="D27" s="129"/>
      <c r="E27" s="129"/>
      <c r="F27" s="129"/>
      <c r="G27" s="129"/>
      <c r="H27" s="128"/>
      <c r="I27" s="128"/>
      <c r="J27" s="128"/>
      <c r="K27" s="128"/>
      <c r="L27" s="128"/>
      <c r="M27" s="128"/>
      <c r="N27" s="128"/>
      <c r="O27" s="128"/>
      <c r="P27" s="128"/>
      <c r="Q27" s="128"/>
      <c r="R27" s="128"/>
      <c r="S27" s="130"/>
      <c r="T27" s="130"/>
      <c r="U27" s="130"/>
      <c r="V27" s="130"/>
    </row>
    <row r="28" spans="1:22" s="131" customFormat="1" ht="42.75" customHeight="1" x14ac:dyDescent="0.2">
      <c r="A28" s="19" t="s">
        <v>56</v>
      </c>
      <c r="B28" s="105" t="s">
        <v>358</v>
      </c>
      <c r="C28" s="25" t="s">
        <v>435</v>
      </c>
      <c r="D28" s="129"/>
      <c r="E28" s="129"/>
      <c r="F28" s="129"/>
      <c r="G28" s="129"/>
      <c r="H28" s="128"/>
      <c r="I28" s="128"/>
      <c r="J28" s="128"/>
      <c r="K28" s="128"/>
      <c r="L28" s="128"/>
      <c r="M28" s="128"/>
      <c r="N28" s="128"/>
      <c r="O28" s="128"/>
      <c r="P28" s="128"/>
      <c r="Q28" s="128"/>
      <c r="R28" s="128"/>
      <c r="S28" s="130"/>
      <c r="T28" s="130"/>
      <c r="U28" s="130"/>
      <c r="V28" s="130"/>
    </row>
    <row r="29" spans="1:22" s="131" customFormat="1" ht="51.75" customHeight="1" x14ac:dyDescent="0.2">
      <c r="A29" s="19" t="s">
        <v>54</v>
      </c>
      <c r="B29" s="105" t="s">
        <v>359</v>
      </c>
      <c r="C29" s="25" t="s">
        <v>435</v>
      </c>
      <c r="D29" s="129"/>
      <c r="E29" s="129"/>
      <c r="F29" s="129"/>
      <c r="G29" s="129"/>
      <c r="H29" s="128"/>
      <c r="I29" s="128"/>
      <c r="J29" s="128"/>
      <c r="K29" s="128"/>
      <c r="L29" s="128"/>
      <c r="M29" s="128"/>
      <c r="N29" s="128"/>
      <c r="O29" s="128"/>
      <c r="P29" s="128"/>
      <c r="Q29" s="128"/>
      <c r="R29" s="128"/>
      <c r="S29" s="130"/>
      <c r="T29" s="130"/>
      <c r="U29" s="130"/>
      <c r="V29" s="130"/>
    </row>
    <row r="30" spans="1:22" s="131" customFormat="1" ht="51.75" customHeight="1" x14ac:dyDescent="0.2">
      <c r="A30" s="19" t="s">
        <v>52</v>
      </c>
      <c r="B30" s="105" t="s">
        <v>360</v>
      </c>
      <c r="C30" s="25" t="s">
        <v>435</v>
      </c>
      <c r="D30" s="129"/>
      <c r="E30" s="129"/>
      <c r="F30" s="129"/>
      <c r="G30" s="129"/>
      <c r="H30" s="128"/>
      <c r="I30" s="128"/>
      <c r="J30" s="128"/>
      <c r="K30" s="128"/>
      <c r="L30" s="128"/>
      <c r="M30" s="128"/>
      <c r="N30" s="128"/>
      <c r="O30" s="128"/>
      <c r="P30" s="128"/>
      <c r="Q30" s="128"/>
      <c r="R30" s="128"/>
      <c r="S30" s="130"/>
      <c r="T30" s="130"/>
      <c r="U30" s="130"/>
      <c r="V30" s="130"/>
    </row>
    <row r="31" spans="1:22" s="131" customFormat="1" ht="51.75" customHeight="1" x14ac:dyDescent="0.2">
      <c r="A31" s="19" t="s">
        <v>70</v>
      </c>
      <c r="B31" s="105" t="s">
        <v>361</v>
      </c>
      <c r="C31" s="25" t="s">
        <v>560</v>
      </c>
      <c r="D31" s="129"/>
      <c r="E31" s="129"/>
      <c r="F31" s="129"/>
      <c r="G31" s="129"/>
      <c r="H31" s="128"/>
      <c r="I31" s="128"/>
      <c r="J31" s="128"/>
      <c r="K31" s="128"/>
      <c r="L31" s="128"/>
      <c r="M31" s="128"/>
      <c r="N31" s="128"/>
      <c r="O31" s="128"/>
      <c r="P31" s="128"/>
      <c r="Q31" s="128"/>
      <c r="R31" s="128"/>
      <c r="S31" s="130"/>
      <c r="T31" s="130"/>
      <c r="U31" s="130"/>
      <c r="V31" s="130"/>
    </row>
    <row r="32" spans="1:22" s="131" customFormat="1" ht="51.75" customHeight="1" x14ac:dyDescent="0.2">
      <c r="A32" s="19" t="s">
        <v>68</v>
      </c>
      <c r="B32" s="105" t="s">
        <v>362</v>
      </c>
      <c r="C32" s="25" t="s">
        <v>561</v>
      </c>
      <c r="D32" s="129"/>
      <c r="E32" s="129"/>
      <c r="F32" s="129"/>
      <c r="G32" s="129"/>
      <c r="H32" s="128"/>
      <c r="I32" s="128"/>
      <c r="J32" s="128"/>
      <c r="K32" s="128"/>
      <c r="L32" s="128"/>
      <c r="M32" s="128"/>
      <c r="N32" s="128"/>
      <c r="O32" s="128"/>
      <c r="P32" s="128"/>
      <c r="Q32" s="128"/>
      <c r="R32" s="128"/>
      <c r="S32" s="130"/>
      <c r="T32" s="130"/>
      <c r="U32" s="130"/>
      <c r="V32" s="130"/>
    </row>
    <row r="33" spans="1:22" s="131" customFormat="1" ht="101.25" customHeight="1" x14ac:dyDescent="0.2">
      <c r="A33" s="19" t="s">
        <v>67</v>
      </c>
      <c r="B33" s="105" t="s">
        <v>363</v>
      </c>
      <c r="C33" s="105" t="s">
        <v>562</v>
      </c>
      <c r="D33" s="129"/>
      <c r="E33" s="129"/>
      <c r="F33" s="129"/>
      <c r="G33" s="129"/>
      <c r="H33" s="128"/>
      <c r="I33" s="128"/>
      <c r="J33" s="128"/>
      <c r="K33" s="128"/>
      <c r="L33" s="128"/>
      <c r="M33" s="128"/>
      <c r="N33" s="128"/>
      <c r="O33" s="128"/>
      <c r="P33" s="128"/>
      <c r="Q33" s="128"/>
      <c r="R33" s="128"/>
      <c r="S33" s="130"/>
      <c r="T33" s="130"/>
      <c r="U33" s="130"/>
      <c r="V33" s="130"/>
    </row>
    <row r="34" spans="1:22" ht="111" customHeight="1" x14ac:dyDescent="0.25">
      <c r="A34" s="19" t="s">
        <v>377</v>
      </c>
      <c r="B34" s="30" t="s">
        <v>364</v>
      </c>
      <c r="C34" s="20" t="s">
        <v>544</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563</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544</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563</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49"/>
      <c r="B39" s="350"/>
      <c r="C39" s="351"/>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593</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1" t="s">
        <v>538</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538</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542</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544</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9" t="s">
        <v>538</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9"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49"/>
      <c r="B47" s="350"/>
      <c r="C47" s="351"/>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540</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540</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5" t="str">
        <f>CONCATENATE(ROUND('6.2. Паспорт фин осв ввод'!AB24,2)," млн.руб.")</f>
        <v>7,76 млн.руб.</v>
      </c>
      <c r="D50" s="18" t="s">
        <v>541</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15" t="str">
        <f>CONCATENATE(ROUND('6.2. Паспорт фин осв ввод'!AB30,2)," млн.руб.")</f>
        <v>6,46 млн.руб.</v>
      </c>
      <c r="D51" s="18" t="s">
        <v>541</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22" t="str">
        <f>'1. паспорт местоположение'!A5:C5</f>
        <v>Год раскрытия информации: 2022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c r="AA4" s="422"/>
      <c r="AB4" s="422"/>
      <c r="AC4" s="422"/>
    </row>
    <row r="5" spans="1:29" ht="18.75" x14ac:dyDescent="0.3">
      <c r="A5" s="44"/>
      <c r="B5" s="44"/>
      <c r="C5" s="44"/>
      <c r="D5" s="44"/>
      <c r="E5" s="44"/>
      <c r="F5" s="44"/>
      <c r="L5" s="44"/>
      <c r="M5" s="44"/>
      <c r="T5" s="44"/>
      <c r="U5" s="44"/>
      <c r="AC5" s="14"/>
    </row>
    <row r="6" spans="1:29" ht="18.75" x14ac:dyDescent="0.25">
      <c r="A6" s="356" t="s">
        <v>7</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c r="AB6" s="356"/>
      <c r="AC6" s="356"/>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23" t="str">
        <f>'1. паспорт местоположение'!A9:C9</f>
        <v xml:space="preserve">Акционерное общество "Западная энергетическая компания" </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row>
    <row r="9" spans="1:29" ht="18.75" customHeight="1" x14ac:dyDescent="0.25">
      <c r="A9" s="353" t="s">
        <v>6</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23" t="str">
        <f>'1. паспорт местоположение'!A12:C12</f>
        <v>J 19-10</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row>
    <row r="12" spans="1:29" x14ac:dyDescent="0.25">
      <c r="A12" s="353" t="s">
        <v>5</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24" t="str">
        <f>'1. паспорт местоположение'!A15:C15</f>
        <v>Реконструкция ТП-12 15/0,4кВ п.Южный, Багратионовского р-на</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row>
    <row r="15" spans="1:29" ht="15.75" customHeight="1" x14ac:dyDescent="0.25">
      <c r="A15" s="353" t="s">
        <v>4</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row>
    <row r="16" spans="1:29"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30" t="s">
        <v>393</v>
      </c>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26" t="s">
        <v>183</v>
      </c>
      <c r="B20" s="426" t="s">
        <v>182</v>
      </c>
      <c r="C20" s="421" t="s">
        <v>181</v>
      </c>
      <c r="D20" s="421"/>
      <c r="E20" s="429" t="s">
        <v>180</v>
      </c>
      <c r="F20" s="429"/>
      <c r="G20" s="426" t="s">
        <v>423</v>
      </c>
      <c r="H20" s="432" t="s">
        <v>424</v>
      </c>
      <c r="I20" s="433"/>
      <c r="J20" s="433"/>
      <c r="K20" s="433"/>
      <c r="L20" s="432" t="s">
        <v>425</v>
      </c>
      <c r="M20" s="433"/>
      <c r="N20" s="433"/>
      <c r="O20" s="433"/>
      <c r="P20" s="432" t="s">
        <v>426</v>
      </c>
      <c r="Q20" s="433"/>
      <c r="R20" s="433"/>
      <c r="S20" s="433"/>
      <c r="T20" s="432" t="s">
        <v>439</v>
      </c>
      <c r="U20" s="433"/>
      <c r="V20" s="433"/>
      <c r="W20" s="433"/>
      <c r="X20" s="432" t="s">
        <v>440</v>
      </c>
      <c r="Y20" s="433"/>
      <c r="Z20" s="433"/>
      <c r="AA20" s="433"/>
      <c r="AB20" s="431" t="s">
        <v>179</v>
      </c>
      <c r="AC20" s="431"/>
      <c r="AD20" s="65"/>
      <c r="AE20" s="65"/>
      <c r="AF20" s="65"/>
    </row>
    <row r="21" spans="1:32" ht="99.75" customHeight="1" x14ac:dyDescent="0.25">
      <c r="A21" s="427"/>
      <c r="B21" s="427"/>
      <c r="C21" s="421"/>
      <c r="D21" s="421"/>
      <c r="E21" s="429"/>
      <c r="F21" s="429"/>
      <c r="G21" s="427"/>
      <c r="H21" s="421" t="s">
        <v>2</v>
      </c>
      <c r="I21" s="421"/>
      <c r="J21" s="421" t="s">
        <v>9</v>
      </c>
      <c r="K21" s="421"/>
      <c r="L21" s="421" t="s">
        <v>2</v>
      </c>
      <c r="M21" s="421"/>
      <c r="N21" s="421" t="s">
        <v>9</v>
      </c>
      <c r="O21" s="421"/>
      <c r="P21" s="421" t="s">
        <v>2</v>
      </c>
      <c r="Q21" s="421"/>
      <c r="R21" s="421" t="s">
        <v>178</v>
      </c>
      <c r="S21" s="421"/>
      <c r="T21" s="421" t="s">
        <v>2</v>
      </c>
      <c r="U21" s="421"/>
      <c r="V21" s="421" t="s">
        <v>178</v>
      </c>
      <c r="W21" s="421"/>
      <c r="X21" s="421" t="s">
        <v>2</v>
      </c>
      <c r="Y21" s="421"/>
      <c r="Z21" s="421" t="s">
        <v>178</v>
      </c>
      <c r="AA21" s="421"/>
      <c r="AB21" s="431"/>
      <c r="AC21" s="431"/>
    </row>
    <row r="22" spans="1:32" ht="89.25" customHeight="1" x14ac:dyDescent="0.25">
      <c r="A22" s="428"/>
      <c r="B22" s="428"/>
      <c r="C22" s="62" t="s">
        <v>2</v>
      </c>
      <c r="D22" s="62" t="s">
        <v>178</v>
      </c>
      <c r="E22" s="64" t="s">
        <v>438</v>
      </c>
      <c r="F22" s="64" t="s">
        <v>483</v>
      </c>
      <c r="G22" s="428"/>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5" t="s">
        <v>9</v>
      </c>
    </row>
    <row r="23" spans="1:32" ht="19.5" customHeight="1" x14ac:dyDescent="0.25">
      <c r="A23" s="55">
        <v>1</v>
      </c>
      <c r="B23" s="55">
        <v>2</v>
      </c>
      <c r="C23" s="55">
        <v>3</v>
      </c>
      <c r="D23" s="55">
        <v>4</v>
      </c>
      <c r="E23" s="55">
        <v>5</v>
      </c>
      <c r="F23" s="55">
        <v>6</v>
      </c>
      <c r="G23" s="104">
        <v>7</v>
      </c>
      <c r="H23" s="104">
        <v>8</v>
      </c>
      <c r="I23" s="104">
        <v>9</v>
      </c>
      <c r="J23" s="104">
        <v>10</v>
      </c>
      <c r="K23" s="104">
        <v>11</v>
      </c>
      <c r="L23" s="127">
        <v>12</v>
      </c>
      <c r="M23" s="127">
        <v>13</v>
      </c>
      <c r="N23" s="127">
        <v>14</v>
      </c>
      <c r="O23" s="127">
        <v>15</v>
      </c>
      <c r="P23" s="127">
        <v>16</v>
      </c>
      <c r="Q23" s="127">
        <v>17</v>
      </c>
      <c r="R23" s="127">
        <v>18</v>
      </c>
      <c r="S23" s="127">
        <v>19</v>
      </c>
      <c r="T23" s="104">
        <v>12</v>
      </c>
      <c r="U23" s="104">
        <v>13</v>
      </c>
      <c r="V23" s="104">
        <v>14</v>
      </c>
      <c r="W23" s="104">
        <v>15</v>
      </c>
      <c r="X23" s="104">
        <v>16</v>
      </c>
      <c r="Y23" s="104">
        <v>17</v>
      </c>
      <c r="Z23" s="104">
        <v>18</v>
      </c>
      <c r="AA23" s="104">
        <v>19</v>
      </c>
      <c r="AB23" s="104">
        <v>20</v>
      </c>
      <c r="AC23" s="124">
        <f t="shared" ref="AC23" si="0">AB23+1</f>
        <v>21</v>
      </c>
    </row>
    <row r="24" spans="1:32" ht="47.25" customHeight="1" x14ac:dyDescent="0.25">
      <c r="A24" s="60">
        <v>1</v>
      </c>
      <c r="B24" s="59" t="s">
        <v>177</v>
      </c>
      <c r="C24" s="120">
        <f>SUM(C25:C29)</f>
        <v>294.53059319620257</v>
      </c>
      <c r="D24" s="120">
        <v>0</v>
      </c>
      <c r="E24" s="120">
        <f>SUM(E25:E29)</f>
        <v>294.53059319620257</v>
      </c>
      <c r="F24" s="120">
        <f>SUM(F25:F29)</f>
        <v>293.97652119620255</v>
      </c>
      <c r="G24" s="120">
        <f t="shared" ref="G24" si="1">SUM(G25:G29)</f>
        <v>0</v>
      </c>
      <c r="H24" s="120">
        <f t="shared" ref="H24:M24" si="2">SUM(H25:H29)</f>
        <v>0.55407200000000001</v>
      </c>
      <c r="I24" s="120">
        <f t="shared" si="2"/>
        <v>0</v>
      </c>
      <c r="J24" s="120">
        <f t="shared" si="2"/>
        <v>0.55407200000000001</v>
      </c>
      <c r="K24" s="120">
        <f t="shared" si="2"/>
        <v>0</v>
      </c>
      <c r="L24" s="120">
        <f t="shared" si="2"/>
        <v>160.58748429999991</v>
      </c>
      <c r="M24" s="120">
        <f t="shared" si="2"/>
        <v>128.46998823999991</v>
      </c>
      <c r="N24" s="120">
        <f t="shared" ref="N24" si="3">SUM(N25:N29)</f>
        <v>134.10904273</v>
      </c>
      <c r="O24" s="120">
        <f t="shared" ref="O24:AA24" si="4">SUM(O25:O29)</f>
        <v>101.99154667000002</v>
      </c>
      <c r="P24" s="120">
        <f t="shared" si="4"/>
        <v>133.38903689620324</v>
      </c>
      <c r="Q24" s="120">
        <f t="shared" si="4"/>
        <v>0</v>
      </c>
      <c r="R24" s="120">
        <f t="shared" si="4"/>
        <v>0</v>
      </c>
      <c r="S24" s="120">
        <f t="shared" si="4"/>
        <v>0</v>
      </c>
      <c r="T24" s="120">
        <f t="shared" si="4"/>
        <v>0</v>
      </c>
      <c r="U24" s="120">
        <f t="shared" si="4"/>
        <v>0</v>
      </c>
      <c r="V24" s="120">
        <f t="shared" si="4"/>
        <v>0</v>
      </c>
      <c r="W24" s="120">
        <f t="shared" si="4"/>
        <v>0</v>
      </c>
      <c r="X24" s="120">
        <f t="shared" si="4"/>
        <v>0</v>
      </c>
      <c r="Y24" s="120">
        <f t="shared" si="4"/>
        <v>0</v>
      </c>
      <c r="Z24" s="120">
        <f t="shared" si="4"/>
        <v>0</v>
      </c>
      <c r="AA24" s="120">
        <f t="shared" si="4"/>
        <v>0</v>
      </c>
      <c r="AB24" s="126">
        <f t="shared" ref="AB24:AB64" si="5">SUM(H24,L24,P24,T24,X24)</f>
        <v>294.53059319620314</v>
      </c>
      <c r="AC24" s="126">
        <f>J24+N24+R24+V24+Z24</f>
        <v>134.66311472999999</v>
      </c>
    </row>
    <row r="25" spans="1:32" ht="24" customHeight="1" x14ac:dyDescent="0.25">
      <c r="A25" s="57" t="s">
        <v>176</v>
      </c>
      <c r="B25" s="33" t="s">
        <v>175</v>
      </c>
      <c r="C25" s="120">
        <v>0</v>
      </c>
      <c r="D25" s="120">
        <v>0</v>
      </c>
      <c r="E25" s="120">
        <f>C25</f>
        <v>0</v>
      </c>
      <c r="F25" s="120">
        <f>E25-G25-H25</f>
        <v>0</v>
      </c>
      <c r="G25" s="122">
        <v>0</v>
      </c>
      <c r="H25" s="122">
        <v>0</v>
      </c>
      <c r="I25" s="122">
        <v>0</v>
      </c>
      <c r="J25" s="122">
        <v>0</v>
      </c>
      <c r="K25" s="122">
        <v>0</v>
      </c>
      <c r="L25" s="122">
        <f>F25</f>
        <v>0</v>
      </c>
      <c r="M25" s="122">
        <v>0</v>
      </c>
      <c r="N25" s="122">
        <f t="shared" ref="N25:N27" si="6">F25</f>
        <v>0</v>
      </c>
      <c r="O25" s="122">
        <v>0</v>
      </c>
      <c r="P25" s="122">
        <v>0</v>
      </c>
      <c r="Q25" s="122">
        <v>0</v>
      </c>
      <c r="R25" s="122">
        <v>0</v>
      </c>
      <c r="S25" s="122">
        <v>0</v>
      </c>
      <c r="T25" s="122">
        <v>0</v>
      </c>
      <c r="U25" s="122">
        <v>0</v>
      </c>
      <c r="V25" s="122">
        <v>0</v>
      </c>
      <c r="W25" s="122">
        <v>0</v>
      </c>
      <c r="X25" s="122">
        <v>0</v>
      </c>
      <c r="Y25" s="122">
        <v>0</v>
      </c>
      <c r="Z25" s="122">
        <v>0</v>
      </c>
      <c r="AA25" s="122">
        <v>0</v>
      </c>
      <c r="AB25" s="126">
        <f t="shared" si="5"/>
        <v>0</v>
      </c>
      <c r="AC25" s="126">
        <f t="shared" ref="AC25:AC64" si="7">J25+N25+R25+V25+Z25</f>
        <v>0</v>
      </c>
    </row>
    <row r="26" spans="1:32" x14ac:dyDescent="0.25">
      <c r="A26" s="57" t="s">
        <v>174</v>
      </c>
      <c r="B26" s="33" t="s">
        <v>173</v>
      </c>
      <c r="C26" s="120">
        <v>0</v>
      </c>
      <c r="D26" s="120">
        <v>0</v>
      </c>
      <c r="E26" s="120">
        <f>C26</f>
        <v>0</v>
      </c>
      <c r="F26" s="120">
        <f>E26-G26-H26</f>
        <v>0</v>
      </c>
      <c r="G26" s="122">
        <v>0</v>
      </c>
      <c r="H26" s="122">
        <v>0</v>
      </c>
      <c r="I26" s="122">
        <v>0</v>
      </c>
      <c r="J26" s="122">
        <v>0</v>
      </c>
      <c r="K26" s="122">
        <v>0</v>
      </c>
      <c r="L26" s="122">
        <f>F26</f>
        <v>0</v>
      </c>
      <c r="M26" s="122">
        <v>0</v>
      </c>
      <c r="N26" s="122">
        <f t="shared" si="6"/>
        <v>0</v>
      </c>
      <c r="O26" s="122">
        <v>0</v>
      </c>
      <c r="P26" s="122">
        <v>0</v>
      </c>
      <c r="Q26" s="122">
        <v>0</v>
      </c>
      <c r="R26" s="122">
        <v>0</v>
      </c>
      <c r="S26" s="122">
        <v>0</v>
      </c>
      <c r="T26" s="122">
        <v>0</v>
      </c>
      <c r="U26" s="122">
        <v>0</v>
      </c>
      <c r="V26" s="122">
        <v>0</v>
      </c>
      <c r="W26" s="122">
        <v>0</v>
      </c>
      <c r="X26" s="122">
        <v>0</v>
      </c>
      <c r="Y26" s="122">
        <v>0</v>
      </c>
      <c r="Z26" s="122">
        <v>0</v>
      </c>
      <c r="AA26" s="122">
        <v>0</v>
      </c>
      <c r="AB26" s="126">
        <f t="shared" si="5"/>
        <v>0</v>
      </c>
      <c r="AC26" s="126">
        <f t="shared" si="7"/>
        <v>0</v>
      </c>
    </row>
    <row r="27" spans="1:32" ht="31.5" x14ac:dyDescent="0.25">
      <c r="A27" s="57" t="s">
        <v>172</v>
      </c>
      <c r="B27" s="33" t="s">
        <v>356</v>
      </c>
      <c r="C27" s="120">
        <v>0</v>
      </c>
      <c r="D27" s="120">
        <v>0</v>
      </c>
      <c r="E27" s="120">
        <f>C27</f>
        <v>0</v>
      </c>
      <c r="F27" s="120">
        <f>E27-G27-H27</f>
        <v>0</v>
      </c>
      <c r="G27" s="122">
        <v>0</v>
      </c>
      <c r="H27" s="122">
        <v>0</v>
      </c>
      <c r="I27" s="122">
        <v>0</v>
      </c>
      <c r="J27" s="122">
        <v>0</v>
      </c>
      <c r="K27" s="122">
        <v>0</v>
      </c>
      <c r="L27" s="122">
        <f>F27</f>
        <v>0</v>
      </c>
      <c r="M27" s="122">
        <v>0</v>
      </c>
      <c r="N27" s="122">
        <f t="shared" si="6"/>
        <v>0</v>
      </c>
      <c r="O27" s="122">
        <v>0</v>
      </c>
      <c r="P27" s="122">
        <v>0</v>
      </c>
      <c r="Q27" s="122">
        <v>0</v>
      </c>
      <c r="R27" s="122">
        <v>0</v>
      </c>
      <c r="S27" s="122">
        <v>0</v>
      </c>
      <c r="T27" s="122">
        <v>0</v>
      </c>
      <c r="U27" s="122">
        <v>0</v>
      </c>
      <c r="V27" s="122">
        <v>0</v>
      </c>
      <c r="W27" s="122">
        <v>0</v>
      </c>
      <c r="X27" s="122">
        <v>0</v>
      </c>
      <c r="Y27" s="122">
        <v>0</v>
      </c>
      <c r="Z27" s="122">
        <v>0</v>
      </c>
      <c r="AA27" s="122">
        <v>0</v>
      </c>
      <c r="AB27" s="126">
        <f t="shared" si="5"/>
        <v>0</v>
      </c>
      <c r="AC27" s="126">
        <f t="shared" si="7"/>
        <v>0</v>
      </c>
      <c r="AF27" s="121"/>
    </row>
    <row r="28" spans="1:32" x14ac:dyDescent="0.25">
      <c r="A28" s="57" t="s">
        <v>171</v>
      </c>
      <c r="B28" s="33" t="s">
        <v>170</v>
      </c>
      <c r="C28" s="120">
        <f>C30*1.18</f>
        <v>294.53059319620257</v>
      </c>
      <c r="D28" s="120">
        <v>0</v>
      </c>
      <c r="E28" s="120">
        <f>C28</f>
        <v>294.53059319620257</v>
      </c>
      <c r="F28" s="120">
        <f>E28-G28-H28</f>
        <v>293.97652119620255</v>
      </c>
      <c r="G28" s="122">
        <v>0</v>
      </c>
      <c r="H28" s="122">
        <v>0.55407200000000001</v>
      </c>
      <c r="I28" s="122">
        <v>0</v>
      </c>
      <c r="J28" s="122">
        <v>0.55407200000000001</v>
      </c>
      <c r="K28" s="122">
        <v>0</v>
      </c>
      <c r="L28" s="122">
        <v>160.58748429999991</v>
      </c>
      <c r="M28" s="122">
        <v>128.46998823999991</v>
      </c>
      <c r="N28" s="122">
        <v>134.10904273</v>
      </c>
      <c r="O28" s="122">
        <v>101.99154667000002</v>
      </c>
      <c r="P28" s="122">
        <v>133.38903689620324</v>
      </c>
      <c r="Q28" s="122">
        <v>0</v>
      </c>
      <c r="R28" s="122">
        <v>0</v>
      </c>
      <c r="S28" s="122">
        <v>0</v>
      </c>
      <c r="T28" s="122">
        <v>0</v>
      </c>
      <c r="U28" s="122">
        <v>0</v>
      </c>
      <c r="V28" s="122">
        <v>0</v>
      </c>
      <c r="W28" s="122">
        <v>0</v>
      </c>
      <c r="X28" s="122">
        <v>0</v>
      </c>
      <c r="Y28" s="122">
        <v>0</v>
      </c>
      <c r="Z28" s="122">
        <v>0</v>
      </c>
      <c r="AA28" s="122">
        <v>0</v>
      </c>
      <c r="AB28" s="126">
        <f t="shared" si="5"/>
        <v>294.53059319620314</v>
      </c>
      <c r="AC28" s="126">
        <f t="shared" si="7"/>
        <v>134.66311472999999</v>
      </c>
    </row>
    <row r="29" spans="1:32" x14ac:dyDescent="0.25">
      <c r="A29" s="57" t="s">
        <v>169</v>
      </c>
      <c r="B29" s="61" t="s">
        <v>168</v>
      </c>
      <c r="C29" s="120">
        <v>0</v>
      </c>
      <c r="D29" s="120">
        <v>0</v>
      </c>
      <c r="E29" s="120">
        <f>C29</f>
        <v>0</v>
      </c>
      <c r="F29" s="120">
        <f>E29-G29-H29</f>
        <v>0</v>
      </c>
      <c r="G29" s="122">
        <v>0</v>
      </c>
      <c r="H29" s="122">
        <v>0</v>
      </c>
      <c r="I29" s="122">
        <v>0</v>
      </c>
      <c r="J29" s="122">
        <v>0</v>
      </c>
      <c r="K29" s="122">
        <v>0</v>
      </c>
      <c r="L29" s="122">
        <f>F29</f>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6">
        <f t="shared" si="5"/>
        <v>0</v>
      </c>
      <c r="AC29" s="126">
        <f t="shared" si="7"/>
        <v>0</v>
      </c>
      <c r="AF29" s="121"/>
    </row>
    <row r="30" spans="1:32" ht="47.25" x14ac:dyDescent="0.25">
      <c r="A30" s="60" t="s">
        <v>61</v>
      </c>
      <c r="B30" s="59" t="s">
        <v>167</v>
      </c>
      <c r="C30" s="120">
        <f>SUM(C31:C34)</f>
        <v>249.60219762390051</v>
      </c>
      <c r="D30" s="120">
        <v>0</v>
      </c>
      <c r="E30" s="120">
        <f>SUM(E31:E34)</f>
        <v>249.60219762390051</v>
      </c>
      <c r="F30" s="120">
        <f>SUM(F31:F34)</f>
        <v>249.13264508152764</v>
      </c>
      <c r="G30" s="120">
        <f t="shared" ref="G30" si="8">SUM(G31:G34)</f>
        <v>0</v>
      </c>
      <c r="H30" s="120">
        <f>SUM(H31:H34)</f>
        <v>0.46955254237288102</v>
      </c>
      <c r="I30" s="120">
        <f>SUM(I31:I34)</f>
        <v>0</v>
      </c>
      <c r="J30" s="120">
        <f>SUM(J31:J34)</f>
        <v>0.46955254237288102</v>
      </c>
      <c r="K30" s="120">
        <f>SUM(K31:K34)</f>
        <v>0</v>
      </c>
      <c r="L30" s="120">
        <f>145.62859444541</f>
        <v>145.62859444540999</v>
      </c>
      <c r="M30" s="120">
        <v>145.6285944454101</v>
      </c>
      <c r="N30" s="120">
        <v>94.271501650000005</v>
      </c>
      <c r="O30" s="120">
        <v>94.27150164999999</v>
      </c>
      <c r="P30" s="120">
        <v>103.504050636118</v>
      </c>
      <c r="Q30" s="120">
        <f t="shared" ref="Q30:AA30" si="9">SUM(Q31:Q34)</f>
        <v>0</v>
      </c>
      <c r="R30" s="120">
        <f t="shared" si="9"/>
        <v>0</v>
      </c>
      <c r="S30" s="120">
        <f t="shared" si="9"/>
        <v>0</v>
      </c>
      <c r="T30" s="120">
        <f t="shared" si="9"/>
        <v>0</v>
      </c>
      <c r="U30" s="120">
        <f t="shared" si="9"/>
        <v>0</v>
      </c>
      <c r="V30" s="120">
        <f t="shared" si="9"/>
        <v>0</v>
      </c>
      <c r="W30" s="120">
        <f t="shared" si="9"/>
        <v>0</v>
      </c>
      <c r="X30" s="120">
        <f t="shared" si="9"/>
        <v>0</v>
      </c>
      <c r="Y30" s="120">
        <f t="shared" si="9"/>
        <v>0</v>
      </c>
      <c r="Z30" s="120">
        <f t="shared" si="9"/>
        <v>0</v>
      </c>
      <c r="AA30" s="120">
        <f t="shared" si="9"/>
        <v>0</v>
      </c>
      <c r="AB30" s="126">
        <f t="shared" si="5"/>
        <v>249.60219762390085</v>
      </c>
      <c r="AC30" s="126">
        <f t="shared" si="7"/>
        <v>94.741054192372886</v>
      </c>
      <c r="AE30" s="121"/>
    </row>
    <row r="31" spans="1:32" x14ac:dyDescent="0.25">
      <c r="A31" s="60" t="s">
        <v>166</v>
      </c>
      <c r="B31" s="33" t="s">
        <v>165</v>
      </c>
      <c r="C31" s="120">
        <f>4.7144209*1.41456447846*0.7</f>
        <v>4.6681966391545968</v>
      </c>
      <c r="D31" s="120">
        <v>0</v>
      </c>
      <c r="E31" s="120">
        <f>C31</f>
        <v>4.6681966391545968</v>
      </c>
      <c r="F31" s="120">
        <f>E31-G31-H31</f>
        <v>4.6681966391545968</v>
      </c>
      <c r="G31" s="122">
        <v>0</v>
      </c>
      <c r="H31" s="122">
        <v>0</v>
      </c>
      <c r="I31" s="122">
        <v>0</v>
      </c>
      <c r="J31" s="122">
        <v>0</v>
      </c>
      <c r="K31" s="122">
        <v>0</v>
      </c>
      <c r="L31" s="122">
        <f>F31</f>
        <v>4.6681966391545968</v>
      </c>
      <c r="M31" s="122">
        <v>4.6681966391545968</v>
      </c>
      <c r="N31" s="122">
        <v>0</v>
      </c>
      <c r="O31" s="122">
        <v>0</v>
      </c>
      <c r="P31" s="122">
        <v>0</v>
      </c>
      <c r="Q31" s="122">
        <v>0</v>
      </c>
      <c r="R31" s="122">
        <v>0</v>
      </c>
      <c r="S31" s="122">
        <v>0</v>
      </c>
      <c r="T31" s="122">
        <v>0</v>
      </c>
      <c r="U31" s="122">
        <v>0</v>
      </c>
      <c r="V31" s="122">
        <v>0</v>
      </c>
      <c r="W31" s="122">
        <v>0</v>
      </c>
      <c r="X31" s="122">
        <v>0</v>
      </c>
      <c r="Y31" s="122">
        <v>0</v>
      </c>
      <c r="Z31" s="122">
        <v>0</v>
      </c>
      <c r="AA31" s="122">
        <v>0</v>
      </c>
      <c r="AB31" s="126">
        <f t="shared" si="5"/>
        <v>4.6681966391545968</v>
      </c>
      <c r="AC31" s="126">
        <f t="shared" si="7"/>
        <v>0</v>
      </c>
    </row>
    <row r="32" spans="1:32" ht="31.5" x14ac:dyDescent="0.25">
      <c r="A32" s="60" t="s">
        <v>164</v>
      </c>
      <c r="B32" s="33" t="s">
        <v>163</v>
      </c>
      <c r="C32" s="120">
        <f>22.591709*1.41456447846*0.7</f>
        <v>22.370200341373565</v>
      </c>
      <c r="D32" s="120">
        <v>0</v>
      </c>
      <c r="E32" s="120">
        <f>C32</f>
        <v>22.370200341373565</v>
      </c>
      <c r="F32" s="120">
        <f>E32-G32-H32</f>
        <v>22.370200341373565</v>
      </c>
      <c r="G32" s="122">
        <v>0</v>
      </c>
      <c r="H32" s="122">
        <v>0</v>
      </c>
      <c r="I32" s="122">
        <v>0</v>
      </c>
      <c r="J32" s="122">
        <v>0</v>
      </c>
      <c r="K32" s="122">
        <v>0</v>
      </c>
      <c r="L32" s="122">
        <f>F32-P32</f>
        <v>13.076330611391265</v>
      </c>
      <c r="M32" s="122">
        <v>13.076330611391265</v>
      </c>
      <c r="N32" s="122">
        <v>1.979398</v>
      </c>
      <c r="O32" s="122">
        <v>1.979398</v>
      </c>
      <c r="P32" s="122">
        <f>F32*(P30/F30)</f>
        <v>9.2938697299822994</v>
      </c>
      <c r="Q32" s="122">
        <v>0</v>
      </c>
      <c r="R32" s="122">
        <v>0</v>
      </c>
      <c r="S32" s="122">
        <v>0</v>
      </c>
      <c r="T32" s="122">
        <v>0</v>
      </c>
      <c r="U32" s="122">
        <v>0</v>
      </c>
      <c r="V32" s="122">
        <v>0</v>
      </c>
      <c r="W32" s="122">
        <v>0</v>
      </c>
      <c r="X32" s="122">
        <v>0</v>
      </c>
      <c r="Y32" s="122">
        <v>0</v>
      </c>
      <c r="Z32" s="122">
        <v>0</v>
      </c>
      <c r="AA32" s="122">
        <v>0</v>
      </c>
      <c r="AB32" s="126">
        <f t="shared" si="5"/>
        <v>22.370200341373565</v>
      </c>
      <c r="AC32" s="126">
        <f t="shared" si="7"/>
        <v>1.979398</v>
      </c>
    </row>
    <row r="33" spans="1:29" x14ac:dyDescent="0.25">
      <c r="A33" s="60" t="s">
        <v>162</v>
      </c>
      <c r="B33" s="33" t="s">
        <v>161</v>
      </c>
      <c r="C33" s="123">
        <f>210.6058062*1.41456447846*0.7</f>
        <v>208.54084468556556</v>
      </c>
      <c r="D33" s="123">
        <v>0</v>
      </c>
      <c r="E33" s="120">
        <f>C33</f>
        <v>208.54084468556556</v>
      </c>
      <c r="F33" s="120">
        <f>E33-G33-H33</f>
        <v>208.54084468556556</v>
      </c>
      <c r="G33" s="122">
        <v>0</v>
      </c>
      <c r="H33" s="122">
        <v>0</v>
      </c>
      <c r="I33" s="122">
        <v>0</v>
      </c>
      <c r="J33" s="122">
        <v>0</v>
      </c>
      <c r="K33" s="122">
        <v>0</v>
      </c>
      <c r="L33" s="122">
        <f>F33-P33</f>
        <v>121.90096599375441</v>
      </c>
      <c r="M33" s="122">
        <v>121.90096599375441</v>
      </c>
      <c r="N33" s="122">
        <v>91.699434690000004</v>
      </c>
      <c r="O33" s="122">
        <v>91.699434690000004</v>
      </c>
      <c r="P33" s="122">
        <f>F33*(P30/F30)</f>
        <v>86.639878691811148</v>
      </c>
      <c r="Q33" s="122">
        <v>0</v>
      </c>
      <c r="R33" s="122">
        <v>0</v>
      </c>
      <c r="S33" s="122">
        <v>0</v>
      </c>
      <c r="T33" s="122">
        <v>0</v>
      </c>
      <c r="U33" s="122">
        <v>0</v>
      </c>
      <c r="V33" s="122">
        <v>0</v>
      </c>
      <c r="W33" s="122">
        <v>0</v>
      </c>
      <c r="X33" s="122">
        <v>0</v>
      </c>
      <c r="Y33" s="122">
        <v>0</v>
      </c>
      <c r="Z33" s="122">
        <v>0</v>
      </c>
      <c r="AA33" s="122">
        <v>0</v>
      </c>
      <c r="AB33" s="126">
        <f t="shared" si="5"/>
        <v>208.54084468556556</v>
      </c>
      <c r="AC33" s="126">
        <f t="shared" si="7"/>
        <v>91.699434690000004</v>
      </c>
    </row>
    <row r="34" spans="1:29" x14ac:dyDescent="0.25">
      <c r="A34" s="60" t="s">
        <v>160</v>
      </c>
      <c r="B34" s="33" t="s">
        <v>159</v>
      </c>
      <c r="C34" s="120">
        <f>14.1618106*1.41456447846*0.7</f>
        <v>14.022955957806809</v>
      </c>
      <c r="D34" s="120">
        <v>0</v>
      </c>
      <c r="E34" s="120">
        <f>C34</f>
        <v>14.022955957806809</v>
      </c>
      <c r="F34" s="120">
        <f>E34-G34-H34</f>
        <v>13.553403415433928</v>
      </c>
      <c r="G34" s="122">
        <v>0</v>
      </c>
      <c r="H34" s="122">
        <v>0.46955254237288102</v>
      </c>
      <c r="I34" s="122">
        <v>0</v>
      </c>
      <c r="J34" s="122">
        <v>0.46955254237288102</v>
      </c>
      <c r="K34" s="122">
        <v>0</v>
      </c>
      <c r="L34" s="122">
        <f>L30-L31-L32-L33</f>
        <v>5.9831012011097187</v>
      </c>
      <c r="M34" s="122">
        <v>5.9831012011097187</v>
      </c>
      <c r="N34" s="122">
        <v>0.59266895999999991</v>
      </c>
      <c r="O34" s="122">
        <v>0.59266895999999991</v>
      </c>
      <c r="P34" s="122">
        <f>P30-P31-P32-P33</f>
        <v>7.570302214324542</v>
      </c>
      <c r="Q34" s="122">
        <v>0</v>
      </c>
      <c r="R34" s="122">
        <v>0</v>
      </c>
      <c r="S34" s="122">
        <v>0</v>
      </c>
      <c r="T34" s="122">
        <v>0</v>
      </c>
      <c r="U34" s="122">
        <v>0</v>
      </c>
      <c r="V34" s="122">
        <v>0</v>
      </c>
      <c r="W34" s="122">
        <v>0</v>
      </c>
      <c r="X34" s="122">
        <v>0</v>
      </c>
      <c r="Y34" s="122">
        <v>0</v>
      </c>
      <c r="Z34" s="122">
        <v>0</v>
      </c>
      <c r="AA34" s="122">
        <v>0</v>
      </c>
      <c r="AB34" s="126">
        <f t="shared" si="5"/>
        <v>14.022955957807142</v>
      </c>
      <c r="AC34" s="126">
        <f t="shared" si="7"/>
        <v>1.0622215023728809</v>
      </c>
    </row>
    <row r="35" spans="1:29" ht="31.5" x14ac:dyDescent="0.25">
      <c r="A35" s="60" t="s">
        <v>60</v>
      </c>
      <c r="B35" s="59" t="s">
        <v>158</v>
      </c>
      <c r="C35" s="120">
        <v>0</v>
      </c>
      <c r="D35" s="120">
        <v>0</v>
      </c>
      <c r="E35" s="120">
        <v>0</v>
      </c>
      <c r="F35" s="120">
        <v>0</v>
      </c>
      <c r="G35" s="120">
        <v>0</v>
      </c>
      <c r="H35" s="120">
        <v>0</v>
      </c>
      <c r="I35" s="120">
        <v>0</v>
      </c>
      <c r="J35" s="120">
        <v>0</v>
      </c>
      <c r="K35" s="120">
        <v>0</v>
      </c>
      <c r="L35" s="120">
        <v>0</v>
      </c>
      <c r="M35" s="120">
        <v>0</v>
      </c>
      <c r="N35" s="120">
        <v>0</v>
      </c>
      <c r="O35" s="120">
        <v>0</v>
      </c>
      <c r="P35" s="120">
        <v>0</v>
      </c>
      <c r="Q35" s="120">
        <v>0</v>
      </c>
      <c r="R35" s="120">
        <v>0</v>
      </c>
      <c r="S35" s="120">
        <v>0</v>
      </c>
      <c r="T35" s="120">
        <v>0</v>
      </c>
      <c r="U35" s="120">
        <v>0</v>
      </c>
      <c r="V35" s="120">
        <v>0</v>
      </c>
      <c r="W35" s="120">
        <v>0</v>
      </c>
      <c r="X35" s="120">
        <v>0</v>
      </c>
      <c r="Y35" s="120">
        <v>0</v>
      </c>
      <c r="Z35" s="120">
        <v>0</v>
      </c>
      <c r="AA35" s="120">
        <v>0</v>
      </c>
      <c r="AB35" s="126">
        <f t="shared" si="5"/>
        <v>0</v>
      </c>
      <c r="AC35" s="126">
        <f t="shared" si="7"/>
        <v>0</v>
      </c>
    </row>
    <row r="36" spans="1:29" ht="31.5" x14ac:dyDescent="0.25">
      <c r="A36" s="57" t="s">
        <v>157</v>
      </c>
      <c r="B36" s="56" t="s">
        <v>156</v>
      </c>
      <c r="C36" s="120">
        <v>0</v>
      </c>
      <c r="D36" s="120">
        <v>0</v>
      </c>
      <c r="E36" s="120">
        <v>0</v>
      </c>
      <c r="F36" s="120">
        <v>0</v>
      </c>
      <c r="G36" s="122">
        <v>0</v>
      </c>
      <c r="H36" s="122">
        <v>0</v>
      </c>
      <c r="I36" s="122">
        <v>0</v>
      </c>
      <c r="J36" s="122">
        <v>0</v>
      </c>
      <c r="K36" s="122">
        <v>0</v>
      </c>
      <c r="L36" s="122">
        <v>0</v>
      </c>
      <c r="M36" s="122">
        <v>0</v>
      </c>
      <c r="N36" s="122">
        <v>0</v>
      </c>
      <c r="O36" s="122">
        <v>0</v>
      </c>
      <c r="P36" s="122">
        <v>0</v>
      </c>
      <c r="Q36" s="122">
        <v>0</v>
      </c>
      <c r="R36" s="122">
        <v>0</v>
      </c>
      <c r="S36" s="122">
        <v>0</v>
      </c>
      <c r="T36" s="122">
        <v>0</v>
      </c>
      <c r="U36" s="122">
        <v>0</v>
      </c>
      <c r="V36" s="122">
        <v>0</v>
      </c>
      <c r="W36" s="122">
        <v>0</v>
      </c>
      <c r="X36" s="122">
        <v>0</v>
      </c>
      <c r="Y36" s="122">
        <v>0</v>
      </c>
      <c r="Z36" s="122">
        <v>0</v>
      </c>
      <c r="AA36" s="122">
        <v>0</v>
      </c>
      <c r="AB36" s="126">
        <f t="shared" si="5"/>
        <v>0</v>
      </c>
      <c r="AC36" s="126">
        <f t="shared" si="7"/>
        <v>0</v>
      </c>
    </row>
    <row r="37" spans="1:29" x14ac:dyDescent="0.25">
      <c r="A37" s="57" t="s">
        <v>155</v>
      </c>
      <c r="B37" s="56" t="s">
        <v>145</v>
      </c>
      <c r="C37" s="120">
        <v>80</v>
      </c>
      <c r="D37" s="120">
        <v>0</v>
      </c>
      <c r="E37" s="120">
        <f>C37</f>
        <v>80</v>
      </c>
      <c r="F37" s="120">
        <f>E37-G37-H37</f>
        <v>80</v>
      </c>
      <c r="G37" s="122">
        <v>0</v>
      </c>
      <c r="H37" s="122">
        <v>0</v>
      </c>
      <c r="I37" s="122">
        <v>0</v>
      </c>
      <c r="J37" s="122">
        <v>0</v>
      </c>
      <c r="K37" s="122">
        <v>0</v>
      </c>
      <c r="L37" s="122">
        <v>0</v>
      </c>
      <c r="M37" s="122">
        <v>0</v>
      </c>
      <c r="N37" s="122">
        <v>0</v>
      </c>
      <c r="O37" s="122">
        <v>0</v>
      </c>
      <c r="P37" s="122">
        <f t="shared" ref="P37:P42" si="10">F37</f>
        <v>80</v>
      </c>
      <c r="Q37" s="122">
        <v>0</v>
      </c>
      <c r="R37" s="122">
        <v>0</v>
      </c>
      <c r="S37" s="122">
        <v>0</v>
      </c>
      <c r="T37" s="122">
        <v>0</v>
      </c>
      <c r="U37" s="122">
        <v>0</v>
      </c>
      <c r="V37" s="122">
        <v>0</v>
      </c>
      <c r="W37" s="122">
        <v>0</v>
      </c>
      <c r="X37" s="122">
        <v>0</v>
      </c>
      <c r="Y37" s="122">
        <v>0</v>
      </c>
      <c r="Z37" s="122">
        <v>0</v>
      </c>
      <c r="AA37" s="122">
        <v>0</v>
      </c>
      <c r="AB37" s="126">
        <f t="shared" si="5"/>
        <v>80</v>
      </c>
      <c r="AC37" s="126">
        <f t="shared" si="7"/>
        <v>0</v>
      </c>
    </row>
    <row r="38" spans="1:29" x14ac:dyDescent="0.25">
      <c r="A38" s="57" t="s">
        <v>154</v>
      </c>
      <c r="B38" s="56" t="s">
        <v>143</v>
      </c>
      <c r="C38" s="120">
        <v>0</v>
      </c>
      <c r="D38" s="120">
        <v>0</v>
      </c>
      <c r="E38" s="120">
        <v>0</v>
      </c>
      <c r="F38" s="120">
        <v>0</v>
      </c>
      <c r="G38" s="122">
        <v>0</v>
      </c>
      <c r="H38" s="122">
        <v>0</v>
      </c>
      <c r="I38" s="122">
        <v>0</v>
      </c>
      <c r="J38" s="122">
        <v>0</v>
      </c>
      <c r="K38" s="122">
        <v>0</v>
      </c>
      <c r="L38" s="122">
        <v>0</v>
      </c>
      <c r="M38" s="122">
        <v>0</v>
      </c>
      <c r="N38" s="122">
        <v>0</v>
      </c>
      <c r="O38" s="122">
        <v>0</v>
      </c>
      <c r="P38" s="122">
        <f t="shared" si="10"/>
        <v>0</v>
      </c>
      <c r="Q38" s="122">
        <v>0</v>
      </c>
      <c r="R38" s="122">
        <v>0</v>
      </c>
      <c r="S38" s="122">
        <v>0</v>
      </c>
      <c r="T38" s="122">
        <v>0</v>
      </c>
      <c r="U38" s="122">
        <v>0</v>
      </c>
      <c r="V38" s="122">
        <v>0</v>
      </c>
      <c r="W38" s="122">
        <v>0</v>
      </c>
      <c r="X38" s="122">
        <v>0</v>
      </c>
      <c r="Y38" s="122">
        <v>0</v>
      </c>
      <c r="Z38" s="122">
        <v>0</v>
      </c>
      <c r="AA38" s="122">
        <v>0</v>
      </c>
      <c r="AB38" s="126">
        <f t="shared" si="5"/>
        <v>0</v>
      </c>
      <c r="AC38" s="126">
        <f t="shared" si="7"/>
        <v>0</v>
      </c>
    </row>
    <row r="39" spans="1:29" ht="31.5" x14ac:dyDescent="0.25">
      <c r="A39" s="57" t="s">
        <v>153</v>
      </c>
      <c r="B39" s="33" t="s">
        <v>141</v>
      </c>
      <c r="C39" s="120">
        <v>0</v>
      </c>
      <c r="D39" s="120">
        <v>0</v>
      </c>
      <c r="E39" s="120">
        <v>0</v>
      </c>
      <c r="F39" s="120">
        <v>0</v>
      </c>
      <c r="G39" s="122">
        <v>0</v>
      </c>
      <c r="H39" s="122">
        <v>0</v>
      </c>
      <c r="I39" s="122">
        <v>0</v>
      </c>
      <c r="J39" s="122">
        <v>0</v>
      </c>
      <c r="K39" s="122">
        <v>0</v>
      </c>
      <c r="L39" s="122">
        <v>0</v>
      </c>
      <c r="M39" s="122">
        <v>0</v>
      </c>
      <c r="N39" s="122">
        <v>0</v>
      </c>
      <c r="O39" s="122">
        <v>0</v>
      </c>
      <c r="P39" s="122">
        <f t="shared" si="10"/>
        <v>0</v>
      </c>
      <c r="Q39" s="122">
        <v>0</v>
      </c>
      <c r="R39" s="122">
        <v>0</v>
      </c>
      <c r="S39" s="122">
        <v>0</v>
      </c>
      <c r="T39" s="122">
        <v>0</v>
      </c>
      <c r="U39" s="122">
        <v>0</v>
      </c>
      <c r="V39" s="122">
        <v>0</v>
      </c>
      <c r="W39" s="122">
        <v>0</v>
      </c>
      <c r="X39" s="122">
        <v>0</v>
      </c>
      <c r="Y39" s="122">
        <v>0</v>
      </c>
      <c r="Z39" s="122">
        <v>0</v>
      </c>
      <c r="AA39" s="122">
        <v>0</v>
      </c>
      <c r="AB39" s="126">
        <f t="shared" si="5"/>
        <v>0</v>
      </c>
      <c r="AC39" s="126">
        <f t="shared" si="7"/>
        <v>0</v>
      </c>
    </row>
    <row r="40" spans="1:29" ht="31.5" x14ac:dyDescent="0.25">
      <c r="A40" s="57" t="s">
        <v>152</v>
      </c>
      <c r="B40" s="33" t="s">
        <v>139</v>
      </c>
      <c r="C40" s="120">
        <v>0</v>
      </c>
      <c r="D40" s="120">
        <v>0</v>
      </c>
      <c r="E40" s="120">
        <v>0</v>
      </c>
      <c r="F40" s="120">
        <v>0</v>
      </c>
      <c r="G40" s="122">
        <v>0</v>
      </c>
      <c r="H40" s="122">
        <v>0</v>
      </c>
      <c r="I40" s="122">
        <v>0</v>
      </c>
      <c r="J40" s="122">
        <v>0</v>
      </c>
      <c r="K40" s="122">
        <v>0</v>
      </c>
      <c r="L40" s="122">
        <v>0</v>
      </c>
      <c r="M40" s="122">
        <v>0</v>
      </c>
      <c r="N40" s="122">
        <v>0</v>
      </c>
      <c r="O40" s="122">
        <v>0</v>
      </c>
      <c r="P40" s="122">
        <f t="shared" si="10"/>
        <v>0</v>
      </c>
      <c r="Q40" s="122">
        <v>0</v>
      </c>
      <c r="R40" s="122">
        <v>0</v>
      </c>
      <c r="S40" s="122">
        <v>0</v>
      </c>
      <c r="T40" s="122">
        <v>0</v>
      </c>
      <c r="U40" s="122">
        <v>0</v>
      </c>
      <c r="V40" s="122">
        <v>0</v>
      </c>
      <c r="W40" s="122">
        <v>0</v>
      </c>
      <c r="X40" s="122">
        <v>0</v>
      </c>
      <c r="Y40" s="122">
        <v>0</v>
      </c>
      <c r="Z40" s="122">
        <v>0</v>
      </c>
      <c r="AA40" s="122">
        <v>0</v>
      </c>
      <c r="AB40" s="126">
        <f t="shared" si="5"/>
        <v>0</v>
      </c>
      <c r="AC40" s="126">
        <f t="shared" si="7"/>
        <v>0</v>
      </c>
    </row>
    <row r="41" spans="1:29" x14ac:dyDescent="0.25">
      <c r="A41" s="57" t="s">
        <v>151</v>
      </c>
      <c r="B41" s="33" t="s">
        <v>137</v>
      </c>
      <c r="C41" s="120">
        <v>0</v>
      </c>
      <c r="D41" s="120">
        <v>0</v>
      </c>
      <c r="E41" s="120">
        <v>0</v>
      </c>
      <c r="F41" s="120">
        <v>0</v>
      </c>
      <c r="G41" s="122">
        <v>0</v>
      </c>
      <c r="H41" s="122">
        <v>0</v>
      </c>
      <c r="I41" s="122">
        <v>0</v>
      </c>
      <c r="J41" s="122">
        <v>0</v>
      </c>
      <c r="K41" s="122">
        <v>0</v>
      </c>
      <c r="L41" s="122">
        <v>0</v>
      </c>
      <c r="M41" s="122">
        <v>0</v>
      </c>
      <c r="N41" s="122">
        <v>0</v>
      </c>
      <c r="O41" s="122">
        <v>0</v>
      </c>
      <c r="P41" s="122">
        <f t="shared" si="10"/>
        <v>0</v>
      </c>
      <c r="Q41" s="122">
        <v>0</v>
      </c>
      <c r="R41" s="122">
        <v>0</v>
      </c>
      <c r="S41" s="122">
        <v>0</v>
      </c>
      <c r="T41" s="122">
        <v>0</v>
      </c>
      <c r="U41" s="122">
        <v>0</v>
      </c>
      <c r="V41" s="122">
        <v>0</v>
      </c>
      <c r="W41" s="122">
        <v>0</v>
      </c>
      <c r="X41" s="122">
        <v>0</v>
      </c>
      <c r="Y41" s="122">
        <v>0</v>
      </c>
      <c r="Z41" s="122">
        <v>0</v>
      </c>
      <c r="AA41" s="122">
        <v>0</v>
      </c>
      <c r="AB41" s="126">
        <f t="shared" si="5"/>
        <v>0</v>
      </c>
      <c r="AC41" s="126">
        <f t="shared" si="7"/>
        <v>0</v>
      </c>
    </row>
    <row r="42" spans="1:29" ht="18.75" x14ac:dyDescent="0.25">
      <c r="A42" s="57" t="s">
        <v>150</v>
      </c>
      <c r="B42" s="56" t="s">
        <v>530</v>
      </c>
      <c r="C42" s="120">
        <v>34</v>
      </c>
      <c r="D42" s="120">
        <v>0</v>
      </c>
      <c r="E42" s="120">
        <v>34</v>
      </c>
      <c r="F42" s="120">
        <v>34</v>
      </c>
      <c r="G42" s="122">
        <v>0</v>
      </c>
      <c r="H42" s="122">
        <v>0</v>
      </c>
      <c r="I42" s="122">
        <v>0</v>
      </c>
      <c r="J42" s="122">
        <v>0</v>
      </c>
      <c r="K42" s="122">
        <v>0</v>
      </c>
      <c r="L42" s="122">
        <v>0</v>
      </c>
      <c r="M42" s="122">
        <v>0</v>
      </c>
      <c r="N42" s="122">
        <v>0</v>
      </c>
      <c r="O42" s="122">
        <v>0</v>
      </c>
      <c r="P42" s="122">
        <f t="shared" si="10"/>
        <v>34</v>
      </c>
      <c r="Q42" s="122">
        <v>0</v>
      </c>
      <c r="R42" s="122">
        <v>0</v>
      </c>
      <c r="S42" s="122">
        <v>0</v>
      </c>
      <c r="T42" s="122">
        <v>0</v>
      </c>
      <c r="U42" s="122">
        <v>0</v>
      </c>
      <c r="V42" s="122">
        <v>0</v>
      </c>
      <c r="W42" s="122">
        <v>0</v>
      </c>
      <c r="X42" s="122">
        <v>0</v>
      </c>
      <c r="Y42" s="122">
        <v>0</v>
      </c>
      <c r="Z42" s="122">
        <v>0</v>
      </c>
      <c r="AA42" s="122">
        <v>0</v>
      </c>
      <c r="AB42" s="126">
        <f t="shared" si="5"/>
        <v>34</v>
      </c>
      <c r="AC42" s="126">
        <f t="shared" si="7"/>
        <v>0</v>
      </c>
    </row>
    <row r="43" spans="1:29" x14ac:dyDescent="0.25">
      <c r="A43" s="60" t="s">
        <v>59</v>
      </c>
      <c r="B43" s="59" t="s">
        <v>149</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6">
        <f t="shared" si="5"/>
        <v>0</v>
      </c>
      <c r="AC43" s="126">
        <f t="shared" si="7"/>
        <v>0</v>
      </c>
    </row>
    <row r="44" spans="1:29" x14ac:dyDescent="0.25">
      <c r="A44" s="57" t="s">
        <v>148</v>
      </c>
      <c r="B44" s="33" t="s">
        <v>147</v>
      </c>
      <c r="C44" s="120">
        <v>0</v>
      </c>
      <c r="D44" s="120">
        <v>0</v>
      </c>
      <c r="E44" s="120">
        <v>0</v>
      </c>
      <c r="F44" s="120">
        <v>0</v>
      </c>
      <c r="G44" s="122">
        <v>0</v>
      </c>
      <c r="H44" s="122">
        <v>0</v>
      </c>
      <c r="I44" s="122">
        <v>0</v>
      </c>
      <c r="J44" s="122">
        <v>0</v>
      </c>
      <c r="K44" s="122">
        <v>0</v>
      </c>
      <c r="L44" s="122">
        <v>0</v>
      </c>
      <c r="M44" s="122">
        <v>0</v>
      </c>
      <c r="N44" s="122">
        <v>0</v>
      </c>
      <c r="O44" s="122">
        <v>0</v>
      </c>
      <c r="P44" s="122">
        <f t="shared" ref="P44:P50" si="11">F44</f>
        <v>0</v>
      </c>
      <c r="Q44" s="122">
        <v>0</v>
      </c>
      <c r="R44" s="122">
        <v>0</v>
      </c>
      <c r="S44" s="122">
        <v>0</v>
      </c>
      <c r="T44" s="122">
        <v>0</v>
      </c>
      <c r="U44" s="122">
        <v>0</v>
      </c>
      <c r="V44" s="122">
        <v>0</v>
      </c>
      <c r="W44" s="122">
        <v>0</v>
      </c>
      <c r="X44" s="122">
        <v>0</v>
      </c>
      <c r="Y44" s="122">
        <v>0</v>
      </c>
      <c r="Z44" s="122">
        <v>0</v>
      </c>
      <c r="AA44" s="122">
        <v>0</v>
      </c>
      <c r="AB44" s="126">
        <f t="shared" si="5"/>
        <v>0</v>
      </c>
      <c r="AC44" s="126">
        <f t="shared" si="7"/>
        <v>0</v>
      </c>
    </row>
    <row r="45" spans="1:29" x14ac:dyDescent="0.25">
      <c r="A45" s="57" t="s">
        <v>146</v>
      </c>
      <c r="B45" s="33" t="s">
        <v>145</v>
      </c>
      <c r="C45" s="120">
        <f>C37</f>
        <v>80</v>
      </c>
      <c r="D45" s="120">
        <v>0</v>
      </c>
      <c r="E45" s="120">
        <f>C45</f>
        <v>80</v>
      </c>
      <c r="F45" s="120">
        <f>E45-G45-H45</f>
        <v>80</v>
      </c>
      <c r="G45" s="122">
        <v>0</v>
      </c>
      <c r="H45" s="122">
        <v>0</v>
      </c>
      <c r="I45" s="122">
        <v>0</v>
      </c>
      <c r="J45" s="122">
        <v>0</v>
      </c>
      <c r="K45" s="122">
        <v>0</v>
      </c>
      <c r="L45" s="122">
        <v>0</v>
      </c>
      <c r="M45" s="122">
        <v>0</v>
      </c>
      <c r="N45" s="122">
        <v>0</v>
      </c>
      <c r="O45" s="122">
        <v>0</v>
      </c>
      <c r="P45" s="122">
        <f t="shared" si="11"/>
        <v>80</v>
      </c>
      <c r="Q45" s="122">
        <v>0</v>
      </c>
      <c r="R45" s="122">
        <v>0</v>
      </c>
      <c r="S45" s="122">
        <v>0</v>
      </c>
      <c r="T45" s="122">
        <v>0</v>
      </c>
      <c r="U45" s="122">
        <v>0</v>
      </c>
      <c r="V45" s="122">
        <v>0</v>
      </c>
      <c r="W45" s="122">
        <v>0</v>
      </c>
      <c r="X45" s="122">
        <v>0</v>
      </c>
      <c r="Y45" s="122">
        <v>0</v>
      </c>
      <c r="Z45" s="122">
        <v>0</v>
      </c>
      <c r="AA45" s="122">
        <v>0</v>
      </c>
      <c r="AB45" s="126">
        <f t="shared" si="5"/>
        <v>80</v>
      </c>
      <c r="AC45" s="126">
        <f t="shared" si="7"/>
        <v>0</v>
      </c>
    </row>
    <row r="46" spans="1:29" x14ac:dyDescent="0.25">
      <c r="A46" s="57" t="s">
        <v>144</v>
      </c>
      <c r="B46" s="33" t="s">
        <v>143</v>
      </c>
      <c r="C46" s="120">
        <v>0</v>
      </c>
      <c r="D46" s="120">
        <v>0</v>
      </c>
      <c r="E46" s="120">
        <v>0</v>
      </c>
      <c r="F46" s="120">
        <v>0</v>
      </c>
      <c r="G46" s="122">
        <v>0</v>
      </c>
      <c r="H46" s="122">
        <v>0</v>
      </c>
      <c r="I46" s="122">
        <v>0</v>
      </c>
      <c r="J46" s="122">
        <v>0</v>
      </c>
      <c r="K46" s="122">
        <v>0</v>
      </c>
      <c r="L46" s="122">
        <v>0</v>
      </c>
      <c r="M46" s="122">
        <v>0</v>
      </c>
      <c r="N46" s="122">
        <v>0</v>
      </c>
      <c r="O46" s="122">
        <v>0</v>
      </c>
      <c r="P46" s="122">
        <f t="shared" si="11"/>
        <v>0</v>
      </c>
      <c r="Q46" s="122">
        <v>0</v>
      </c>
      <c r="R46" s="122">
        <v>0</v>
      </c>
      <c r="S46" s="122">
        <v>0</v>
      </c>
      <c r="T46" s="122">
        <v>0</v>
      </c>
      <c r="U46" s="122">
        <v>0</v>
      </c>
      <c r="V46" s="122">
        <v>0</v>
      </c>
      <c r="W46" s="122">
        <v>0</v>
      </c>
      <c r="X46" s="122">
        <v>0</v>
      </c>
      <c r="Y46" s="122">
        <v>0</v>
      </c>
      <c r="Z46" s="122">
        <v>0</v>
      </c>
      <c r="AA46" s="122">
        <v>0</v>
      </c>
      <c r="AB46" s="126">
        <f t="shared" si="5"/>
        <v>0</v>
      </c>
      <c r="AC46" s="126">
        <f t="shared" si="7"/>
        <v>0</v>
      </c>
    </row>
    <row r="47" spans="1:29" ht="31.5" x14ac:dyDescent="0.25">
      <c r="A47" s="57" t="s">
        <v>142</v>
      </c>
      <c r="B47" s="33" t="s">
        <v>141</v>
      </c>
      <c r="C47" s="120">
        <v>0</v>
      </c>
      <c r="D47" s="120">
        <v>0</v>
      </c>
      <c r="E47" s="120">
        <v>0</v>
      </c>
      <c r="F47" s="120">
        <v>0</v>
      </c>
      <c r="G47" s="122">
        <v>0</v>
      </c>
      <c r="H47" s="122">
        <v>0</v>
      </c>
      <c r="I47" s="122">
        <v>0</v>
      </c>
      <c r="J47" s="122">
        <v>0</v>
      </c>
      <c r="K47" s="122">
        <v>0</v>
      </c>
      <c r="L47" s="122">
        <v>0</v>
      </c>
      <c r="M47" s="122">
        <v>0</v>
      </c>
      <c r="N47" s="122">
        <v>0</v>
      </c>
      <c r="O47" s="122">
        <v>0</v>
      </c>
      <c r="P47" s="122">
        <f t="shared" si="11"/>
        <v>0</v>
      </c>
      <c r="Q47" s="122">
        <v>0</v>
      </c>
      <c r="R47" s="122">
        <v>0</v>
      </c>
      <c r="S47" s="122">
        <v>0</v>
      </c>
      <c r="T47" s="122">
        <v>0</v>
      </c>
      <c r="U47" s="122">
        <v>0</v>
      </c>
      <c r="V47" s="122">
        <v>0</v>
      </c>
      <c r="W47" s="122">
        <v>0</v>
      </c>
      <c r="X47" s="122">
        <v>0</v>
      </c>
      <c r="Y47" s="122">
        <v>0</v>
      </c>
      <c r="Z47" s="122">
        <v>0</v>
      </c>
      <c r="AA47" s="122">
        <v>0</v>
      </c>
      <c r="AB47" s="126">
        <f t="shared" si="5"/>
        <v>0</v>
      </c>
      <c r="AC47" s="126">
        <f t="shared" si="7"/>
        <v>0</v>
      </c>
    </row>
    <row r="48" spans="1:29" ht="31.5" x14ac:dyDescent="0.25">
      <c r="A48" s="57" t="s">
        <v>140</v>
      </c>
      <c r="B48" s="33" t="s">
        <v>139</v>
      </c>
      <c r="C48" s="120">
        <v>0</v>
      </c>
      <c r="D48" s="120">
        <v>0</v>
      </c>
      <c r="E48" s="120">
        <v>0</v>
      </c>
      <c r="F48" s="120">
        <v>0</v>
      </c>
      <c r="G48" s="122">
        <v>0</v>
      </c>
      <c r="H48" s="122">
        <v>0</v>
      </c>
      <c r="I48" s="122">
        <v>0</v>
      </c>
      <c r="J48" s="122">
        <v>0</v>
      </c>
      <c r="K48" s="122">
        <v>0</v>
      </c>
      <c r="L48" s="122">
        <v>0</v>
      </c>
      <c r="M48" s="122">
        <v>0</v>
      </c>
      <c r="N48" s="122">
        <v>0</v>
      </c>
      <c r="O48" s="122">
        <v>0</v>
      </c>
      <c r="P48" s="122">
        <f t="shared" si="11"/>
        <v>0</v>
      </c>
      <c r="Q48" s="122">
        <v>0</v>
      </c>
      <c r="R48" s="122">
        <v>0</v>
      </c>
      <c r="S48" s="122">
        <v>0</v>
      </c>
      <c r="T48" s="122">
        <v>0</v>
      </c>
      <c r="U48" s="122">
        <v>0</v>
      </c>
      <c r="V48" s="122">
        <v>0</v>
      </c>
      <c r="W48" s="122">
        <v>0</v>
      </c>
      <c r="X48" s="122">
        <v>0</v>
      </c>
      <c r="Y48" s="122">
        <v>0</v>
      </c>
      <c r="Z48" s="122">
        <v>0</v>
      </c>
      <c r="AA48" s="122">
        <v>0</v>
      </c>
      <c r="AB48" s="126">
        <f t="shared" si="5"/>
        <v>0</v>
      </c>
      <c r="AC48" s="126">
        <f t="shared" si="7"/>
        <v>0</v>
      </c>
    </row>
    <row r="49" spans="1:29" x14ac:dyDescent="0.25">
      <c r="A49" s="57" t="s">
        <v>138</v>
      </c>
      <c r="B49" s="33" t="s">
        <v>137</v>
      </c>
      <c r="C49" s="120">
        <v>0</v>
      </c>
      <c r="D49" s="120">
        <v>0</v>
      </c>
      <c r="E49" s="120">
        <v>0</v>
      </c>
      <c r="F49" s="120">
        <v>0</v>
      </c>
      <c r="G49" s="122">
        <v>0</v>
      </c>
      <c r="H49" s="122">
        <v>0</v>
      </c>
      <c r="I49" s="122">
        <v>0</v>
      </c>
      <c r="J49" s="122">
        <v>0</v>
      </c>
      <c r="K49" s="122">
        <v>0</v>
      </c>
      <c r="L49" s="122">
        <v>0</v>
      </c>
      <c r="M49" s="122">
        <v>0</v>
      </c>
      <c r="N49" s="122">
        <v>0</v>
      </c>
      <c r="O49" s="122">
        <v>0</v>
      </c>
      <c r="P49" s="122">
        <f t="shared" si="11"/>
        <v>0</v>
      </c>
      <c r="Q49" s="122">
        <v>0</v>
      </c>
      <c r="R49" s="122">
        <v>0</v>
      </c>
      <c r="S49" s="122">
        <v>0</v>
      </c>
      <c r="T49" s="122">
        <v>0</v>
      </c>
      <c r="U49" s="122">
        <v>0</v>
      </c>
      <c r="V49" s="122">
        <v>0</v>
      </c>
      <c r="W49" s="122">
        <v>0</v>
      </c>
      <c r="X49" s="122">
        <v>0</v>
      </c>
      <c r="Y49" s="122">
        <v>0</v>
      </c>
      <c r="Z49" s="122">
        <v>0</v>
      </c>
      <c r="AA49" s="122">
        <v>0</v>
      </c>
      <c r="AB49" s="126">
        <f t="shared" si="5"/>
        <v>0</v>
      </c>
      <c r="AC49" s="126">
        <f t="shared" si="7"/>
        <v>0</v>
      </c>
    </row>
    <row r="50" spans="1:29" ht="18.75" x14ac:dyDescent="0.25">
      <c r="A50" s="57" t="s">
        <v>136</v>
      </c>
      <c r="B50" s="56" t="s">
        <v>530</v>
      </c>
      <c r="C50" s="120">
        <v>34</v>
      </c>
      <c r="D50" s="120">
        <v>0</v>
      </c>
      <c r="E50" s="120">
        <v>34</v>
      </c>
      <c r="F50" s="120">
        <v>34</v>
      </c>
      <c r="G50" s="122">
        <v>0</v>
      </c>
      <c r="H50" s="122">
        <v>0</v>
      </c>
      <c r="I50" s="122">
        <v>0</v>
      </c>
      <c r="J50" s="122">
        <v>0</v>
      </c>
      <c r="K50" s="122">
        <v>0</v>
      </c>
      <c r="L50" s="122">
        <v>0</v>
      </c>
      <c r="M50" s="122">
        <v>0</v>
      </c>
      <c r="N50" s="122">
        <v>0</v>
      </c>
      <c r="O50" s="122">
        <v>0</v>
      </c>
      <c r="P50" s="122">
        <f t="shared" si="11"/>
        <v>34</v>
      </c>
      <c r="Q50" s="122">
        <v>0</v>
      </c>
      <c r="R50" s="122">
        <v>0</v>
      </c>
      <c r="S50" s="122">
        <v>0</v>
      </c>
      <c r="T50" s="122">
        <v>0</v>
      </c>
      <c r="U50" s="122">
        <v>0</v>
      </c>
      <c r="V50" s="122">
        <v>0</v>
      </c>
      <c r="W50" s="122">
        <v>0</v>
      </c>
      <c r="X50" s="122">
        <v>0</v>
      </c>
      <c r="Y50" s="122">
        <v>0</v>
      </c>
      <c r="Z50" s="122">
        <v>0</v>
      </c>
      <c r="AA50" s="122">
        <v>0</v>
      </c>
      <c r="AB50" s="126">
        <f t="shared" si="5"/>
        <v>34</v>
      </c>
      <c r="AC50" s="126">
        <f t="shared" si="7"/>
        <v>0</v>
      </c>
    </row>
    <row r="51" spans="1:29" ht="35.25" customHeight="1" x14ac:dyDescent="0.25">
      <c r="A51" s="60" t="s">
        <v>57</v>
      </c>
      <c r="B51" s="59" t="s">
        <v>135</v>
      </c>
      <c r="C51" s="120">
        <v>0</v>
      </c>
      <c r="D51" s="120">
        <v>0</v>
      </c>
      <c r="E51" s="120">
        <v>0</v>
      </c>
      <c r="F51" s="120">
        <v>0</v>
      </c>
      <c r="G51" s="120">
        <v>0</v>
      </c>
      <c r="H51" s="120">
        <v>0</v>
      </c>
      <c r="I51" s="120">
        <v>0</v>
      </c>
      <c r="J51" s="120">
        <v>0</v>
      </c>
      <c r="K51" s="120">
        <v>0</v>
      </c>
      <c r="L51" s="120">
        <v>0</v>
      </c>
      <c r="M51" s="120">
        <v>0</v>
      </c>
      <c r="N51" s="120">
        <v>0</v>
      </c>
      <c r="O51" s="120">
        <v>0</v>
      </c>
      <c r="P51" s="120">
        <v>0</v>
      </c>
      <c r="Q51" s="120">
        <v>0</v>
      </c>
      <c r="R51" s="120">
        <v>0</v>
      </c>
      <c r="S51" s="120">
        <v>0</v>
      </c>
      <c r="T51" s="120">
        <v>0</v>
      </c>
      <c r="U51" s="120">
        <v>0</v>
      </c>
      <c r="V51" s="120">
        <v>0</v>
      </c>
      <c r="W51" s="120">
        <v>0</v>
      </c>
      <c r="X51" s="120">
        <v>0</v>
      </c>
      <c r="Y51" s="120">
        <v>0</v>
      </c>
      <c r="Z51" s="120">
        <v>0</v>
      </c>
      <c r="AA51" s="120">
        <v>0</v>
      </c>
      <c r="AB51" s="126">
        <f t="shared" si="5"/>
        <v>0</v>
      </c>
      <c r="AC51" s="126">
        <f t="shared" si="7"/>
        <v>0</v>
      </c>
    </row>
    <row r="52" spans="1:29" x14ac:dyDescent="0.25">
      <c r="A52" s="57" t="s">
        <v>134</v>
      </c>
      <c r="B52" s="33" t="s">
        <v>133</v>
      </c>
      <c r="C52" s="120">
        <f>C30</f>
        <v>249.60219762390051</v>
      </c>
      <c r="D52" s="120">
        <v>0</v>
      </c>
      <c r="E52" s="120">
        <f>C52</f>
        <v>249.60219762390051</v>
      </c>
      <c r="F52" s="120">
        <f>E52-G52-H52</f>
        <v>249.60219762390051</v>
      </c>
      <c r="G52" s="122">
        <v>0</v>
      </c>
      <c r="H52" s="122">
        <v>0</v>
      </c>
      <c r="I52" s="122">
        <v>0</v>
      </c>
      <c r="J52" s="122">
        <v>0</v>
      </c>
      <c r="K52" s="122">
        <v>0</v>
      </c>
      <c r="L52" s="122">
        <v>0</v>
      </c>
      <c r="M52" s="122">
        <v>0</v>
      </c>
      <c r="N52" s="122">
        <v>0</v>
      </c>
      <c r="O52" s="122">
        <v>0</v>
      </c>
      <c r="P52" s="122">
        <f t="shared" ref="P52:P57" si="12">F52</f>
        <v>249.60219762390051</v>
      </c>
      <c r="Q52" s="122">
        <v>0</v>
      </c>
      <c r="R52" s="122">
        <v>0</v>
      </c>
      <c r="S52" s="122">
        <v>0</v>
      </c>
      <c r="T52" s="122">
        <v>0</v>
      </c>
      <c r="U52" s="122">
        <v>0</v>
      </c>
      <c r="V52" s="122">
        <v>0</v>
      </c>
      <c r="W52" s="122">
        <v>0</v>
      </c>
      <c r="X52" s="122">
        <v>0</v>
      </c>
      <c r="Y52" s="122">
        <v>0</v>
      </c>
      <c r="Z52" s="122">
        <v>0</v>
      </c>
      <c r="AA52" s="122">
        <v>0</v>
      </c>
      <c r="AB52" s="126">
        <f t="shared" si="5"/>
        <v>249.60219762390051</v>
      </c>
      <c r="AC52" s="126">
        <f t="shared" si="7"/>
        <v>0</v>
      </c>
    </row>
    <row r="53" spans="1:29" x14ac:dyDescent="0.25">
      <c r="A53" s="57" t="s">
        <v>132</v>
      </c>
      <c r="B53" s="33" t="s">
        <v>126</v>
      </c>
      <c r="C53" s="120">
        <v>0</v>
      </c>
      <c r="D53" s="120">
        <v>0</v>
      </c>
      <c r="E53" s="120">
        <f>C53</f>
        <v>0</v>
      </c>
      <c r="F53" s="120">
        <f>E53-G53-H53</f>
        <v>0</v>
      </c>
      <c r="G53" s="122">
        <v>0</v>
      </c>
      <c r="H53" s="122">
        <v>0</v>
      </c>
      <c r="I53" s="122">
        <v>0</v>
      </c>
      <c r="J53" s="122">
        <v>0</v>
      </c>
      <c r="K53" s="122">
        <v>0</v>
      </c>
      <c r="L53" s="122">
        <v>0</v>
      </c>
      <c r="M53" s="122">
        <v>0</v>
      </c>
      <c r="N53" s="122">
        <v>0</v>
      </c>
      <c r="O53" s="122">
        <v>0</v>
      </c>
      <c r="P53" s="122">
        <f t="shared" si="12"/>
        <v>0</v>
      </c>
      <c r="Q53" s="122">
        <v>0</v>
      </c>
      <c r="R53" s="122">
        <v>0</v>
      </c>
      <c r="S53" s="122">
        <v>0</v>
      </c>
      <c r="T53" s="122">
        <v>0</v>
      </c>
      <c r="U53" s="122">
        <v>0</v>
      </c>
      <c r="V53" s="122">
        <v>0</v>
      </c>
      <c r="W53" s="122">
        <v>0</v>
      </c>
      <c r="X53" s="122">
        <v>0</v>
      </c>
      <c r="Y53" s="122">
        <v>0</v>
      </c>
      <c r="Z53" s="122">
        <v>0</v>
      </c>
      <c r="AA53" s="122">
        <v>0</v>
      </c>
      <c r="AB53" s="126">
        <f t="shared" si="5"/>
        <v>0</v>
      </c>
      <c r="AC53" s="126">
        <f t="shared" si="7"/>
        <v>0</v>
      </c>
    </row>
    <row r="54" spans="1:29" x14ac:dyDescent="0.25">
      <c r="A54" s="57" t="s">
        <v>131</v>
      </c>
      <c r="B54" s="56" t="s">
        <v>125</v>
      </c>
      <c r="C54" s="120">
        <f>C45</f>
        <v>80</v>
      </c>
      <c r="D54" s="120">
        <v>0</v>
      </c>
      <c r="E54" s="120">
        <f>C54</f>
        <v>80</v>
      </c>
      <c r="F54" s="120">
        <f>E54-G54-H54</f>
        <v>80</v>
      </c>
      <c r="G54" s="122">
        <v>0</v>
      </c>
      <c r="H54" s="122">
        <v>0</v>
      </c>
      <c r="I54" s="122">
        <v>0</v>
      </c>
      <c r="J54" s="122">
        <v>0</v>
      </c>
      <c r="K54" s="122">
        <v>0</v>
      </c>
      <c r="L54" s="122">
        <v>0</v>
      </c>
      <c r="M54" s="122">
        <v>0</v>
      </c>
      <c r="N54" s="122">
        <v>0</v>
      </c>
      <c r="O54" s="122">
        <v>0</v>
      </c>
      <c r="P54" s="122">
        <f t="shared" si="12"/>
        <v>80</v>
      </c>
      <c r="Q54" s="122">
        <v>0</v>
      </c>
      <c r="R54" s="122">
        <v>0</v>
      </c>
      <c r="S54" s="122">
        <v>0</v>
      </c>
      <c r="T54" s="122">
        <v>0</v>
      </c>
      <c r="U54" s="122">
        <v>0</v>
      </c>
      <c r="V54" s="122">
        <v>0</v>
      </c>
      <c r="W54" s="122">
        <v>0</v>
      </c>
      <c r="X54" s="122">
        <v>0</v>
      </c>
      <c r="Y54" s="122">
        <v>0</v>
      </c>
      <c r="Z54" s="122">
        <v>0</v>
      </c>
      <c r="AA54" s="122">
        <v>0</v>
      </c>
      <c r="AB54" s="126">
        <f t="shared" si="5"/>
        <v>80</v>
      </c>
      <c r="AC54" s="126">
        <f t="shared" si="7"/>
        <v>0</v>
      </c>
    </row>
    <row r="55" spans="1:29" x14ac:dyDescent="0.25">
      <c r="A55" s="57" t="s">
        <v>130</v>
      </c>
      <c r="B55" s="56" t="s">
        <v>124</v>
      </c>
      <c r="C55" s="120">
        <v>0</v>
      </c>
      <c r="D55" s="120">
        <v>0</v>
      </c>
      <c r="E55" s="120">
        <v>0</v>
      </c>
      <c r="F55" s="120">
        <v>0</v>
      </c>
      <c r="G55" s="122">
        <v>0</v>
      </c>
      <c r="H55" s="122">
        <v>0</v>
      </c>
      <c r="I55" s="122">
        <v>0</v>
      </c>
      <c r="J55" s="122">
        <v>0</v>
      </c>
      <c r="K55" s="122">
        <v>0</v>
      </c>
      <c r="L55" s="122">
        <v>0</v>
      </c>
      <c r="M55" s="122">
        <v>0</v>
      </c>
      <c r="N55" s="122">
        <v>0</v>
      </c>
      <c r="O55" s="122">
        <v>0</v>
      </c>
      <c r="P55" s="122">
        <f t="shared" si="12"/>
        <v>0</v>
      </c>
      <c r="Q55" s="122">
        <v>0</v>
      </c>
      <c r="R55" s="122">
        <v>0</v>
      </c>
      <c r="S55" s="122">
        <v>0</v>
      </c>
      <c r="T55" s="122">
        <v>0</v>
      </c>
      <c r="U55" s="122">
        <v>0</v>
      </c>
      <c r="V55" s="122">
        <v>0</v>
      </c>
      <c r="W55" s="122">
        <v>0</v>
      </c>
      <c r="X55" s="122">
        <v>0</v>
      </c>
      <c r="Y55" s="122">
        <v>0</v>
      </c>
      <c r="Z55" s="122">
        <v>0</v>
      </c>
      <c r="AA55" s="122">
        <v>0</v>
      </c>
      <c r="AB55" s="126">
        <f t="shared" si="5"/>
        <v>0</v>
      </c>
      <c r="AC55" s="126">
        <f t="shared" si="7"/>
        <v>0</v>
      </c>
    </row>
    <row r="56" spans="1:29" x14ac:dyDescent="0.25">
      <c r="A56" s="57" t="s">
        <v>129</v>
      </c>
      <c r="B56" s="56" t="s">
        <v>123</v>
      </c>
      <c r="C56" s="120">
        <v>0</v>
      </c>
      <c r="D56" s="120">
        <v>0</v>
      </c>
      <c r="E56" s="120">
        <v>0</v>
      </c>
      <c r="F56" s="120">
        <v>0</v>
      </c>
      <c r="G56" s="122">
        <v>0</v>
      </c>
      <c r="H56" s="122">
        <v>0</v>
      </c>
      <c r="I56" s="122">
        <v>0</v>
      </c>
      <c r="J56" s="122">
        <v>0</v>
      </c>
      <c r="K56" s="122">
        <v>0</v>
      </c>
      <c r="L56" s="122">
        <v>0</v>
      </c>
      <c r="M56" s="122">
        <v>0</v>
      </c>
      <c r="N56" s="122">
        <v>0</v>
      </c>
      <c r="O56" s="122">
        <v>0</v>
      </c>
      <c r="P56" s="122">
        <f t="shared" si="12"/>
        <v>0</v>
      </c>
      <c r="Q56" s="122">
        <v>0</v>
      </c>
      <c r="R56" s="122">
        <v>0</v>
      </c>
      <c r="S56" s="122">
        <v>0</v>
      </c>
      <c r="T56" s="122">
        <v>0</v>
      </c>
      <c r="U56" s="122">
        <v>0</v>
      </c>
      <c r="V56" s="122">
        <v>0</v>
      </c>
      <c r="W56" s="122">
        <v>0</v>
      </c>
      <c r="X56" s="122">
        <v>0</v>
      </c>
      <c r="Y56" s="122">
        <v>0</v>
      </c>
      <c r="Z56" s="122">
        <v>0</v>
      </c>
      <c r="AA56" s="122">
        <v>0</v>
      </c>
      <c r="AB56" s="126">
        <f t="shared" si="5"/>
        <v>0</v>
      </c>
      <c r="AC56" s="126">
        <f t="shared" si="7"/>
        <v>0</v>
      </c>
    </row>
    <row r="57" spans="1:29" ht="18.75" x14ac:dyDescent="0.25">
      <c r="A57" s="57" t="s">
        <v>128</v>
      </c>
      <c r="B57" s="56" t="s">
        <v>530</v>
      </c>
      <c r="C57" s="120">
        <v>34</v>
      </c>
      <c r="D57" s="120">
        <v>0</v>
      </c>
      <c r="E57" s="120">
        <v>34</v>
      </c>
      <c r="F57" s="120">
        <v>34</v>
      </c>
      <c r="G57" s="122">
        <v>0</v>
      </c>
      <c r="H57" s="122">
        <v>0</v>
      </c>
      <c r="I57" s="122">
        <v>0</v>
      </c>
      <c r="J57" s="122">
        <v>0</v>
      </c>
      <c r="K57" s="122">
        <v>0</v>
      </c>
      <c r="L57" s="122">
        <v>0</v>
      </c>
      <c r="M57" s="122">
        <v>0</v>
      </c>
      <c r="N57" s="122">
        <v>0</v>
      </c>
      <c r="O57" s="122">
        <v>0</v>
      </c>
      <c r="P57" s="122">
        <f t="shared" si="12"/>
        <v>34</v>
      </c>
      <c r="Q57" s="122">
        <v>0</v>
      </c>
      <c r="R57" s="122">
        <v>0</v>
      </c>
      <c r="S57" s="122">
        <v>0</v>
      </c>
      <c r="T57" s="122">
        <v>0</v>
      </c>
      <c r="U57" s="122">
        <v>0</v>
      </c>
      <c r="V57" s="122">
        <v>0</v>
      </c>
      <c r="W57" s="122">
        <v>0</v>
      </c>
      <c r="X57" s="122">
        <v>0</v>
      </c>
      <c r="Y57" s="122">
        <v>0</v>
      </c>
      <c r="Z57" s="122">
        <v>0</v>
      </c>
      <c r="AA57" s="122">
        <v>0</v>
      </c>
      <c r="AB57" s="126">
        <f t="shared" si="5"/>
        <v>34</v>
      </c>
      <c r="AC57" s="126">
        <f t="shared" si="7"/>
        <v>0</v>
      </c>
    </row>
    <row r="58" spans="1:29" ht="36.75" customHeight="1" x14ac:dyDescent="0.25">
      <c r="A58" s="60" t="s">
        <v>56</v>
      </c>
      <c r="B58" s="71" t="s">
        <v>207</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6">
        <f t="shared" si="5"/>
        <v>0</v>
      </c>
      <c r="AC58" s="126">
        <f t="shared" si="7"/>
        <v>0</v>
      </c>
    </row>
    <row r="59" spans="1:29" x14ac:dyDescent="0.25">
      <c r="A59" s="60" t="s">
        <v>54</v>
      </c>
      <c r="B59" s="59" t="s">
        <v>127</v>
      </c>
      <c r="C59" s="120">
        <v>0</v>
      </c>
      <c r="D59" s="120">
        <v>0</v>
      </c>
      <c r="E59" s="120">
        <v>0</v>
      </c>
      <c r="F59" s="120">
        <v>0</v>
      </c>
      <c r="G59" s="120">
        <v>0</v>
      </c>
      <c r="H59" s="120">
        <v>0</v>
      </c>
      <c r="I59" s="120">
        <v>0</v>
      </c>
      <c r="J59" s="120">
        <v>0</v>
      </c>
      <c r="K59" s="120">
        <v>0</v>
      </c>
      <c r="L59" s="120">
        <v>0</v>
      </c>
      <c r="M59" s="120">
        <v>0</v>
      </c>
      <c r="N59" s="120">
        <v>0</v>
      </c>
      <c r="O59" s="120">
        <v>0</v>
      </c>
      <c r="P59" s="120">
        <v>0</v>
      </c>
      <c r="Q59" s="120">
        <v>0</v>
      </c>
      <c r="R59" s="120">
        <v>0</v>
      </c>
      <c r="S59" s="120">
        <v>0</v>
      </c>
      <c r="T59" s="120">
        <v>0</v>
      </c>
      <c r="U59" s="120">
        <v>0</v>
      </c>
      <c r="V59" s="120">
        <v>0</v>
      </c>
      <c r="W59" s="120">
        <v>0</v>
      </c>
      <c r="X59" s="120">
        <v>0</v>
      </c>
      <c r="Y59" s="120">
        <v>0</v>
      </c>
      <c r="Z59" s="120">
        <v>0</v>
      </c>
      <c r="AA59" s="120">
        <v>0</v>
      </c>
      <c r="AB59" s="126">
        <f t="shared" si="5"/>
        <v>0</v>
      </c>
      <c r="AC59" s="126">
        <f t="shared" si="7"/>
        <v>0</v>
      </c>
    </row>
    <row r="60" spans="1:29" x14ac:dyDescent="0.25">
      <c r="A60" s="57" t="s">
        <v>201</v>
      </c>
      <c r="B60" s="58" t="s">
        <v>147</v>
      </c>
      <c r="C60" s="120">
        <v>0</v>
      </c>
      <c r="D60" s="120">
        <v>0</v>
      </c>
      <c r="E60" s="120">
        <v>0</v>
      </c>
      <c r="F60" s="120">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6">
        <f t="shared" si="5"/>
        <v>0</v>
      </c>
      <c r="AC60" s="126">
        <f t="shared" si="7"/>
        <v>0</v>
      </c>
    </row>
    <row r="61" spans="1:29" x14ac:dyDescent="0.25">
      <c r="A61" s="57" t="s">
        <v>202</v>
      </c>
      <c r="B61" s="58" t="s">
        <v>145</v>
      </c>
      <c r="C61" s="120">
        <v>0</v>
      </c>
      <c r="D61" s="120">
        <v>0</v>
      </c>
      <c r="E61" s="120">
        <v>0</v>
      </c>
      <c r="F61" s="120">
        <v>0</v>
      </c>
      <c r="G61" s="122">
        <v>0</v>
      </c>
      <c r="H61" s="122">
        <v>0</v>
      </c>
      <c r="I61" s="122">
        <v>0</v>
      </c>
      <c r="J61" s="122">
        <v>0</v>
      </c>
      <c r="K61" s="122">
        <v>0</v>
      </c>
      <c r="L61" s="122">
        <v>0</v>
      </c>
      <c r="M61" s="122">
        <v>0</v>
      </c>
      <c r="N61" s="122">
        <v>0</v>
      </c>
      <c r="O61" s="122">
        <v>0</v>
      </c>
      <c r="P61" s="122">
        <v>0</v>
      </c>
      <c r="Q61" s="122">
        <v>0</v>
      </c>
      <c r="R61" s="122">
        <v>0</v>
      </c>
      <c r="S61" s="122">
        <v>0</v>
      </c>
      <c r="T61" s="122">
        <v>0</v>
      </c>
      <c r="U61" s="122">
        <v>0</v>
      </c>
      <c r="V61" s="122">
        <v>0</v>
      </c>
      <c r="W61" s="122">
        <v>0</v>
      </c>
      <c r="X61" s="122">
        <v>0</v>
      </c>
      <c r="Y61" s="122">
        <v>0</v>
      </c>
      <c r="Z61" s="122">
        <v>0</v>
      </c>
      <c r="AA61" s="122">
        <v>0</v>
      </c>
      <c r="AB61" s="126">
        <f t="shared" si="5"/>
        <v>0</v>
      </c>
      <c r="AC61" s="126">
        <f t="shared" si="7"/>
        <v>0</v>
      </c>
    </row>
    <row r="62" spans="1:29" x14ac:dyDescent="0.25">
      <c r="A62" s="57" t="s">
        <v>203</v>
      </c>
      <c r="B62" s="58" t="s">
        <v>143</v>
      </c>
      <c r="C62" s="120">
        <v>0</v>
      </c>
      <c r="D62" s="120">
        <v>0</v>
      </c>
      <c r="E62" s="120">
        <v>0</v>
      </c>
      <c r="F62" s="120">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6">
        <f t="shared" si="5"/>
        <v>0</v>
      </c>
      <c r="AC62" s="126">
        <f t="shared" si="7"/>
        <v>0</v>
      </c>
    </row>
    <row r="63" spans="1:29" x14ac:dyDescent="0.25">
      <c r="A63" s="57" t="s">
        <v>204</v>
      </c>
      <c r="B63" s="58" t="s">
        <v>206</v>
      </c>
      <c r="C63" s="120">
        <v>0</v>
      </c>
      <c r="D63" s="120">
        <v>0</v>
      </c>
      <c r="E63" s="120">
        <v>0</v>
      </c>
      <c r="F63" s="120">
        <v>0</v>
      </c>
      <c r="G63" s="122">
        <v>0</v>
      </c>
      <c r="H63" s="122">
        <v>0</v>
      </c>
      <c r="I63" s="122">
        <v>0</v>
      </c>
      <c r="J63" s="122">
        <v>0</v>
      </c>
      <c r="K63" s="122">
        <v>0</v>
      </c>
      <c r="L63" s="122">
        <v>0</v>
      </c>
      <c r="M63" s="122">
        <v>0</v>
      </c>
      <c r="N63" s="122">
        <v>0</v>
      </c>
      <c r="O63" s="122">
        <v>0</v>
      </c>
      <c r="P63" s="122">
        <v>0</v>
      </c>
      <c r="Q63" s="122">
        <v>0</v>
      </c>
      <c r="R63" s="122">
        <v>0</v>
      </c>
      <c r="S63" s="122">
        <v>0</v>
      </c>
      <c r="T63" s="122">
        <v>0</v>
      </c>
      <c r="U63" s="122">
        <v>0</v>
      </c>
      <c r="V63" s="122">
        <v>0</v>
      </c>
      <c r="W63" s="122">
        <v>0</v>
      </c>
      <c r="X63" s="122">
        <v>0</v>
      </c>
      <c r="Y63" s="122">
        <v>0</v>
      </c>
      <c r="Z63" s="122">
        <v>0</v>
      </c>
      <c r="AA63" s="122">
        <v>0</v>
      </c>
      <c r="AB63" s="126">
        <f t="shared" si="5"/>
        <v>0</v>
      </c>
      <c r="AC63" s="126">
        <f t="shared" si="7"/>
        <v>0</v>
      </c>
    </row>
    <row r="64" spans="1:29" ht="18.75" x14ac:dyDescent="0.25">
      <c r="A64" s="57" t="s">
        <v>205</v>
      </c>
      <c r="B64" s="56" t="s">
        <v>122</v>
      </c>
      <c r="C64" s="120">
        <v>0</v>
      </c>
      <c r="D64" s="120">
        <v>0</v>
      </c>
      <c r="E64" s="120">
        <v>0</v>
      </c>
      <c r="F64" s="120">
        <v>0</v>
      </c>
      <c r="G64" s="122">
        <v>0</v>
      </c>
      <c r="H64" s="122">
        <v>0</v>
      </c>
      <c r="I64" s="122">
        <v>0</v>
      </c>
      <c r="J64" s="122">
        <v>0</v>
      </c>
      <c r="K64" s="122">
        <v>0</v>
      </c>
      <c r="L64" s="122">
        <v>0</v>
      </c>
      <c r="M64" s="122">
        <v>0</v>
      </c>
      <c r="N64" s="122">
        <v>0</v>
      </c>
      <c r="O64" s="122">
        <v>0</v>
      </c>
      <c r="P64" s="122">
        <v>0</v>
      </c>
      <c r="Q64" s="122">
        <v>0</v>
      </c>
      <c r="R64" s="122">
        <v>0</v>
      </c>
      <c r="S64" s="122">
        <v>0</v>
      </c>
      <c r="T64" s="122">
        <v>0</v>
      </c>
      <c r="U64" s="122">
        <v>0</v>
      </c>
      <c r="V64" s="122">
        <v>0</v>
      </c>
      <c r="W64" s="122">
        <v>0</v>
      </c>
      <c r="X64" s="122">
        <v>0</v>
      </c>
      <c r="Y64" s="122">
        <v>0</v>
      </c>
      <c r="Z64" s="122">
        <v>0</v>
      </c>
      <c r="AA64" s="122">
        <v>0</v>
      </c>
      <c r="AB64" s="126">
        <f t="shared" si="5"/>
        <v>0</v>
      </c>
      <c r="AC64" s="126">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36"/>
      <c r="C66" s="436"/>
      <c r="D66" s="436"/>
      <c r="E66" s="436"/>
      <c r="F66" s="436"/>
      <c r="G66" s="436"/>
      <c r="H66" s="436"/>
      <c r="I66" s="436"/>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37"/>
      <c r="C68" s="437"/>
      <c r="D68" s="437"/>
      <c r="E68" s="437"/>
      <c r="F68" s="437"/>
      <c r="G68" s="437"/>
      <c r="H68" s="437"/>
      <c r="I68" s="437"/>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36"/>
      <c r="C70" s="436"/>
      <c r="D70" s="436"/>
      <c r="E70" s="436"/>
      <c r="F70" s="436"/>
      <c r="G70" s="436"/>
      <c r="H70" s="436"/>
      <c r="I70" s="436"/>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36"/>
      <c r="C72" s="436"/>
      <c r="D72" s="436"/>
      <c r="E72" s="436"/>
      <c r="F72" s="436"/>
      <c r="G72" s="436"/>
      <c r="H72" s="436"/>
      <c r="I72" s="436"/>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37"/>
      <c r="C73" s="437"/>
      <c r="D73" s="437"/>
      <c r="E73" s="437"/>
      <c r="F73" s="437"/>
      <c r="G73" s="437"/>
      <c r="H73" s="437"/>
      <c r="I73" s="437"/>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36"/>
      <c r="C74" s="436"/>
      <c r="D74" s="436"/>
      <c r="E74" s="436"/>
      <c r="F74" s="436"/>
      <c r="G74" s="436"/>
      <c r="H74" s="436"/>
      <c r="I74" s="436"/>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34"/>
      <c r="C75" s="434"/>
      <c r="D75" s="434"/>
      <c r="E75" s="434"/>
      <c r="F75" s="434"/>
      <c r="G75" s="434"/>
      <c r="H75" s="434"/>
      <c r="I75" s="434"/>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35"/>
      <c r="C77" s="435"/>
      <c r="D77" s="435"/>
      <c r="E77" s="435"/>
      <c r="F77" s="435"/>
      <c r="G77" s="435"/>
      <c r="H77" s="435"/>
      <c r="I77" s="435"/>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62" priority="26" operator="notEqual">
      <formula>0</formula>
    </cfRule>
  </conditionalFormatting>
  <conditionalFormatting sqref="AB24:AB64">
    <cfRule type="cellIs" dxfId="61" priority="25" operator="notEqual">
      <formula>0</formula>
    </cfRule>
  </conditionalFormatting>
  <conditionalFormatting sqref="I34 K25:M29 K46:K49 K55:K56 K51:M51 K58:M64 Q44:Q50 M46:M50 L45:L50 Q52:Q57 L52:M57 O52:O57 O35:Q43 O44:O50 O58:Q64 O51:Q51 O25:Q29 P31:Q34 K31:M44">
    <cfRule type="cellIs" dxfId="60" priority="24" operator="notEqual">
      <formula>0</formula>
    </cfRule>
  </conditionalFormatting>
  <conditionalFormatting sqref="G30:I30 K30:M30 O30:Y30">
    <cfRule type="cellIs" dxfId="59" priority="23" operator="notEqual">
      <formula>0</formula>
    </cfRule>
  </conditionalFormatting>
  <conditionalFormatting sqref="E45:I45">
    <cfRule type="cellIs" dxfId="58" priority="22" operator="notEqual">
      <formula>0</formula>
    </cfRule>
  </conditionalFormatting>
  <conditionalFormatting sqref="K45 M45">
    <cfRule type="cellIs" dxfId="57" priority="21" operator="notEqual">
      <formula>0</formula>
    </cfRule>
  </conditionalFormatting>
  <conditionalFormatting sqref="E52:I54">
    <cfRule type="cellIs" dxfId="56" priority="20" operator="notEqual">
      <formula>0</formula>
    </cfRule>
  </conditionalFormatting>
  <conditionalFormatting sqref="K52:K54">
    <cfRule type="cellIs" dxfId="55" priority="19" operator="notEqual">
      <formula>0</formula>
    </cfRule>
  </conditionalFormatting>
  <conditionalFormatting sqref="K50">
    <cfRule type="cellIs" dxfId="54" priority="17" operator="notEqual">
      <formula>0</formula>
    </cfRule>
  </conditionalFormatting>
  <conditionalFormatting sqref="K57">
    <cfRule type="cellIs" dxfId="53" priority="15" operator="notEqual">
      <formula>0</formula>
    </cfRule>
  </conditionalFormatting>
  <conditionalFormatting sqref="P44:P50">
    <cfRule type="cellIs" dxfId="52" priority="14" operator="notEqual">
      <formula>0</formula>
    </cfRule>
  </conditionalFormatting>
  <conditionalFormatting sqref="P52:P57">
    <cfRule type="cellIs" dxfId="51" priority="13" operator="notEqual">
      <formula>0</formula>
    </cfRule>
  </conditionalFormatting>
  <conditionalFormatting sqref="D24:D64">
    <cfRule type="cellIs" dxfId="50" priority="12" operator="notEqual">
      <formula>0</formula>
    </cfRule>
  </conditionalFormatting>
  <conditionalFormatting sqref="Z31:AA64 Z24:AA29">
    <cfRule type="cellIs" dxfId="49" priority="11" operator="notEqual">
      <formula>0</formula>
    </cfRule>
  </conditionalFormatting>
  <conditionalFormatting sqref="Z30:AA30">
    <cfRule type="cellIs" dxfId="48" priority="10" operator="notEqual">
      <formula>0</formula>
    </cfRule>
  </conditionalFormatting>
  <conditionalFormatting sqref="J55:J64 J46:J51 J31:J44 J24:J29">
    <cfRule type="cellIs" dxfId="47" priority="9" operator="notEqual">
      <formula>0</formula>
    </cfRule>
  </conditionalFormatting>
  <conditionalFormatting sqref="J30">
    <cfRule type="cellIs" dxfId="46" priority="8" operator="notEqual">
      <formula>0</formula>
    </cfRule>
  </conditionalFormatting>
  <conditionalFormatting sqref="J45">
    <cfRule type="cellIs" dxfId="45" priority="7" operator="notEqual">
      <formula>0</formula>
    </cfRule>
  </conditionalFormatting>
  <conditionalFormatting sqref="J52:J54">
    <cfRule type="cellIs" dxfId="44" priority="6" operator="notEqual">
      <formula>0</formula>
    </cfRule>
  </conditionalFormatting>
  <conditionalFormatting sqref="AC24:AC64">
    <cfRule type="cellIs" dxfId="43" priority="5" operator="notEqual">
      <formula>0</formula>
    </cfRule>
  </conditionalFormatting>
  <conditionalFormatting sqref="N24">
    <cfRule type="cellIs" dxfId="42" priority="4" operator="notEqual">
      <formula>0</formula>
    </cfRule>
  </conditionalFormatting>
  <conditionalFormatting sqref="N25:N29 N31:N64">
    <cfRule type="cellIs" dxfId="41" priority="3" operator="notEqual">
      <formula>0</formula>
    </cfRule>
  </conditionalFormatting>
  <conditionalFormatting sqref="N30">
    <cfRule type="cellIs" dxfId="40" priority="2" operator="notEqual">
      <formula>0</formula>
    </cfRule>
  </conditionalFormatting>
  <conditionalFormatting sqref="O31:O3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A13" zoomScale="70" zoomScaleNormal="70" zoomScaleSheetLayoutView="70" workbookViewId="0">
      <selection activeCell="R25" sqref="R25"/>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342" t="s">
        <v>66</v>
      </c>
    </row>
    <row r="2" spans="1:29" ht="18.75" x14ac:dyDescent="0.3">
      <c r="AC2" s="343" t="s">
        <v>8</v>
      </c>
    </row>
    <row r="3" spans="1:29" ht="18.75" x14ac:dyDescent="0.3">
      <c r="AC3" s="343" t="s">
        <v>65</v>
      </c>
    </row>
    <row r="4" spans="1:29" ht="18.75" customHeight="1" x14ac:dyDescent="0.25">
      <c r="A4" s="352" t="str">
        <f>'6.1. Паспорт сетевой график'!A5:K5</f>
        <v>Год раскрытия информации: 2022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c r="AA4" s="352"/>
      <c r="AB4" s="352"/>
      <c r="AC4" s="352"/>
    </row>
    <row r="5" spans="1:29" ht="18.75" x14ac:dyDescent="0.3">
      <c r="AC5" s="343"/>
    </row>
    <row r="6" spans="1:29" ht="18.75" x14ac:dyDescent="0.25">
      <c r="A6" s="439" t="s">
        <v>7</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row>
    <row r="7" spans="1:29" ht="18.75" x14ac:dyDescent="0.25">
      <c r="A7" s="344"/>
      <c r="B7" s="344"/>
      <c r="C7" s="344"/>
      <c r="D7" s="344"/>
      <c r="E7" s="344"/>
      <c r="F7" s="344"/>
      <c r="G7" s="344"/>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440" t="str">
        <f>'6.1. Паспорт сетевой график'!A9</f>
        <v xml:space="preserve">Акционерное общество "Западная энергетическая компания" </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row>
    <row r="9" spans="1:29" ht="18.75" customHeight="1" x14ac:dyDescent="0.25">
      <c r="A9" s="438" t="s">
        <v>6</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row>
    <row r="10" spans="1:29" ht="18.75" x14ac:dyDescent="0.25">
      <c r="A10" s="344"/>
      <c r="B10" s="344"/>
      <c r="C10" s="344"/>
      <c r="D10" s="344"/>
      <c r="E10" s="344"/>
      <c r="F10" s="344"/>
      <c r="G10" s="344"/>
      <c r="H10" s="211"/>
      <c r="I10" s="211"/>
      <c r="J10" s="211"/>
      <c r="K10" s="211"/>
      <c r="L10" s="211"/>
      <c r="M10" s="211"/>
      <c r="N10" s="211"/>
      <c r="O10" s="211"/>
      <c r="P10" s="211"/>
      <c r="Q10" s="211"/>
      <c r="R10" s="211"/>
      <c r="S10" s="211"/>
      <c r="T10" s="211"/>
      <c r="U10" s="211"/>
      <c r="V10" s="211"/>
      <c r="W10" s="211"/>
      <c r="X10" s="211"/>
      <c r="Y10" s="211"/>
      <c r="Z10" s="211"/>
      <c r="AA10" s="211"/>
      <c r="AB10" s="211"/>
      <c r="AC10" s="211"/>
    </row>
    <row r="11" spans="1:29" x14ac:dyDescent="0.25">
      <c r="A11" s="440" t="str">
        <f>'6.1. Паспорт сетевой график'!A12</f>
        <v>J 19-10</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row>
    <row r="12" spans="1:29" x14ac:dyDescent="0.25">
      <c r="A12" s="438" t="s">
        <v>5</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row>
    <row r="13" spans="1:29" ht="16.5" customHeight="1" x14ac:dyDescent="0.3">
      <c r="A13" s="163"/>
      <c r="B13" s="163"/>
      <c r="C13" s="163"/>
      <c r="D13" s="163"/>
      <c r="E13" s="163"/>
      <c r="F13" s="163"/>
      <c r="G13" s="163"/>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441" t="str">
        <f>'6.1. Паспорт сетевой график'!A15</f>
        <v>Реконструкция ТП-12 15/0,4кВ п.Южный, Багратионовского р-на</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438" t="s">
        <v>4</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438"/>
      <c r="AB15" s="438"/>
      <c r="AC15" s="438"/>
    </row>
    <row r="16" spans="1:29"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row>
    <row r="18" spans="1:32" ht="50.25" customHeight="1" x14ac:dyDescent="0.25">
      <c r="A18" s="442" t="s">
        <v>393</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19" spans="1:32" ht="49.5" hidden="1" customHeight="1" x14ac:dyDescent="0.25">
      <c r="E19" s="64" t="s">
        <v>551</v>
      </c>
      <c r="F19" s="64" t="s">
        <v>552</v>
      </c>
      <c r="G19" s="64" t="s">
        <v>553</v>
      </c>
      <c r="H19" s="44" t="s">
        <v>554</v>
      </c>
      <c r="L19" s="44" t="s">
        <v>555</v>
      </c>
      <c r="P19" s="44" t="s">
        <v>556</v>
      </c>
    </row>
    <row r="20" spans="1:32" ht="33" customHeight="1" x14ac:dyDescent="0.25">
      <c r="A20" s="426" t="s">
        <v>183</v>
      </c>
      <c r="B20" s="426" t="s">
        <v>182</v>
      </c>
      <c r="C20" s="421" t="s">
        <v>181</v>
      </c>
      <c r="D20" s="421"/>
      <c r="E20" s="443" t="s">
        <v>180</v>
      </c>
      <c r="F20" s="443"/>
      <c r="G20" s="426" t="s">
        <v>602</v>
      </c>
      <c r="H20" s="432">
        <v>2020</v>
      </c>
      <c r="I20" s="433"/>
      <c r="J20" s="433"/>
      <c r="K20" s="444"/>
      <c r="L20" s="432">
        <v>2021</v>
      </c>
      <c r="M20" s="433"/>
      <c r="N20" s="433"/>
      <c r="O20" s="444"/>
      <c r="P20" s="432">
        <v>2022</v>
      </c>
      <c r="Q20" s="433"/>
      <c r="R20" s="433"/>
      <c r="S20" s="444"/>
      <c r="T20" s="432">
        <v>2023</v>
      </c>
      <c r="U20" s="433"/>
      <c r="V20" s="433"/>
      <c r="W20" s="444"/>
      <c r="X20" s="432">
        <v>2024</v>
      </c>
      <c r="Y20" s="433"/>
      <c r="Z20" s="433"/>
      <c r="AA20" s="433"/>
      <c r="AB20" s="431" t="s">
        <v>179</v>
      </c>
      <c r="AC20" s="431"/>
      <c r="AD20" s="345"/>
      <c r="AE20" s="345"/>
      <c r="AF20" s="345"/>
    </row>
    <row r="21" spans="1:32" ht="99.75" customHeight="1" x14ac:dyDescent="0.25">
      <c r="A21" s="427"/>
      <c r="B21" s="427"/>
      <c r="C21" s="421"/>
      <c r="D21" s="421"/>
      <c r="E21" s="443"/>
      <c r="F21" s="443"/>
      <c r="G21" s="427"/>
      <c r="H21" s="421" t="s">
        <v>2</v>
      </c>
      <c r="I21" s="421"/>
      <c r="J21" s="421" t="s">
        <v>9</v>
      </c>
      <c r="K21" s="421"/>
      <c r="L21" s="421" t="s">
        <v>2</v>
      </c>
      <c r="M21" s="421"/>
      <c r="N21" s="421" t="s">
        <v>9</v>
      </c>
      <c r="O21" s="421"/>
      <c r="P21" s="421" t="s">
        <v>2</v>
      </c>
      <c r="Q21" s="421"/>
      <c r="R21" s="421" t="s">
        <v>178</v>
      </c>
      <c r="S21" s="421"/>
      <c r="T21" s="421" t="s">
        <v>2</v>
      </c>
      <c r="U21" s="421"/>
      <c r="V21" s="421" t="s">
        <v>178</v>
      </c>
      <c r="W21" s="421"/>
      <c r="X21" s="421" t="s">
        <v>2</v>
      </c>
      <c r="Y21" s="421"/>
      <c r="Z21" s="421" t="s">
        <v>178</v>
      </c>
      <c r="AA21" s="421"/>
      <c r="AB21" s="431"/>
      <c r="AC21" s="431"/>
    </row>
    <row r="22" spans="1:32" ht="89.25" customHeight="1" x14ac:dyDescent="0.25">
      <c r="A22" s="428"/>
      <c r="B22" s="428"/>
      <c r="C22" s="340" t="s">
        <v>2</v>
      </c>
      <c r="D22" s="340" t="s">
        <v>178</v>
      </c>
      <c r="E22" s="64" t="s">
        <v>548</v>
      </c>
      <c r="F22" s="64" t="s">
        <v>618</v>
      </c>
      <c r="G22" s="428"/>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340" t="s">
        <v>566</v>
      </c>
      <c r="AC22" s="340" t="s">
        <v>537</v>
      </c>
    </row>
    <row r="23" spans="1:32" ht="19.5" customHeight="1" x14ac:dyDescent="0.25">
      <c r="A23" s="336">
        <v>1</v>
      </c>
      <c r="B23" s="336">
        <v>2</v>
      </c>
      <c r="C23" s="336">
        <v>3</v>
      </c>
      <c r="D23" s="336">
        <v>4</v>
      </c>
      <c r="E23" s="336">
        <v>5</v>
      </c>
      <c r="F23" s="336">
        <v>6</v>
      </c>
      <c r="G23" s="336">
        <v>7</v>
      </c>
      <c r="H23" s="336">
        <v>8</v>
      </c>
      <c r="I23" s="336">
        <v>9</v>
      </c>
      <c r="J23" s="336">
        <v>10</v>
      </c>
      <c r="K23" s="336">
        <v>11</v>
      </c>
      <c r="L23" s="336">
        <v>12</v>
      </c>
      <c r="M23" s="336">
        <v>13</v>
      </c>
      <c r="N23" s="336">
        <v>14</v>
      </c>
      <c r="O23" s="336">
        <v>15</v>
      </c>
      <c r="P23" s="336">
        <v>16</v>
      </c>
      <c r="Q23" s="336">
        <v>17</v>
      </c>
      <c r="R23" s="336">
        <v>18</v>
      </c>
      <c r="S23" s="336">
        <v>19</v>
      </c>
      <c r="T23" s="336">
        <v>20</v>
      </c>
      <c r="U23" s="336">
        <v>21</v>
      </c>
      <c r="V23" s="336">
        <v>22</v>
      </c>
      <c r="W23" s="336">
        <v>23</v>
      </c>
      <c r="X23" s="336">
        <v>24</v>
      </c>
      <c r="Y23" s="336">
        <v>25</v>
      </c>
      <c r="Z23" s="336">
        <v>26</v>
      </c>
      <c r="AA23" s="336">
        <v>27</v>
      </c>
      <c r="AB23" s="336">
        <v>28</v>
      </c>
      <c r="AC23" s="336">
        <v>29</v>
      </c>
    </row>
    <row r="24" spans="1:32" ht="47.25" customHeight="1" x14ac:dyDescent="0.25">
      <c r="A24" s="60">
        <v>1</v>
      </c>
      <c r="B24" s="59" t="s">
        <v>177</v>
      </c>
      <c r="C24" s="120">
        <f>C30*1.2</f>
        <v>7.7574891111023838</v>
      </c>
      <c r="D24" s="120">
        <f>D30*1.2</f>
        <v>7.7574891111023838</v>
      </c>
      <c r="E24" s="120">
        <f>C24</f>
        <v>7.7574891111023838</v>
      </c>
      <c r="F24" s="120">
        <f>E24</f>
        <v>7.7574891111023838</v>
      </c>
      <c r="G24" s="120">
        <v>0</v>
      </c>
      <c r="H24" s="120">
        <v>0</v>
      </c>
      <c r="I24" s="120">
        <f>SUM(I25:I29)</f>
        <v>0</v>
      </c>
      <c r="J24" s="120">
        <v>0</v>
      </c>
      <c r="K24" s="120">
        <v>0</v>
      </c>
      <c r="L24" s="120">
        <v>0</v>
      </c>
      <c r="M24" s="120">
        <f t="shared" ref="M24:Y24" si="0">SUM(M25:M29)</f>
        <v>0</v>
      </c>
      <c r="N24" s="120">
        <v>0</v>
      </c>
      <c r="O24" s="120">
        <v>0</v>
      </c>
      <c r="P24" s="120">
        <v>0</v>
      </c>
      <c r="Q24" s="120">
        <f t="shared" si="0"/>
        <v>0</v>
      </c>
      <c r="R24" s="120">
        <v>0</v>
      </c>
      <c r="S24" s="120">
        <v>0</v>
      </c>
      <c r="T24" s="120">
        <v>2.1240000000000001</v>
      </c>
      <c r="U24" s="120">
        <f t="shared" si="0"/>
        <v>0</v>
      </c>
      <c r="V24" s="120">
        <v>2.1240000000000001</v>
      </c>
      <c r="W24" s="120">
        <f t="shared" ref="W24" si="1">SUM(W25:W29)</f>
        <v>0</v>
      </c>
      <c r="X24" s="120">
        <f>X30*1.2</f>
        <v>5.6334891111023833</v>
      </c>
      <c r="Y24" s="120">
        <f t="shared" si="0"/>
        <v>0</v>
      </c>
      <c r="Z24" s="120">
        <f>Z30*1.2</f>
        <v>5.6334891111023833</v>
      </c>
      <c r="AA24" s="120">
        <f t="shared" ref="AA24" si="2">SUM(AA25:AA29)</f>
        <v>0</v>
      </c>
      <c r="AB24" s="120">
        <f>H24+L24+P24+T24+X24</f>
        <v>7.7574891111023838</v>
      </c>
      <c r="AC24" s="120">
        <f>SUM(J24,N24,R24,V24,Z24)</f>
        <v>7.7574891111023838</v>
      </c>
    </row>
    <row r="25" spans="1:32" ht="24" customHeight="1" x14ac:dyDescent="0.25">
      <c r="A25" s="57" t="s">
        <v>176</v>
      </c>
      <c r="B25" s="33" t="s">
        <v>175</v>
      </c>
      <c r="C25" s="120">
        <v>0</v>
      </c>
      <c r="D25" s="120">
        <v>0</v>
      </c>
      <c r="E25" s="120">
        <f t="shared" ref="E25:E29" si="3">C25</f>
        <v>0</v>
      </c>
      <c r="F25" s="120">
        <f t="shared" ref="F25:F64" si="4">E25</f>
        <v>0</v>
      </c>
      <c r="G25" s="122">
        <v>0</v>
      </c>
      <c r="H25" s="122">
        <f>C25</f>
        <v>0</v>
      </c>
      <c r="I25" s="122">
        <v>0</v>
      </c>
      <c r="J25" s="122">
        <v>0</v>
      </c>
      <c r="K25" s="122">
        <v>0</v>
      </c>
      <c r="L25" s="122">
        <f>'6.2. Паспорт фин осв ввод факт'!X25</f>
        <v>0</v>
      </c>
      <c r="M25" s="122">
        <v>0</v>
      </c>
      <c r="N25" s="122">
        <v>0</v>
      </c>
      <c r="O25" s="122">
        <v>0</v>
      </c>
      <c r="P25" s="120">
        <f t="shared" ref="P25" si="5">P31*1.2</f>
        <v>0</v>
      </c>
      <c r="Q25" s="122">
        <v>0</v>
      </c>
      <c r="R25" s="122">
        <v>0</v>
      </c>
      <c r="S25" s="122">
        <v>0</v>
      </c>
      <c r="T25" s="122">
        <v>0</v>
      </c>
      <c r="U25" s="122">
        <v>0</v>
      </c>
      <c r="V25" s="122">
        <v>0</v>
      </c>
      <c r="W25" s="122">
        <v>0</v>
      </c>
      <c r="X25" s="122">
        <v>0</v>
      </c>
      <c r="Y25" s="122">
        <v>0</v>
      </c>
      <c r="Z25" s="122">
        <v>0</v>
      </c>
      <c r="AA25" s="122">
        <v>0</v>
      </c>
      <c r="AB25" s="120">
        <f t="shared" ref="AB25:AB64" si="6">H25+L25+P25+T25+X25</f>
        <v>0</v>
      </c>
      <c r="AC25" s="120">
        <f t="shared" ref="AC25:AC64" si="7">SUM(J25,N25,R25,V25,Z25)</f>
        <v>0</v>
      </c>
    </row>
    <row r="26" spans="1:32" x14ac:dyDescent="0.25">
      <c r="A26" s="57" t="s">
        <v>174</v>
      </c>
      <c r="B26" s="33" t="s">
        <v>173</v>
      </c>
      <c r="C26" s="120">
        <v>0</v>
      </c>
      <c r="D26" s="120">
        <v>0</v>
      </c>
      <c r="E26" s="120">
        <f t="shared" si="3"/>
        <v>0</v>
      </c>
      <c r="F26" s="120">
        <f t="shared" si="4"/>
        <v>0</v>
      </c>
      <c r="G26" s="122">
        <v>0</v>
      </c>
      <c r="H26" s="122">
        <f>C26</f>
        <v>0</v>
      </c>
      <c r="I26" s="122">
        <v>0</v>
      </c>
      <c r="J26" s="122">
        <v>0</v>
      </c>
      <c r="K26" s="122">
        <v>0</v>
      </c>
      <c r="L26" s="122">
        <f>'6.2. Паспорт фин осв ввод факт'!X26</f>
        <v>0</v>
      </c>
      <c r="M26" s="122">
        <v>0</v>
      </c>
      <c r="N26" s="122">
        <v>0</v>
      </c>
      <c r="O26" s="122">
        <v>0</v>
      </c>
      <c r="P26" s="120">
        <v>0</v>
      </c>
      <c r="Q26" s="122">
        <v>0</v>
      </c>
      <c r="R26" s="122">
        <v>0</v>
      </c>
      <c r="S26" s="122">
        <v>0</v>
      </c>
      <c r="T26" s="122">
        <v>0</v>
      </c>
      <c r="U26" s="122">
        <v>0</v>
      </c>
      <c r="V26" s="122">
        <v>0</v>
      </c>
      <c r="W26" s="122">
        <v>0</v>
      </c>
      <c r="X26" s="122">
        <v>0</v>
      </c>
      <c r="Y26" s="122">
        <v>0</v>
      </c>
      <c r="Z26" s="122">
        <v>0</v>
      </c>
      <c r="AA26" s="122">
        <v>0</v>
      </c>
      <c r="AB26" s="120">
        <f t="shared" si="6"/>
        <v>0</v>
      </c>
      <c r="AC26" s="120">
        <f t="shared" si="7"/>
        <v>0</v>
      </c>
    </row>
    <row r="27" spans="1:32" ht="31.5" x14ac:dyDescent="0.25">
      <c r="A27" s="57" t="s">
        <v>172</v>
      </c>
      <c r="B27" s="33" t="s">
        <v>356</v>
      </c>
      <c r="C27" s="120">
        <f>C24</f>
        <v>7.7574891111023838</v>
      </c>
      <c r="D27" s="120">
        <f>D24</f>
        <v>7.7574891111023838</v>
      </c>
      <c r="E27" s="120">
        <f t="shared" si="3"/>
        <v>7.7574891111023838</v>
      </c>
      <c r="F27" s="120">
        <f t="shared" si="4"/>
        <v>7.7574891111023838</v>
      </c>
      <c r="G27" s="122">
        <v>0</v>
      </c>
      <c r="H27" s="122">
        <v>0</v>
      </c>
      <c r="I27" s="122">
        <v>0</v>
      </c>
      <c r="J27" s="122">
        <v>0</v>
      </c>
      <c r="K27" s="122">
        <v>0</v>
      </c>
      <c r="L27" s="122">
        <v>0</v>
      </c>
      <c r="M27" s="122">
        <v>0</v>
      </c>
      <c r="N27" s="122">
        <v>0</v>
      </c>
      <c r="O27" s="122">
        <v>0</v>
      </c>
      <c r="P27" s="120">
        <v>0</v>
      </c>
      <c r="Q27" s="122">
        <v>0</v>
      </c>
      <c r="R27" s="122">
        <v>0</v>
      </c>
      <c r="S27" s="122">
        <v>0</v>
      </c>
      <c r="T27" s="122">
        <f>T24</f>
        <v>2.1240000000000001</v>
      </c>
      <c r="U27" s="122">
        <v>0</v>
      </c>
      <c r="V27" s="122">
        <f>V24</f>
        <v>2.1240000000000001</v>
      </c>
      <c r="W27" s="122">
        <v>0</v>
      </c>
      <c r="X27" s="122">
        <f>X24</f>
        <v>5.6334891111023833</v>
      </c>
      <c r="Y27" s="122">
        <v>0</v>
      </c>
      <c r="Z27" s="122">
        <f>Z24</f>
        <v>5.6334891111023833</v>
      </c>
      <c r="AA27" s="122">
        <v>0</v>
      </c>
      <c r="AB27" s="120">
        <f t="shared" si="6"/>
        <v>7.7574891111023838</v>
      </c>
      <c r="AC27" s="120">
        <f t="shared" si="7"/>
        <v>7.7574891111023838</v>
      </c>
    </row>
    <row r="28" spans="1:32" x14ac:dyDescent="0.25">
      <c r="A28" s="57" t="s">
        <v>171</v>
      </c>
      <c r="B28" s="33" t="s">
        <v>539</v>
      </c>
      <c r="C28" s="120">
        <v>0</v>
      </c>
      <c r="D28" s="120">
        <v>0</v>
      </c>
      <c r="E28" s="120">
        <f t="shared" si="3"/>
        <v>0</v>
      </c>
      <c r="F28" s="120">
        <f t="shared" si="4"/>
        <v>0</v>
      </c>
      <c r="G28" s="122">
        <v>0</v>
      </c>
      <c r="H28" s="122">
        <v>0</v>
      </c>
      <c r="I28" s="122">
        <v>0</v>
      </c>
      <c r="J28" s="122">
        <v>0</v>
      </c>
      <c r="K28" s="122">
        <v>0</v>
      </c>
      <c r="L28" s="122">
        <v>0</v>
      </c>
      <c r="M28" s="122">
        <v>0</v>
      </c>
      <c r="N28" s="122">
        <v>0</v>
      </c>
      <c r="O28" s="122">
        <v>0</v>
      </c>
      <c r="P28" s="120">
        <v>0</v>
      </c>
      <c r="Q28" s="122">
        <v>0</v>
      </c>
      <c r="R28" s="122">
        <v>0</v>
      </c>
      <c r="S28" s="122">
        <v>0</v>
      </c>
      <c r="T28" s="122">
        <v>0</v>
      </c>
      <c r="U28" s="122">
        <v>0</v>
      </c>
      <c r="V28" s="122">
        <v>0</v>
      </c>
      <c r="W28" s="122">
        <v>0</v>
      </c>
      <c r="X28" s="122">
        <v>0</v>
      </c>
      <c r="Y28" s="122">
        <v>0</v>
      </c>
      <c r="Z28" s="122">
        <v>0</v>
      </c>
      <c r="AA28" s="122">
        <v>0</v>
      </c>
      <c r="AB28" s="120">
        <f t="shared" si="6"/>
        <v>0</v>
      </c>
      <c r="AC28" s="120">
        <f t="shared" si="7"/>
        <v>0</v>
      </c>
    </row>
    <row r="29" spans="1:32" x14ac:dyDescent="0.25">
      <c r="A29" s="57" t="s">
        <v>169</v>
      </c>
      <c r="B29" s="61" t="s">
        <v>168</v>
      </c>
      <c r="C29" s="120">
        <v>0</v>
      </c>
      <c r="D29" s="120">
        <v>0</v>
      </c>
      <c r="E29" s="120">
        <f t="shared" si="3"/>
        <v>0</v>
      </c>
      <c r="F29" s="120">
        <f t="shared" si="4"/>
        <v>0</v>
      </c>
      <c r="G29" s="122">
        <v>0</v>
      </c>
      <c r="H29" s="122">
        <f>'6.2. Паспорт фин осв ввод факт'!T29</f>
        <v>0</v>
      </c>
      <c r="I29" s="122">
        <v>0</v>
      </c>
      <c r="J29" s="122">
        <v>0</v>
      </c>
      <c r="K29" s="122">
        <v>0</v>
      </c>
      <c r="L29" s="122">
        <f>'6.2. Паспорт фин осв ввод факт'!X29</f>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0">
        <f t="shared" si="6"/>
        <v>0</v>
      </c>
      <c r="AC29" s="120">
        <f t="shared" si="7"/>
        <v>0</v>
      </c>
    </row>
    <row r="30" spans="1:32" s="346" customFormat="1" ht="47.25" x14ac:dyDescent="0.25">
      <c r="A30" s="60" t="s">
        <v>61</v>
      </c>
      <c r="B30" s="59" t="s">
        <v>167</v>
      </c>
      <c r="C30" s="120">
        <f>SUM(C31:C34)</f>
        <v>6.4645742592519868</v>
      </c>
      <c r="D30" s="120">
        <f>SUM(D31:D34)</f>
        <v>6.4645742592519868</v>
      </c>
      <c r="E30" s="120">
        <f t="shared" ref="E30:F30" si="8">SUM(E31:E34)</f>
        <v>6.4645742592519868</v>
      </c>
      <c r="F30" s="120">
        <f t="shared" si="8"/>
        <v>6.4645742592519868</v>
      </c>
      <c r="G30" s="120">
        <f>SUM(G31:G34)</f>
        <v>0</v>
      </c>
      <c r="H30" s="120">
        <v>0</v>
      </c>
      <c r="I30" s="120">
        <v>0</v>
      </c>
      <c r="J30" s="120">
        <v>0</v>
      </c>
      <c r="K30" s="120">
        <v>0</v>
      </c>
      <c r="L30" s="120">
        <v>0</v>
      </c>
      <c r="M30" s="120">
        <v>0</v>
      </c>
      <c r="N30" s="120">
        <v>0</v>
      </c>
      <c r="O30" s="120">
        <v>0</v>
      </c>
      <c r="P30" s="120">
        <v>0</v>
      </c>
      <c r="Q30" s="120">
        <v>0</v>
      </c>
      <c r="R30" s="120">
        <v>0</v>
      </c>
      <c r="S30" s="120">
        <v>0</v>
      </c>
      <c r="T30" s="120">
        <f>T24/1.2</f>
        <v>1.7700000000000002</v>
      </c>
      <c r="U30" s="120">
        <v>0</v>
      </c>
      <c r="V30" s="120">
        <f>V24/1.2</f>
        <v>1.7700000000000002</v>
      </c>
      <c r="W30" s="120">
        <v>0</v>
      </c>
      <c r="X30" s="120">
        <f>C30-T30</f>
        <v>4.6945742592519863</v>
      </c>
      <c r="Y30" s="120">
        <v>0</v>
      </c>
      <c r="Z30" s="120">
        <f>E30-V30</f>
        <v>4.6945742592519863</v>
      </c>
      <c r="AA30" s="120">
        <v>0</v>
      </c>
      <c r="AB30" s="120">
        <f t="shared" si="6"/>
        <v>6.4645742592519868</v>
      </c>
      <c r="AC30" s="120">
        <f t="shared" si="7"/>
        <v>6.4645742592519868</v>
      </c>
    </row>
    <row r="31" spans="1:32" x14ac:dyDescent="0.25">
      <c r="A31" s="60" t="s">
        <v>166</v>
      </c>
      <c r="B31" s="33" t="s">
        <v>165</v>
      </c>
      <c r="C31" s="120">
        <f>'[2]Сводка затрат'!$D$21</f>
        <v>1.3152447360673798</v>
      </c>
      <c r="D31" s="120">
        <f>'[2]Сводка затрат'!$D$21</f>
        <v>1.3152447360673798</v>
      </c>
      <c r="E31" s="120">
        <f t="shared" ref="E31:E34" si="9">C31</f>
        <v>1.3152447360673798</v>
      </c>
      <c r="F31" s="120">
        <f>C31</f>
        <v>1.3152447360673798</v>
      </c>
      <c r="G31" s="122">
        <f>E31*0</f>
        <v>0</v>
      </c>
      <c r="H31" s="120">
        <v>0</v>
      </c>
      <c r="I31" s="122">
        <v>0</v>
      </c>
      <c r="J31" s="120">
        <v>0</v>
      </c>
      <c r="K31" s="122">
        <v>0</v>
      </c>
      <c r="L31" s="122">
        <f>'6.2. Паспорт фин осв ввод факт'!X31</f>
        <v>0</v>
      </c>
      <c r="M31" s="122">
        <v>0</v>
      </c>
      <c r="N31" s="120">
        <v>0</v>
      </c>
      <c r="O31" s="122">
        <v>0</v>
      </c>
      <c r="P31" s="120">
        <v>0</v>
      </c>
      <c r="Q31" s="122">
        <v>0</v>
      </c>
      <c r="R31" s="120">
        <v>0</v>
      </c>
      <c r="S31" s="122">
        <v>0</v>
      </c>
      <c r="T31" s="122">
        <f>C31</f>
        <v>1.3152447360673798</v>
      </c>
      <c r="U31" s="122">
        <v>0</v>
      </c>
      <c r="V31" s="122">
        <f>E31</f>
        <v>1.3152447360673798</v>
      </c>
      <c r="W31" s="122">
        <v>0</v>
      </c>
      <c r="X31" s="120">
        <f>C31-T31</f>
        <v>0</v>
      </c>
      <c r="Y31" s="122">
        <v>0</v>
      </c>
      <c r="Z31" s="120">
        <f>E31-V31</f>
        <v>0</v>
      </c>
      <c r="AA31" s="122">
        <v>0</v>
      </c>
      <c r="AB31" s="120">
        <f t="shared" si="6"/>
        <v>1.3152447360673798</v>
      </c>
      <c r="AC31" s="120">
        <f t="shared" si="7"/>
        <v>1.3152447360673798</v>
      </c>
    </row>
    <row r="32" spans="1:32" ht="31.5" x14ac:dyDescent="0.25">
      <c r="A32" s="60" t="s">
        <v>164</v>
      </c>
      <c r="B32" s="33" t="s">
        <v>163</v>
      </c>
      <c r="C32" s="120">
        <f>'[2]Сводка затрат'!$E$21</f>
        <v>0.7752482171944991</v>
      </c>
      <c r="D32" s="120">
        <f>'[2]Сводка затрат'!$E$21</f>
        <v>0.7752482171944991</v>
      </c>
      <c r="E32" s="120">
        <f t="shared" si="9"/>
        <v>0.7752482171944991</v>
      </c>
      <c r="F32" s="120">
        <f t="shared" si="4"/>
        <v>0.7752482171944991</v>
      </c>
      <c r="G32" s="122">
        <v>0</v>
      </c>
      <c r="H32" s="120">
        <v>0</v>
      </c>
      <c r="I32" s="122">
        <v>0</v>
      </c>
      <c r="J32" s="120">
        <v>0</v>
      </c>
      <c r="K32" s="122">
        <v>0</v>
      </c>
      <c r="L32" s="122">
        <v>0</v>
      </c>
      <c r="M32" s="122">
        <v>0</v>
      </c>
      <c r="N32" s="120">
        <v>0</v>
      </c>
      <c r="O32" s="122">
        <v>0</v>
      </c>
      <c r="P32" s="120">
        <v>0</v>
      </c>
      <c r="Q32" s="122">
        <v>0</v>
      </c>
      <c r="R32" s="120">
        <v>0</v>
      </c>
      <c r="S32" s="122">
        <v>0</v>
      </c>
      <c r="T32" s="122">
        <v>0</v>
      </c>
      <c r="U32" s="122">
        <v>0</v>
      </c>
      <c r="V32" s="122">
        <v>0</v>
      </c>
      <c r="W32" s="122">
        <v>0</v>
      </c>
      <c r="X32" s="120">
        <f>C32-T32</f>
        <v>0.7752482171944991</v>
      </c>
      <c r="Y32" s="122">
        <v>0</v>
      </c>
      <c r="Z32" s="120">
        <f>E32-V32</f>
        <v>0.7752482171944991</v>
      </c>
      <c r="AA32" s="122">
        <v>0</v>
      </c>
      <c r="AB32" s="120">
        <f t="shared" si="6"/>
        <v>0.7752482171944991</v>
      </c>
      <c r="AC32" s="120">
        <f t="shared" si="7"/>
        <v>0.7752482171944991</v>
      </c>
    </row>
    <row r="33" spans="1:29" x14ac:dyDescent="0.25">
      <c r="A33" s="60" t="s">
        <v>162</v>
      </c>
      <c r="B33" s="33" t="s">
        <v>161</v>
      </c>
      <c r="C33" s="120">
        <f>'[2]Сводка затрат'!$F$21</f>
        <v>4.3638802015715239</v>
      </c>
      <c r="D33" s="120">
        <f>'[2]Сводка затрат'!$F$21</f>
        <v>4.3638802015715239</v>
      </c>
      <c r="E33" s="120">
        <f t="shared" si="9"/>
        <v>4.3638802015715239</v>
      </c>
      <c r="F33" s="120">
        <f t="shared" si="4"/>
        <v>4.3638802015715239</v>
      </c>
      <c r="G33" s="122">
        <v>0</v>
      </c>
      <c r="H33" s="120">
        <v>0</v>
      </c>
      <c r="I33" s="122">
        <v>0</v>
      </c>
      <c r="J33" s="120">
        <v>0</v>
      </c>
      <c r="K33" s="122">
        <v>0</v>
      </c>
      <c r="L33" s="122">
        <v>0</v>
      </c>
      <c r="M33" s="122">
        <v>0</v>
      </c>
      <c r="N33" s="120">
        <v>0</v>
      </c>
      <c r="O33" s="122">
        <v>0</v>
      </c>
      <c r="P33" s="120">
        <v>0</v>
      </c>
      <c r="Q33" s="122">
        <v>0</v>
      </c>
      <c r="R33" s="120">
        <v>0</v>
      </c>
      <c r="S33" s="122">
        <v>0</v>
      </c>
      <c r="T33" s="122">
        <f>T30-T31</f>
        <v>0.45475526393262045</v>
      </c>
      <c r="U33" s="122">
        <v>0</v>
      </c>
      <c r="V33" s="122">
        <f>V30-V31</f>
        <v>0.45475526393262045</v>
      </c>
      <c r="W33" s="122">
        <v>0</v>
      </c>
      <c r="X33" s="120">
        <f>C33-T33</f>
        <v>3.9091249376389037</v>
      </c>
      <c r="Y33" s="122">
        <v>0</v>
      </c>
      <c r="Z33" s="120">
        <f>E33-V33</f>
        <v>3.9091249376389037</v>
      </c>
      <c r="AA33" s="122">
        <v>0</v>
      </c>
      <c r="AB33" s="120">
        <f t="shared" si="6"/>
        <v>4.3638802015715239</v>
      </c>
      <c r="AC33" s="120">
        <f t="shared" si="7"/>
        <v>4.3638802015715239</v>
      </c>
    </row>
    <row r="34" spans="1:29" x14ac:dyDescent="0.25">
      <c r="A34" s="60" t="s">
        <v>160</v>
      </c>
      <c r="B34" s="33" t="s">
        <v>159</v>
      </c>
      <c r="C34" s="120">
        <f>'[2]Сводка затрат'!$G$21+'[2]Сводка затрат'!$H$21</f>
        <v>1.0201104418583393E-2</v>
      </c>
      <c r="D34" s="120">
        <f>'[2]Сводка затрат'!$G$21+'[2]Сводка затрат'!$H$21</f>
        <v>1.0201104418583393E-2</v>
      </c>
      <c r="E34" s="120">
        <f t="shared" si="9"/>
        <v>1.0201104418583393E-2</v>
      </c>
      <c r="F34" s="120">
        <f t="shared" si="4"/>
        <v>1.0201104418583393E-2</v>
      </c>
      <c r="G34" s="122">
        <v>0</v>
      </c>
      <c r="H34" s="120">
        <v>0</v>
      </c>
      <c r="I34" s="122">
        <v>0</v>
      </c>
      <c r="J34" s="120">
        <v>0</v>
      </c>
      <c r="K34" s="122">
        <v>0</v>
      </c>
      <c r="L34" s="122">
        <v>0</v>
      </c>
      <c r="M34" s="122">
        <v>0</v>
      </c>
      <c r="N34" s="120">
        <v>0</v>
      </c>
      <c r="O34" s="122">
        <v>0</v>
      </c>
      <c r="P34" s="120">
        <v>0</v>
      </c>
      <c r="Q34" s="122">
        <v>0</v>
      </c>
      <c r="R34" s="120">
        <v>0</v>
      </c>
      <c r="S34" s="122">
        <v>0</v>
      </c>
      <c r="T34" s="122">
        <v>0</v>
      </c>
      <c r="U34" s="122">
        <v>0</v>
      </c>
      <c r="V34" s="122">
        <v>0</v>
      </c>
      <c r="W34" s="122">
        <v>0</v>
      </c>
      <c r="X34" s="120">
        <f>C34-T34</f>
        <v>1.0201104418583393E-2</v>
      </c>
      <c r="Y34" s="122">
        <v>0</v>
      </c>
      <c r="Z34" s="120">
        <f>E34-V34</f>
        <v>1.0201104418583393E-2</v>
      </c>
      <c r="AA34" s="122">
        <v>0</v>
      </c>
      <c r="AB34" s="120">
        <f t="shared" si="6"/>
        <v>1.0201104418583393E-2</v>
      </c>
      <c r="AC34" s="120">
        <f t="shared" si="7"/>
        <v>1.0201104418583393E-2</v>
      </c>
    </row>
    <row r="35" spans="1:29" s="346" customFormat="1" ht="31.5" x14ac:dyDescent="0.25">
      <c r="A35" s="60" t="s">
        <v>60</v>
      </c>
      <c r="B35" s="59" t="s">
        <v>158</v>
      </c>
      <c r="C35" s="120">
        <f>'6.2. Паспорт фин осв ввод факт'!C35</f>
        <v>0</v>
      </c>
      <c r="D35" s="120">
        <f>'6.2. Паспорт фин осв ввод факт'!D35</f>
        <v>0</v>
      </c>
      <c r="E35" s="120">
        <f>C35</f>
        <v>0</v>
      </c>
      <c r="F35" s="120">
        <f t="shared" si="4"/>
        <v>0</v>
      </c>
      <c r="G35" s="122">
        <v>0</v>
      </c>
      <c r="H35" s="120">
        <f>C35</f>
        <v>0</v>
      </c>
      <c r="I35" s="120">
        <v>0</v>
      </c>
      <c r="J35" s="120">
        <v>0</v>
      </c>
      <c r="K35" s="120">
        <v>0</v>
      </c>
      <c r="L35" s="120">
        <v>0</v>
      </c>
      <c r="M35" s="120">
        <v>0</v>
      </c>
      <c r="N35" s="120">
        <v>0</v>
      </c>
      <c r="O35" s="120">
        <v>0</v>
      </c>
      <c r="P35" s="120">
        <v>0</v>
      </c>
      <c r="Q35" s="120">
        <v>0</v>
      </c>
      <c r="R35" s="120">
        <v>0</v>
      </c>
      <c r="S35" s="120">
        <v>0</v>
      </c>
      <c r="T35" s="120">
        <v>0</v>
      </c>
      <c r="U35" s="120">
        <v>0</v>
      </c>
      <c r="V35" s="120">
        <v>0</v>
      </c>
      <c r="W35" s="120">
        <v>0</v>
      </c>
      <c r="X35" s="120">
        <f>C35</f>
        <v>0</v>
      </c>
      <c r="Y35" s="120">
        <v>0</v>
      </c>
      <c r="Z35" s="120">
        <f>E35</f>
        <v>0</v>
      </c>
      <c r="AA35" s="120">
        <v>0</v>
      </c>
      <c r="AB35" s="120">
        <f t="shared" si="6"/>
        <v>0</v>
      </c>
      <c r="AC35" s="120">
        <f t="shared" si="7"/>
        <v>0</v>
      </c>
    </row>
    <row r="36" spans="1:29" ht="31.5" x14ac:dyDescent="0.25">
      <c r="A36" s="57" t="s">
        <v>157</v>
      </c>
      <c r="B36" s="212" t="s">
        <v>156</v>
      </c>
      <c r="C36" s="120">
        <f>'6.2. Паспорт фин осв ввод факт'!C36</f>
        <v>0</v>
      </c>
      <c r="D36" s="120">
        <f>'6.2. Паспорт фин осв ввод факт'!D36</f>
        <v>0</v>
      </c>
      <c r="E36" s="120">
        <f t="shared" ref="E36:E64" si="10">C36</f>
        <v>0</v>
      </c>
      <c r="F36" s="120">
        <f t="shared" si="4"/>
        <v>0</v>
      </c>
      <c r="G36" s="122">
        <v>0</v>
      </c>
      <c r="H36" s="120">
        <f>C36</f>
        <v>0</v>
      </c>
      <c r="I36" s="122">
        <v>0</v>
      </c>
      <c r="J36" s="120">
        <v>0</v>
      </c>
      <c r="K36" s="122">
        <v>0</v>
      </c>
      <c r="L36" s="122">
        <v>0</v>
      </c>
      <c r="M36" s="122">
        <v>0</v>
      </c>
      <c r="N36" s="120">
        <v>0</v>
      </c>
      <c r="O36" s="122">
        <v>0</v>
      </c>
      <c r="P36" s="122">
        <v>0</v>
      </c>
      <c r="Q36" s="122">
        <v>0</v>
      </c>
      <c r="R36" s="120">
        <v>0</v>
      </c>
      <c r="S36" s="122">
        <v>0</v>
      </c>
      <c r="T36" s="122">
        <v>0</v>
      </c>
      <c r="U36" s="122">
        <v>0</v>
      </c>
      <c r="V36" s="122">
        <v>0</v>
      </c>
      <c r="W36" s="122">
        <v>0</v>
      </c>
      <c r="X36" s="120">
        <f t="shared" ref="X36:X64" si="11">C36-T36</f>
        <v>0</v>
      </c>
      <c r="Y36" s="122">
        <v>0</v>
      </c>
      <c r="Z36" s="120">
        <f t="shared" ref="Z36:Z64" si="12">E36-V36</f>
        <v>0</v>
      </c>
      <c r="AA36" s="122">
        <v>0</v>
      </c>
      <c r="AB36" s="120">
        <f t="shared" si="6"/>
        <v>0</v>
      </c>
      <c r="AC36" s="120">
        <f t="shared" si="7"/>
        <v>0</v>
      </c>
    </row>
    <row r="37" spans="1:29" x14ac:dyDescent="0.25">
      <c r="A37" s="57" t="s">
        <v>155</v>
      </c>
      <c r="B37" s="212" t="s">
        <v>145</v>
      </c>
      <c r="C37" s="120">
        <v>0.8</v>
      </c>
      <c r="D37" s="120">
        <v>0.8</v>
      </c>
      <c r="E37" s="120">
        <f t="shared" si="10"/>
        <v>0.8</v>
      </c>
      <c r="F37" s="120">
        <f t="shared" si="4"/>
        <v>0.8</v>
      </c>
      <c r="G37" s="122">
        <v>0</v>
      </c>
      <c r="H37" s="120">
        <v>0</v>
      </c>
      <c r="I37" s="122">
        <v>0</v>
      </c>
      <c r="J37" s="120">
        <v>0</v>
      </c>
      <c r="K37" s="122">
        <v>0</v>
      </c>
      <c r="L37" s="122">
        <v>0</v>
      </c>
      <c r="M37" s="122">
        <v>0</v>
      </c>
      <c r="N37" s="120">
        <v>0</v>
      </c>
      <c r="O37" s="122">
        <v>0</v>
      </c>
      <c r="P37" s="122">
        <v>0</v>
      </c>
      <c r="Q37" s="122">
        <v>0</v>
      </c>
      <c r="R37" s="120">
        <v>0</v>
      </c>
      <c r="S37" s="122">
        <v>0</v>
      </c>
      <c r="T37" s="122">
        <v>0</v>
      </c>
      <c r="U37" s="122">
        <v>0</v>
      </c>
      <c r="V37" s="122">
        <v>0</v>
      </c>
      <c r="W37" s="122">
        <v>0</v>
      </c>
      <c r="X37" s="120">
        <f t="shared" si="11"/>
        <v>0.8</v>
      </c>
      <c r="Y37" s="122">
        <v>0</v>
      </c>
      <c r="Z37" s="120">
        <f t="shared" si="12"/>
        <v>0.8</v>
      </c>
      <c r="AA37" s="122">
        <v>0</v>
      </c>
      <c r="AB37" s="120">
        <f t="shared" si="6"/>
        <v>0.8</v>
      </c>
      <c r="AC37" s="120">
        <f t="shared" si="7"/>
        <v>0.8</v>
      </c>
    </row>
    <row r="38" spans="1:29" x14ac:dyDescent="0.25">
      <c r="A38" s="57" t="s">
        <v>154</v>
      </c>
      <c r="B38" s="212" t="s">
        <v>143</v>
      </c>
      <c r="C38" s="120">
        <f>'6.2. Паспорт фин осв ввод факт'!C38</f>
        <v>0</v>
      </c>
      <c r="D38" s="120">
        <f>'6.2. Паспорт фин осв ввод факт'!D38</f>
        <v>0</v>
      </c>
      <c r="E38" s="120">
        <f t="shared" si="10"/>
        <v>0</v>
      </c>
      <c r="F38" s="120">
        <f t="shared" si="4"/>
        <v>0</v>
      </c>
      <c r="G38" s="122">
        <v>0</v>
      </c>
      <c r="H38" s="120">
        <f>C38</f>
        <v>0</v>
      </c>
      <c r="I38" s="122">
        <v>0</v>
      </c>
      <c r="J38" s="120">
        <v>0</v>
      </c>
      <c r="K38" s="122">
        <v>0</v>
      </c>
      <c r="L38" s="122">
        <v>0</v>
      </c>
      <c r="M38" s="122">
        <v>0</v>
      </c>
      <c r="N38" s="120">
        <v>0</v>
      </c>
      <c r="O38" s="122">
        <v>0</v>
      </c>
      <c r="P38" s="122">
        <f t="shared" ref="P38:P63" si="13">C38</f>
        <v>0</v>
      </c>
      <c r="Q38" s="122">
        <v>0</v>
      </c>
      <c r="R38" s="120">
        <v>0</v>
      </c>
      <c r="S38" s="122">
        <v>0</v>
      </c>
      <c r="T38" s="122">
        <v>0</v>
      </c>
      <c r="U38" s="122">
        <v>0</v>
      </c>
      <c r="V38" s="122">
        <v>0</v>
      </c>
      <c r="W38" s="122">
        <v>0</v>
      </c>
      <c r="X38" s="120">
        <f t="shared" si="11"/>
        <v>0</v>
      </c>
      <c r="Y38" s="122">
        <v>0</v>
      </c>
      <c r="Z38" s="120">
        <f t="shared" si="12"/>
        <v>0</v>
      </c>
      <c r="AA38" s="122">
        <v>0</v>
      </c>
      <c r="AB38" s="120">
        <f t="shared" si="6"/>
        <v>0</v>
      </c>
      <c r="AC38" s="120">
        <f t="shared" si="7"/>
        <v>0</v>
      </c>
    </row>
    <row r="39" spans="1:29" ht="31.5" x14ac:dyDescent="0.25">
      <c r="A39" s="57" t="s">
        <v>153</v>
      </c>
      <c r="B39" s="33" t="s">
        <v>141</v>
      </c>
      <c r="C39" s="120">
        <f>'6.2. Паспорт фин осв ввод факт'!C39</f>
        <v>0</v>
      </c>
      <c r="D39" s="120">
        <f>'6.2. Паспорт фин осв ввод факт'!D39</f>
        <v>0</v>
      </c>
      <c r="E39" s="120">
        <f t="shared" si="10"/>
        <v>0</v>
      </c>
      <c r="F39" s="120">
        <f t="shared" si="4"/>
        <v>0</v>
      </c>
      <c r="G39" s="122">
        <v>0</v>
      </c>
      <c r="H39" s="120">
        <f>C39</f>
        <v>0</v>
      </c>
      <c r="I39" s="122">
        <v>0</v>
      </c>
      <c r="J39" s="120">
        <v>0</v>
      </c>
      <c r="K39" s="122">
        <v>0</v>
      </c>
      <c r="L39" s="122">
        <v>0</v>
      </c>
      <c r="M39" s="122">
        <v>0</v>
      </c>
      <c r="N39" s="120">
        <v>0</v>
      </c>
      <c r="O39" s="122">
        <v>0</v>
      </c>
      <c r="P39" s="122">
        <f t="shared" si="13"/>
        <v>0</v>
      </c>
      <c r="Q39" s="122">
        <v>0</v>
      </c>
      <c r="R39" s="120">
        <v>0</v>
      </c>
      <c r="S39" s="122">
        <v>0</v>
      </c>
      <c r="T39" s="122">
        <v>0</v>
      </c>
      <c r="U39" s="122">
        <v>0</v>
      </c>
      <c r="V39" s="122">
        <v>0</v>
      </c>
      <c r="W39" s="122">
        <v>0</v>
      </c>
      <c r="X39" s="120">
        <f t="shared" si="11"/>
        <v>0</v>
      </c>
      <c r="Y39" s="122">
        <v>0</v>
      </c>
      <c r="Z39" s="120">
        <f t="shared" si="12"/>
        <v>0</v>
      </c>
      <c r="AA39" s="122">
        <v>0</v>
      </c>
      <c r="AB39" s="120">
        <f t="shared" si="6"/>
        <v>0</v>
      </c>
      <c r="AC39" s="120">
        <f t="shared" si="7"/>
        <v>0</v>
      </c>
    </row>
    <row r="40" spans="1:29" ht="31.5" x14ac:dyDescent="0.25">
      <c r="A40" s="57" t="s">
        <v>152</v>
      </c>
      <c r="B40" s="33" t="s">
        <v>139</v>
      </c>
      <c r="C40" s="120">
        <f>'6.2. Паспорт фин осв ввод факт'!C40</f>
        <v>0</v>
      </c>
      <c r="D40" s="120">
        <f>'6.2. Паспорт фин осв ввод факт'!D40</f>
        <v>0</v>
      </c>
      <c r="E40" s="120">
        <f t="shared" si="10"/>
        <v>0</v>
      </c>
      <c r="F40" s="120">
        <f t="shared" si="4"/>
        <v>0</v>
      </c>
      <c r="G40" s="122">
        <v>0</v>
      </c>
      <c r="H40" s="120">
        <f>C40</f>
        <v>0</v>
      </c>
      <c r="I40" s="122">
        <v>0</v>
      </c>
      <c r="J40" s="120">
        <v>0</v>
      </c>
      <c r="K40" s="122">
        <v>0</v>
      </c>
      <c r="L40" s="122">
        <v>0</v>
      </c>
      <c r="M40" s="122">
        <v>0</v>
      </c>
      <c r="N40" s="120">
        <v>0</v>
      </c>
      <c r="O40" s="122">
        <v>0</v>
      </c>
      <c r="P40" s="122">
        <f t="shared" si="13"/>
        <v>0</v>
      </c>
      <c r="Q40" s="122">
        <v>0</v>
      </c>
      <c r="R40" s="120">
        <v>0</v>
      </c>
      <c r="S40" s="122">
        <v>0</v>
      </c>
      <c r="T40" s="122">
        <v>0</v>
      </c>
      <c r="U40" s="122">
        <v>0</v>
      </c>
      <c r="V40" s="122">
        <v>0</v>
      </c>
      <c r="W40" s="122">
        <v>0</v>
      </c>
      <c r="X40" s="120">
        <f t="shared" si="11"/>
        <v>0</v>
      </c>
      <c r="Y40" s="122">
        <v>0</v>
      </c>
      <c r="Z40" s="120">
        <f t="shared" si="12"/>
        <v>0</v>
      </c>
      <c r="AA40" s="122">
        <v>0</v>
      </c>
      <c r="AB40" s="120">
        <f t="shared" si="6"/>
        <v>0</v>
      </c>
      <c r="AC40" s="120">
        <f t="shared" si="7"/>
        <v>0</v>
      </c>
    </row>
    <row r="41" spans="1:29" x14ac:dyDescent="0.25">
      <c r="A41" s="57" t="s">
        <v>151</v>
      </c>
      <c r="B41" s="33" t="s">
        <v>137</v>
      </c>
      <c r="C41" s="120">
        <f>'6.2. Паспорт фин осв ввод факт'!C41</f>
        <v>0</v>
      </c>
      <c r="D41" s="120">
        <f>'6.2. Паспорт фин осв ввод факт'!D41</f>
        <v>0</v>
      </c>
      <c r="E41" s="120">
        <f t="shared" si="10"/>
        <v>0</v>
      </c>
      <c r="F41" s="120">
        <f t="shared" si="4"/>
        <v>0</v>
      </c>
      <c r="G41" s="122">
        <v>0</v>
      </c>
      <c r="H41" s="120">
        <f>C41</f>
        <v>0</v>
      </c>
      <c r="I41" s="122">
        <v>0</v>
      </c>
      <c r="J41" s="120">
        <v>0</v>
      </c>
      <c r="K41" s="122">
        <v>0</v>
      </c>
      <c r="L41" s="122">
        <v>0</v>
      </c>
      <c r="M41" s="122">
        <v>0</v>
      </c>
      <c r="N41" s="120">
        <v>0</v>
      </c>
      <c r="O41" s="122">
        <v>0</v>
      </c>
      <c r="P41" s="122">
        <f t="shared" si="13"/>
        <v>0</v>
      </c>
      <c r="Q41" s="122">
        <v>0</v>
      </c>
      <c r="R41" s="120">
        <v>0</v>
      </c>
      <c r="S41" s="122">
        <v>0</v>
      </c>
      <c r="T41" s="122">
        <v>0</v>
      </c>
      <c r="U41" s="122">
        <v>0</v>
      </c>
      <c r="V41" s="122">
        <v>0</v>
      </c>
      <c r="W41" s="122">
        <v>0</v>
      </c>
      <c r="X41" s="120">
        <f t="shared" si="11"/>
        <v>0</v>
      </c>
      <c r="Y41" s="122">
        <v>0</v>
      </c>
      <c r="Z41" s="120">
        <f t="shared" si="12"/>
        <v>0</v>
      </c>
      <c r="AA41" s="122">
        <v>0</v>
      </c>
      <c r="AB41" s="120">
        <f t="shared" si="6"/>
        <v>0</v>
      </c>
      <c r="AC41" s="120">
        <f t="shared" si="7"/>
        <v>0</v>
      </c>
    </row>
    <row r="42" spans="1:29" ht="18.75" x14ac:dyDescent="0.25">
      <c r="A42" s="57" t="s">
        <v>150</v>
      </c>
      <c r="B42" s="212" t="s">
        <v>546</v>
      </c>
      <c r="C42" s="120">
        <v>5</v>
      </c>
      <c r="D42" s="120">
        <v>5</v>
      </c>
      <c r="E42" s="120">
        <f t="shared" si="10"/>
        <v>5</v>
      </c>
      <c r="F42" s="120">
        <f t="shared" si="4"/>
        <v>5</v>
      </c>
      <c r="G42" s="122">
        <v>0</v>
      </c>
      <c r="H42" s="120">
        <v>0</v>
      </c>
      <c r="I42" s="122">
        <v>0</v>
      </c>
      <c r="J42" s="120">
        <v>0</v>
      </c>
      <c r="K42" s="122">
        <v>0</v>
      </c>
      <c r="L42" s="122">
        <v>0</v>
      </c>
      <c r="M42" s="122">
        <v>0</v>
      </c>
      <c r="N42" s="120">
        <v>0</v>
      </c>
      <c r="O42" s="122">
        <v>0</v>
      </c>
      <c r="P42" s="122">
        <v>0</v>
      </c>
      <c r="Q42" s="122">
        <v>0</v>
      </c>
      <c r="R42" s="120">
        <v>0</v>
      </c>
      <c r="S42" s="122">
        <v>0</v>
      </c>
      <c r="T42" s="122">
        <v>0</v>
      </c>
      <c r="U42" s="122">
        <v>0</v>
      </c>
      <c r="V42" s="122">
        <v>0</v>
      </c>
      <c r="W42" s="122">
        <v>0</v>
      </c>
      <c r="X42" s="120">
        <f t="shared" si="11"/>
        <v>5</v>
      </c>
      <c r="Y42" s="122">
        <v>0</v>
      </c>
      <c r="Z42" s="120">
        <f t="shared" si="12"/>
        <v>5</v>
      </c>
      <c r="AA42" s="122">
        <v>0</v>
      </c>
      <c r="AB42" s="120">
        <f t="shared" si="6"/>
        <v>5</v>
      </c>
      <c r="AC42" s="120">
        <f t="shared" si="7"/>
        <v>5</v>
      </c>
    </row>
    <row r="43" spans="1:29" s="346" customFormat="1" x14ac:dyDescent="0.25">
      <c r="A43" s="60" t="s">
        <v>59</v>
      </c>
      <c r="B43" s="59" t="s">
        <v>149</v>
      </c>
      <c r="C43" s="120">
        <f>'6.2. Паспорт фин осв ввод факт'!C43</f>
        <v>0</v>
      </c>
      <c r="D43" s="120">
        <f>'6.2. Паспорт фин осв ввод факт'!D43</f>
        <v>0</v>
      </c>
      <c r="E43" s="120">
        <f t="shared" si="10"/>
        <v>0</v>
      </c>
      <c r="F43" s="120">
        <f t="shared" si="4"/>
        <v>0</v>
      </c>
      <c r="G43" s="122">
        <v>0</v>
      </c>
      <c r="H43" s="120">
        <f>C43</f>
        <v>0</v>
      </c>
      <c r="I43" s="120">
        <v>0</v>
      </c>
      <c r="J43" s="120">
        <v>0</v>
      </c>
      <c r="K43" s="120">
        <v>0</v>
      </c>
      <c r="L43" s="120">
        <v>0</v>
      </c>
      <c r="M43" s="120">
        <v>0</v>
      </c>
      <c r="N43" s="120">
        <v>0</v>
      </c>
      <c r="O43" s="120">
        <v>0</v>
      </c>
      <c r="P43" s="122">
        <f t="shared" si="13"/>
        <v>0</v>
      </c>
      <c r="Q43" s="120">
        <v>0</v>
      </c>
      <c r="R43" s="120">
        <v>0</v>
      </c>
      <c r="S43" s="120">
        <v>0</v>
      </c>
      <c r="T43" s="120">
        <v>0</v>
      </c>
      <c r="U43" s="120">
        <v>0</v>
      </c>
      <c r="V43" s="120">
        <v>0</v>
      </c>
      <c r="W43" s="120">
        <v>0</v>
      </c>
      <c r="X43" s="120">
        <f t="shared" si="11"/>
        <v>0</v>
      </c>
      <c r="Y43" s="120">
        <v>0</v>
      </c>
      <c r="Z43" s="120">
        <f t="shared" si="12"/>
        <v>0</v>
      </c>
      <c r="AA43" s="120">
        <v>0</v>
      </c>
      <c r="AB43" s="120">
        <f t="shared" si="6"/>
        <v>0</v>
      </c>
      <c r="AC43" s="120">
        <f t="shared" si="7"/>
        <v>0</v>
      </c>
    </row>
    <row r="44" spans="1:29" x14ac:dyDescent="0.25">
      <c r="A44" s="57" t="s">
        <v>148</v>
      </c>
      <c r="B44" s="33" t="s">
        <v>147</v>
      </c>
      <c r="C44" s="120">
        <f>'6.2. Паспорт фин осв ввод факт'!C44</f>
        <v>0</v>
      </c>
      <c r="D44" s="120">
        <f>'6.2. Паспорт фин осв ввод факт'!D44</f>
        <v>0</v>
      </c>
      <c r="E44" s="120">
        <f t="shared" si="10"/>
        <v>0</v>
      </c>
      <c r="F44" s="120">
        <f t="shared" si="4"/>
        <v>0</v>
      </c>
      <c r="G44" s="122">
        <v>0</v>
      </c>
      <c r="H44" s="120">
        <f>C44</f>
        <v>0</v>
      </c>
      <c r="I44" s="122">
        <v>0</v>
      </c>
      <c r="J44" s="120">
        <v>0</v>
      </c>
      <c r="K44" s="122">
        <v>0</v>
      </c>
      <c r="L44" s="122">
        <f>'6.2. Паспорт фин осв ввод факт'!X44</f>
        <v>0</v>
      </c>
      <c r="M44" s="122">
        <v>0</v>
      </c>
      <c r="N44" s="120">
        <v>0</v>
      </c>
      <c r="O44" s="122">
        <v>0</v>
      </c>
      <c r="P44" s="122">
        <f>C44</f>
        <v>0</v>
      </c>
      <c r="Q44" s="122">
        <v>0</v>
      </c>
      <c r="R44" s="120">
        <v>0</v>
      </c>
      <c r="S44" s="122">
        <v>0</v>
      </c>
      <c r="T44" s="122">
        <v>0</v>
      </c>
      <c r="U44" s="122">
        <v>0</v>
      </c>
      <c r="V44" s="122">
        <v>0</v>
      </c>
      <c r="W44" s="122">
        <v>0</v>
      </c>
      <c r="X44" s="120">
        <f t="shared" si="11"/>
        <v>0</v>
      </c>
      <c r="Y44" s="122">
        <v>0</v>
      </c>
      <c r="Z44" s="120">
        <f t="shared" si="12"/>
        <v>0</v>
      </c>
      <c r="AA44" s="122">
        <v>0</v>
      </c>
      <c r="AB44" s="120">
        <f t="shared" si="6"/>
        <v>0</v>
      </c>
      <c r="AC44" s="120">
        <f t="shared" si="7"/>
        <v>0</v>
      </c>
    </row>
    <row r="45" spans="1:29" x14ac:dyDescent="0.25">
      <c r="A45" s="57" t="s">
        <v>146</v>
      </c>
      <c r="B45" s="33" t="s">
        <v>145</v>
      </c>
      <c r="C45" s="120">
        <f>C37</f>
        <v>0.8</v>
      </c>
      <c r="D45" s="120">
        <f>D37</f>
        <v>0.8</v>
      </c>
      <c r="E45" s="120">
        <f t="shared" si="10"/>
        <v>0.8</v>
      </c>
      <c r="F45" s="120">
        <f t="shared" si="4"/>
        <v>0.8</v>
      </c>
      <c r="G45" s="122">
        <v>0</v>
      </c>
      <c r="H45" s="120">
        <v>0</v>
      </c>
      <c r="I45" s="122">
        <v>0</v>
      </c>
      <c r="J45" s="120">
        <v>0</v>
      </c>
      <c r="K45" s="122">
        <v>0</v>
      </c>
      <c r="L45" s="122">
        <v>0</v>
      </c>
      <c r="M45" s="122">
        <v>0</v>
      </c>
      <c r="N45" s="120">
        <v>0</v>
      </c>
      <c r="O45" s="122">
        <v>0</v>
      </c>
      <c r="P45" s="122">
        <v>0</v>
      </c>
      <c r="Q45" s="122">
        <v>0</v>
      </c>
      <c r="R45" s="120">
        <v>0</v>
      </c>
      <c r="S45" s="122">
        <v>0</v>
      </c>
      <c r="T45" s="122">
        <v>0</v>
      </c>
      <c r="U45" s="122">
        <v>0</v>
      </c>
      <c r="V45" s="122">
        <v>0</v>
      </c>
      <c r="W45" s="122">
        <v>0</v>
      </c>
      <c r="X45" s="120">
        <f t="shared" si="11"/>
        <v>0.8</v>
      </c>
      <c r="Y45" s="122">
        <v>0</v>
      </c>
      <c r="Z45" s="120">
        <f t="shared" si="12"/>
        <v>0.8</v>
      </c>
      <c r="AA45" s="122">
        <v>0</v>
      </c>
      <c r="AB45" s="120">
        <f t="shared" si="6"/>
        <v>0.8</v>
      </c>
      <c r="AC45" s="120">
        <f t="shared" si="7"/>
        <v>0.8</v>
      </c>
    </row>
    <row r="46" spans="1:29" x14ac:dyDescent="0.25">
      <c r="A46" s="57" t="s">
        <v>144</v>
      </c>
      <c r="B46" s="33" t="s">
        <v>143</v>
      </c>
      <c r="C46" s="120">
        <f>'6.2. Паспорт фин осв ввод факт'!C46</f>
        <v>0</v>
      </c>
      <c r="D46" s="120">
        <f>'6.2. Паспорт фин осв ввод факт'!D46</f>
        <v>0</v>
      </c>
      <c r="E46" s="120">
        <f t="shared" si="10"/>
        <v>0</v>
      </c>
      <c r="F46" s="120">
        <f t="shared" si="4"/>
        <v>0</v>
      </c>
      <c r="G46" s="122">
        <v>0</v>
      </c>
      <c r="H46" s="120">
        <f>C46</f>
        <v>0</v>
      </c>
      <c r="I46" s="122">
        <v>0</v>
      </c>
      <c r="J46" s="120">
        <v>0</v>
      </c>
      <c r="K46" s="122">
        <v>0</v>
      </c>
      <c r="L46" s="122">
        <f>'6.2. Паспорт фин осв ввод факт'!X46</f>
        <v>0</v>
      </c>
      <c r="M46" s="122">
        <v>0</v>
      </c>
      <c r="N46" s="120">
        <v>0</v>
      </c>
      <c r="O46" s="122">
        <v>0</v>
      </c>
      <c r="P46" s="122">
        <f t="shared" si="13"/>
        <v>0</v>
      </c>
      <c r="Q46" s="122">
        <v>0</v>
      </c>
      <c r="R46" s="120">
        <v>0</v>
      </c>
      <c r="S46" s="122">
        <v>0</v>
      </c>
      <c r="T46" s="122">
        <v>0</v>
      </c>
      <c r="U46" s="122">
        <v>0</v>
      </c>
      <c r="V46" s="122">
        <v>0</v>
      </c>
      <c r="W46" s="122">
        <v>0</v>
      </c>
      <c r="X46" s="120">
        <f t="shared" si="11"/>
        <v>0</v>
      </c>
      <c r="Y46" s="122">
        <v>0</v>
      </c>
      <c r="Z46" s="120">
        <f t="shared" si="12"/>
        <v>0</v>
      </c>
      <c r="AA46" s="122">
        <v>0</v>
      </c>
      <c r="AB46" s="120">
        <f t="shared" si="6"/>
        <v>0</v>
      </c>
      <c r="AC46" s="120">
        <f t="shared" si="7"/>
        <v>0</v>
      </c>
    </row>
    <row r="47" spans="1:29" ht="31.5" x14ac:dyDescent="0.25">
      <c r="A47" s="57" t="s">
        <v>142</v>
      </c>
      <c r="B47" s="33" t="s">
        <v>141</v>
      </c>
      <c r="C47" s="120">
        <f>'6.2. Паспорт фин осв ввод факт'!C47</f>
        <v>0</v>
      </c>
      <c r="D47" s="120">
        <f>'6.2. Паспорт фин осв ввод факт'!D47</f>
        <v>0</v>
      </c>
      <c r="E47" s="120">
        <f t="shared" si="10"/>
        <v>0</v>
      </c>
      <c r="F47" s="120">
        <f t="shared" si="4"/>
        <v>0</v>
      </c>
      <c r="G47" s="122">
        <v>0</v>
      </c>
      <c r="H47" s="120">
        <f>C47</f>
        <v>0</v>
      </c>
      <c r="I47" s="122">
        <v>0</v>
      </c>
      <c r="J47" s="120">
        <v>0</v>
      </c>
      <c r="K47" s="122">
        <v>0</v>
      </c>
      <c r="L47" s="122">
        <f>'6.2. Паспорт фин осв ввод факт'!X47</f>
        <v>0</v>
      </c>
      <c r="M47" s="122">
        <v>0</v>
      </c>
      <c r="N47" s="120">
        <v>0</v>
      </c>
      <c r="O47" s="122">
        <v>0</v>
      </c>
      <c r="P47" s="122">
        <f t="shared" si="13"/>
        <v>0</v>
      </c>
      <c r="Q47" s="122">
        <v>0</v>
      </c>
      <c r="R47" s="120">
        <v>0</v>
      </c>
      <c r="S47" s="122">
        <v>0</v>
      </c>
      <c r="T47" s="122">
        <v>0</v>
      </c>
      <c r="U47" s="122">
        <v>0</v>
      </c>
      <c r="V47" s="122">
        <v>0</v>
      </c>
      <c r="W47" s="122">
        <v>0</v>
      </c>
      <c r="X47" s="120">
        <f t="shared" si="11"/>
        <v>0</v>
      </c>
      <c r="Y47" s="122">
        <v>0</v>
      </c>
      <c r="Z47" s="120">
        <f t="shared" si="12"/>
        <v>0</v>
      </c>
      <c r="AA47" s="122">
        <v>0</v>
      </c>
      <c r="AB47" s="120">
        <f t="shared" si="6"/>
        <v>0</v>
      </c>
      <c r="AC47" s="120">
        <f t="shared" si="7"/>
        <v>0</v>
      </c>
    </row>
    <row r="48" spans="1:29" ht="31.5" x14ac:dyDescent="0.25">
      <c r="A48" s="57" t="s">
        <v>140</v>
      </c>
      <c r="B48" s="33" t="s">
        <v>139</v>
      </c>
      <c r="C48" s="120">
        <f>'6.2. Паспорт фин осв ввод факт'!C48</f>
        <v>0</v>
      </c>
      <c r="D48" s="120">
        <f>'6.2. Паспорт фин осв ввод факт'!D48</f>
        <v>0</v>
      </c>
      <c r="E48" s="120">
        <f t="shared" si="10"/>
        <v>0</v>
      </c>
      <c r="F48" s="120">
        <f t="shared" si="4"/>
        <v>0</v>
      </c>
      <c r="G48" s="122">
        <v>0</v>
      </c>
      <c r="H48" s="120">
        <f>C48</f>
        <v>0</v>
      </c>
      <c r="I48" s="122">
        <v>0</v>
      </c>
      <c r="J48" s="120">
        <v>0</v>
      </c>
      <c r="K48" s="122">
        <v>0</v>
      </c>
      <c r="L48" s="122">
        <f>'6.2. Паспорт фин осв ввод факт'!X48</f>
        <v>0</v>
      </c>
      <c r="M48" s="122">
        <v>0</v>
      </c>
      <c r="N48" s="120">
        <v>0</v>
      </c>
      <c r="O48" s="122">
        <v>0</v>
      </c>
      <c r="P48" s="122">
        <f>C48</f>
        <v>0</v>
      </c>
      <c r="Q48" s="122">
        <v>0</v>
      </c>
      <c r="R48" s="120">
        <v>0</v>
      </c>
      <c r="S48" s="122">
        <v>0</v>
      </c>
      <c r="T48" s="122">
        <v>0</v>
      </c>
      <c r="U48" s="122">
        <v>0</v>
      </c>
      <c r="V48" s="122">
        <v>0</v>
      </c>
      <c r="W48" s="122">
        <v>0</v>
      </c>
      <c r="X48" s="120">
        <f t="shared" si="11"/>
        <v>0</v>
      </c>
      <c r="Y48" s="122">
        <v>0</v>
      </c>
      <c r="Z48" s="120">
        <f t="shared" si="12"/>
        <v>0</v>
      </c>
      <c r="AA48" s="122">
        <v>0</v>
      </c>
      <c r="AB48" s="120">
        <f t="shared" si="6"/>
        <v>0</v>
      </c>
      <c r="AC48" s="120">
        <f t="shared" si="7"/>
        <v>0</v>
      </c>
    </row>
    <row r="49" spans="1:29" x14ac:dyDescent="0.25">
      <c r="A49" s="57" t="s">
        <v>138</v>
      </c>
      <c r="B49" s="33" t="s">
        <v>137</v>
      </c>
      <c r="C49" s="120">
        <f>'6.2. Паспорт фин осв ввод факт'!C49</f>
        <v>0</v>
      </c>
      <c r="D49" s="120">
        <f>'6.2. Паспорт фин осв ввод факт'!D49</f>
        <v>0</v>
      </c>
      <c r="E49" s="120">
        <f t="shared" si="10"/>
        <v>0</v>
      </c>
      <c r="F49" s="120">
        <f t="shared" si="4"/>
        <v>0</v>
      </c>
      <c r="G49" s="122">
        <v>0</v>
      </c>
      <c r="H49" s="120">
        <f>C49</f>
        <v>0</v>
      </c>
      <c r="I49" s="122">
        <v>0</v>
      </c>
      <c r="J49" s="120">
        <v>0</v>
      </c>
      <c r="K49" s="122">
        <v>0</v>
      </c>
      <c r="L49" s="122">
        <f>'6.2. Паспорт фин осв ввод факт'!X49</f>
        <v>0</v>
      </c>
      <c r="M49" s="122">
        <v>0</v>
      </c>
      <c r="N49" s="120">
        <v>0</v>
      </c>
      <c r="O49" s="122">
        <v>0</v>
      </c>
      <c r="P49" s="122">
        <f t="shared" si="13"/>
        <v>0</v>
      </c>
      <c r="Q49" s="122">
        <v>0</v>
      </c>
      <c r="R49" s="120">
        <v>0</v>
      </c>
      <c r="S49" s="122">
        <v>0</v>
      </c>
      <c r="T49" s="122">
        <v>0</v>
      </c>
      <c r="U49" s="122">
        <v>0</v>
      </c>
      <c r="V49" s="122">
        <v>0</v>
      </c>
      <c r="W49" s="122">
        <v>0</v>
      </c>
      <c r="X49" s="120">
        <f t="shared" si="11"/>
        <v>0</v>
      </c>
      <c r="Y49" s="122">
        <v>0</v>
      </c>
      <c r="Z49" s="120">
        <f t="shared" si="12"/>
        <v>0</v>
      </c>
      <c r="AA49" s="122">
        <v>0</v>
      </c>
      <c r="AB49" s="120">
        <f t="shared" si="6"/>
        <v>0</v>
      </c>
      <c r="AC49" s="120">
        <f t="shared" si="7"/>
        <v>0</v>
      </c>
    </row>
    <row r="50" spans="1:29" ht="18.75" x14ac:dyDescent="0.25">
      <c r="A50" s="57" t="s">
        <v>136</v>
      </c>
      <c r="B50" s="212" t="s">
        <v>546</v>
      </c>
      <c r="C50" s="120">
        <f>C42</f>
        <v>5</v>
      </c>
      <c r="D50" s="120">
        <f>D42</f>
        <v>5</v>
      </c>
      <c r="E50" s="120">
        <f t="shared" si="10"/>
        <v>5</v>
      </c>
      <c r="F50" s="120">
        <f t="shared" si="4"/>
        <v>5</v>
      </c>
      <c r="G50" s="122">
        <v>0</v>
      </c>
      <c r="H50" s="120">
        <v>0</v>
      </c>
      <c r="I50" s="122">
        <v>0</v>
      </c>
      <c r="J50" s="120">
        <v>0</v>
      </c>
      <c r="K50" s="122">
        <v>0</v>
      </c>
      <c r="L50" s="122">
        <v>9</v>
      </c>
      <c r="M50" s="122">
        <v>0</v>
      </c>
      <c r="N50" s="120">
        <v>0</v>
      </c>
      <c r="O50" s="122">
        <v>0</v>
      </c>
      <c r="P50" s="122">
        <v>0</v>
      </c>
      <c r="Q50" s="122">
        <v>0</v>
      </c>
      <c r="R50" s="120">
        <v>0</v>
      </c>
      <c r="S50" s="122">
        <v>0</v>
      </c>
      <c r="T50" s="122">
        <v>0</v>
      </c>
      <c r="U50" s="122">
        <v>0</v>
      </c>
      <c r="V50" s="122">
        <v>0</v>
      </c>
      <c r="W50" s="122">
        <v>0</v>
      </c>
      <c r="X50" s="120">
        <f t="shared" si="11"/>
        <v>5</v>
      </c>
      <c r="Y50" s="122">
        <v>0</v>
      </c>
      <c r="Z50" s="120">
        <f t="shared" si="12"/>
        <v>5</v>
      </c>
      <c r="AA50" s="122">
        <v>0</v>
      </c>
      <c r="AB50" s="120">
        <f t="shared" si="6"/>
        <v>14</v>
      </c>
      <c r="AC50" s="120">
        <f t="shared" si="7"/>
        <v>5</v>
      </c>
    </row>
    <row r="51" spans="1:29" s="346" customFormat="1" ht="35.25" customHeight="1" x14ac:dyDescent="0.25">
      <c r="A51" s="60" t="s">
        <v>57</v>
      </c>
      <c r="B51" s="59" t="s">
        <v>135</v>
      </c>
      <c r="C51" s="120">
        <f>'6.2. Паспорт фин осв ввод факт'!C51</f>
        <v>0</v>
      </c>
      <c r="D51" s="120">
        <f>'6.2. Паспорт фин осв ввод факт'!D51</f>
        <v>0</v>
      </c>
      <c r="E51" s="120">
        <f t="shared" si="10"/>
        <v>0</v>
      </c>
      <c r="F51" s="120">
        <f t="shared" si="4"/>
        <v>0</v>
      </c>
      <c r="G51" s="122">
        <v>0</v>
      </c>
      <c r="H51" s="120">
        <f>C51</f>
        <v>0</v>
      </c>
      <c r="I51" s="120">
        <v>0</v>
      </c>
      <c r="J51" s="120">
        <v>0</v>
      </c>
      <c r="K51" s="120">
        <v>0</v>
      </c>
      <c r="L51" s="120">
        <f>'6.2. Паспорт фин осв ввод факт'!X51</f>
        <v>0</v>
      </c>
      <c r="M51" s="120">
        <v>0</v>
      </c>
      <c r="N51" s="120">
        <v>0</v>
      </c>
      <c r="O51" s="120">
        <v>0</v>
      </c>
      <c r="P51" s="122">
        <f>C51</f>
        <v>0</v>
      </c>
      <c r="Q51" s="120">
        <v>0</v>
      </c>
      <c r="R51" s="120">
        <v>0</v>
      </c>
      <c r="S51" s="120">
        <v>0</v>
      </c>
      <c r="T51" s="120">
        <v>0</v>
      </c>
      <c r="U51" s="120">
        <v>0</v>
      </c>
      <c r="V51" s="120">
        <v>0</v>
      </c>
      <c r="W51" s="120">
        <v>0</v>
      </c>
      <c r="X51" s="120">
        <f t="shared" si="11"/>
        <v>0</v>
      </c>
      <c r="Y51" s="120">
        <v>0</v>
      </c>
      <c r="Z51" s="120">
        <f t="shared" si="12"/>
        <v>0</v>
      </c>
      <c r="AA51" s="120">
        <v>0</v>
      </c>
      <c r="AB51" s="120">
        <f t="shared" si="6"/>
        <v>0</v>
      </c>
      <c r="AC51" s="120">
        <f t="shared" si="7"/>
        <v>0</v>
      </c>
    </row>
    <row r="52" spans="1:29" x14ac:dyDescent="0.25">
      <c r="A52" s="57" t="s">
        <v>134</v>
      </c>
      <c r="B52" s="33" t="s">
        <v>133</v>
      </c>
      <c r="C52" s="120">
        <f>C30</f>
        <v>6.4645742592519868</v>
      </c>
      <c r="D52" s="120">
        <f>D30</f>
        <v>6.4645742592519868</v>
      </c>
      <c r="E52" s="120">
        <f t="shared" si="10"/>
        <v>6.4645742592519868</v>
      </c>
      <c r="F52" s="120">
        <f t="shared" si="4"/>
        <v>6.4645742592519868</v>
      </c>
      <c r="G52" s="122">
        <v>0</v>
      </c>
      <c r="H52" s="120">
        <v>0</v>
      </c>
      <c r="I52" s="122">
        <v>0</v>
      </c>
      <c r="J52" s="120">
        <v>0</v>
      </c>
      <c r="K52" s="122">
        <v>0</v>
      </c>
      <c r="L52" s="122">
        <v>0</v>
      </c>
      <c r="M52" s="122">
        <v>0</v>
      </c>
      <c r="N52" s="120">
        <v>0</v>
      </c>
      <c r="O52" s="122">
        <v>0</v>
      </c>
      <c r="P52" s="122">
        <v>0</v>
      </c>
      <c r="Q52" s="122">
        <v>0</v>
      </c>
      <c r="R52" s="120">
        <v>0</v>
      </c>
      <c r="S52" s="122">
        <v>0</v>
      </c>
      <c r="T52" s="122">
        <v>0</v>
      </c>
      <c r="U52" s="122">
        <v>0</v>
      </c>
      <c r="V52" s="122">
        <v>0</v>
      </c>
      <c r="W52" s="122">
        <v>0</v>
      </c>
      <c r="X52" s="120">
        <f t="shared" si="11"/>
        <v>6.4645742592519868</v>
      </c>
      <c r="Y52" s="122">
        <v>0</v>
      </c>
      <c r="Z52" s="120">
        <f t="shared" si="12"/>
        <v>6.4645742592519868</v>
      </c>
      <c r="AA52" s="122">
        <v>0</v>
      </c>
      <c r="AB52" s="120">
        <f t="shared" si="6"/>
        <v>6.4645742592519868</v>
      </c>
      <c r="AC52" s="120">
        <f t="shared" si="7"/>
        <v>6.4645742592519868</v>
      </c>
    </row>
    <row r="53" spans="1:29" x14ac:dyDescent="0.25">
      <c r="A53" s="57" t="s">
        <v>132</v>
      </c>
      <c r="B53" s="33" t="s">
        <v>126</v>
      </c>
      <c r="C53" s="120">
        <f>'6.2. Паспорт фин осв ввод факт'!C53</f>
        <v>0</v>
      </c>
      <c r="D53" s="120">
        <f>'6.2. Паспорт фин осв ввод факт'!D53</f>
        <v>0</v>
      </c>
      <c r="E53" s="120">
        <f t="shared" si="10"/>
        <v>0</v>
      </c>
      <c r="F53" s="120">
        <f t="shared" si="4"/>
        <v>0</v>
      </c>
      <c r="G53" s="122">
        <v>0</v>
      </c>
      <c r="H53" s="120">
        <f>C53</f>
        <v>0</v>
      </c>
      <c r="I53" s="122">
        <v>0</v>
      </c>
      <c r="J53" s="120">
        <v>0</v>
      </c>
      <c r="K53" s="122">
        <v>0</v>
      </c>
      <c r="L53" s="122">
        <f t="shared" ref="L53:L56" si="14">C53</f>
        <v>0</v>
      </c>
      <c r="M53" s="122">
        <v>0</v>
      </c>
      <c r="N53" s="120">
        <v>0</v>
      </c>
      <c r="O53" s="122">
        <v>0</v>
      </c>
      <c r="P53" s="122">
        <f t="shared" si="13"/>
        <v>0</v>
      </c>
      <c r="Q53" s="122">
        <v>0</v>
      </c>
      <c r="R53" s="120">
        <v>0</v>
      </c>
      <c r="S53" s="122">
        <v>0</v>
      </c>
      <c r="T53" s="122">
        <v>0</v>
      </c>
      <c r="U53" s="122">
        <v>0</v>
      </c>
      <c r="V53" s="122">
        <v>0</v>
      </c>
      <c r="W53" s="122">
        <v>0</v>
      </c>
      <c r="X53" s="120">
        <f t="shared" si="11"/>
        <v>0</v>
      </c>
      <c r="Y53" s="122">
        <v>0</v>
      </c>
      <c r="Z53" s="120">
        <f t="shared" si="12"/>
        <v>0</v>
      </c>
      <c r="AA53" s="122">
        <v>0</v>
      </c>
      <c r="AB53" s="120">
        <f t="shared" si="6"/>
        <v>0</v>
      </c>
      <c r="AC53" s="120">
        <f t="shared" si="7"/>
        <v>0</v>
      </c>
    </row>
    <row r="54" spans="1:29" x14ac:dyDescent="0.25">
      <c r="A54" s="57" t="s">
        <v>131</v>
      </c>
      <c r="B54" s="212" t="s">
        <v>125</v>
      </c>
      <c r="C54" s="120">
        <f>C45</f>
        <v>0.8</v>
      </c>
      <c r="D54" s="120">
        <f>D45</f>
        <v>0.8</v>
      </c>
      <c r="E54" s="120">
        <f t="shared" si="10"/>
        <v>0.8</v>
      </c>
      <c r="F54" s="120">
        <f t="shared" si="4"/>
        <v>0.8</v>
      </c>
      <c r="G54" s="122">
        <v>0</v>
      </c>
      <c r="H54" s="120">
        <v>0</v>
      </c>
      <c r="I54" s="122">
        <v>0</v>
      </c>
      <c r="J54" s="120">
        <v>0</v>
      </c>
      <c r="K54" s="122">
        <v>0</v>
      </c>
      <c r="L54" s="122">
        <v>0</v>
      </c>
      <c r="M54" s="122">
        <v>0</v>
      </c>
      <c r="N54" s="120">
        <v>0</v>
      </c>
      <c r="O54" s="122">
        <v>0</v>
      </c>
      <c r="P54" s="122">
        <f t="shared" si="13"/>
        <v>0.8</v>
      </c>
      <c r="Q54" s="122">
        <v>0</v>
      </c>
      <c r="R54" s="120">
        <v>0</v>
      </c>
      <c r="S54" s="122">
        <v>0</v>
      </c>
      <c r="T54" s="122">
        <v>0</v>
      </c>
      <c r="U54" s="122">
        <v>0</v>
      </c>
      <c r="V54" s="122">
        <v>0</v>
      </c>
      <c r="W54" s="122">
        <v>0</v>
      </c>
      <c r="X54" s="120">
        <f t="shared" si="11"/>
        <v>0.8</v>
      </c>
      <c r="Y54" s="122">
        <v>0</v>
      </c>
      <c r="Z54" s="120">
        <f t="shared" si="12"/>
        <v>0.8</v>
      </c>
      <c r="AA54" s="122">
        <v>0</v>
      </c>
      <c r="AB54" s="120">
        <f t="shared" si="6"/>
        <v>1.6</v>
      </c>
      <c r="AC54" s="120">
        <f t="shared" si="7"/>
        <v>0.8</v>
      </c>
    </row>
    <row r="55" spans="1:29" x14ac:dyDescent="0.25">
      <c r="A55" s="57" t="s">
        <v>130</v>
      </c>
      <c r="B55" s="212" t="s">
        <v>124</v>
      </c>
      <c r="C55" s="120">
        <f>'6.2. Паспорт фин осв ввод факт'!C55</f>
        <v>0</v>
      </c>
      <c r="D55" s="120">
        <f>'6.2. Паспорт фин осв ввод факт'!D55</f>
        <v>0</v>
      </c>
      <c r="E55" s="120">
        <f t="shared" si="10"/>
        <v>0</v>
      </c>
      <c r="F55" s="120">
        <f t="shared" si="4"/>
        <v>0</v>
      </c>
      <c r="G55" s="122">
        <v>0</v>
      </c>
      <c r="H55" s="120">
        <f>C55</f>
        <v>0</v>
      </c>
      <c r="I55" s="122">
        <v>0</v>
      </c>
      <c r="J55" s="120">
        <v>0</v>
      </c>
      <c r="K55" s="122">
        <v>0</v>
      </c>
      <c r="L55" s="122">
        <f t="shared" si="14"/>
        <v>0</v>
      </c>
      <c r="M55" s="122">
        <v>0</v>
      </c>
      <c r="N55" s="120">
        <v>0</v>
      </c>
      <c r="O55" s="122">
        <v>0</v>
      </c>
      <c r="P55" s="122">
        <f t="shared" si="13"/>
        <v>0</v>
      </c>
      <c r="Q55" s="122">
        <v>0</v>
      </c>
      <c r="R55" s="120">
        <v>0</v>
      </c>
      <c r="S55" s="122">
        <v>0</v>
      </c>
      <c r="T55" s="122">
        <v>0</v>
      </c>
      <c r="U55" s="122">
        <v>0</v>
      </c>
      <c r="V55" s="122">
        <v>0</v>
      </c>
      <c r="W55" s="122">
        <v>0</v>
      </c>
      <c r="X55" s="120">
        <f t="shared" si="11"/>
        <v>0</v>
      </c>
      <c r="Y55" s="122">
        <v>0</v>
      </c>
      <c r="Z55" s="120">
        <f t="shared" si="12"/>
        <v>0</v>
      </c>
      <c r="AA55" s="122">
        <v>0</v>
      </c>
      <c r="AB55" s="120">
        <f t="shared" si="6"/>
        <v>0</v>
      </c>
      <c r="AC55" s="120">
        <f t="shared" si="7"/>
        <v>0</v>
      </c>
    </row>
    <row r="56" spans="1:29" x14ac:dyDescent="0.25">
      <c r="A56" s="57" t="s">
        <v>129</v>
      </c>
      <c r="B56" s="212" t="s">
        <v>123</v>
      </c>
      <c r="C56" s="120">
        <f>'6.2. Паспорт фин осв ввод факт'!C56</f>
        <v>0</v>
      </c>
      <c r="D56" s="120">
        <f>'6.2. Паспорт фин осв ввод факт'!D56</f>
        <v>0</v>
      </c>
      <c r="E56" s="120">
        <f t="shared" si="10"/>
        <v>0</v>
      </c>
      <c r="F56" s="120">
        <f t="shared" si="4"/>
        <v>0</v>
      </c>
      <c r="G56" s="122">
        <v>0</v>
      </c>
      <c r="H56" s="120">
        <f>C56</f>
        <v>0</v>
      </c>
      <c r="I56" s="122">
        <v>0</v>
      </c>
      <c r="J56" s="120">
        <v>0</v>
      </c>
      <c r="K56" s="122">
        <v>0</v>
      </c>
      <c r="L56" s="122">
        <f t="shared" si="14"/>
        <v>0</v>
      </c>
      <c r="M56" s="122">
        <v>0</v>
      </c>
      <c r="N56" s="120">
        <v>0</v>
      </c>
      <c r="O56" s="122">
        <v>0</v>
      </c>
      <c r="P56" s="122">
        <f t="shared" si="13"/>
        <v>0</v>
      </c>
      <c r="Q56" s="122">
        <v>0</v>
      </c>
      <c r="R56" s="120">
        <v>0</v>
      </c>
      <c r="S56" s="122">
        <v>0</v>
      </c>
      <c r="T56" s="122">
        <v>0</v>
      </c>
      <c r="U56" s="122">
        <v>0</v>
      </c>
      <c r="V56" s="122">
        <v>0</v>
      </c>
      <c r="W56" s="122">
        <v>0</v>
      </c>
      <c r="X56" s="120">
        <f t="shared" si="11"/>
        <v>0</v>
      </c>
      <c r="Y56" s="122">
        <v>0</v>
      </c>
      <c r="Z56" s="120">
        <f t="shared" si="12"/>
        <v>0</v>
      </c>
      <c r="AA56" s="122">
        <v>0</v>
      </c>
      <c r="AB56" s="120">
        <f t="shared" si="6"/>
        <v>0</v>
      </c>
      <c r="AC56" s="120">
        <f t="shared" si="7"/>
        <v>0</v>
      </c>
    </row>
    <row r="57" spans="1:29" ht="18.75" x14ac:dyDescent="0.25">
      <c r="A57" s="57" t="s">
        <v>128</v>
      </c>
      <c r="B57" s="212" t="s">
        <v>546</v>
      </c>
      <c r="C57" s="120">
        <f>C42</f>
        <v>5</v>
      </c>
      <c r="D57" s="120">
        <f>D42</f>
        <v>5</v>
      </c>
      <c r="E57" s="120">
        <f t="shared" si="10"/>
        <v>5</v>
      </c>
      <c r="F57" s="120">
        <f t="shared" si="4"/>
        <v>5</v>
      </c>
      <c r="G57" s="122">
        <v>0</v>
      </c>
      <c r="H57" s="120">
        <v>0</v>
      </c>
      <c r="I57" s="122">
        <v>0</v>
      </c>
      <c r="J57" s="120">
        <v>0</v>
      </c>
      <c r="K57" s="122">
        <v>0</v>
      </c>
      <c r="L57" s="122">
        <v>0</v>
      </c>
      <c r="M57" s="122">
        <v>0</v>
      </c>
      <c r="N57" s="120">
        <v>0</v>
      </c>
      <c r="O57" s="122">
        <v>0</v>
      </c>
      <c r="P57" s="122">
        <v>0</v>
      </c>
      <c r="Q57" s="122">
        <v>0</v>
      </c>
      <c r="R57" s="120">
        <v>0</v>
      </c>
      <c r="S57" s="122">
        <v>0</v>
      </c>
      <c r="T57" s="122">
        <v>0</v>
      </c>
      <c r="U57" s="122">
        <v>0</v>
      </c>
      <c r="V57" s="122">
        <v>0</v>
      </c>
      <c r="W57" s="122">
        <v>0</v>
      </c>
      <c r="X57" s="120">
        <f t="shared" si="11"/>
        <v>5</v>
      </c>
      <c r="Y57" s="122">
        <v>0</v>
      </c>
      <c r="Z57" s="120">
        <f t="shared" si="12"/>
        <v>5</v>
      </c>
      <c r="AA57" s="122">
        <v>0</v>
      </c>
      <c r="AB57" s="120">
        <f t="shared" si="6"/>
        <v>5</v>
      </c>
      <c r="AC57" s="120">
        <f t="shared" si="7"/>
        <v>5</v>
      </c>
    </row>
    <row r="58" spans="1:29" s="346" customFormat="1" ht="36.75" customHeight="1" x14ac:dyDescent="0.25">
      <c r="A58" s="60" t="s">
        <v>56</v>
      </c>
      <c r="B58" s="213" t="s">
        <v>207</v>
      </c>
      <c r="C58" s="120">
        <v>0</v>
      </c>
      <c r="D58" s="120">
        <v>0</v>
      </c>
      <c r="E58" s="120">
        <f t="shared" si="10"/>
        <v>0</v>
      </c>
      <c r="F58" s="120">
        <f t="shared" si="4"/>
        <v>0</v>
      </c>
      <c r="G58" s="122">
        <v>0</v>
      </c>
      <c r="H58" s="120">
        <f>C58</f>
        <v>0</v>
      </c>
      <c r="I58" s="120">
        <v>0</v>
      </c>
      <c r="J58" s="120">
        <v>0</v>
      </c>
      <c r="K58" s="120">
        <v>0</v>
      </c>
      <c r="L58" s="120">
        <f>'6.2. Паспорт фин осв ввод факт'!X58</f>
        <v>0</v>
      </c>
      <c r="M58" s="120">
        <v>0</v>
      </c>
      <c r="N58" s="120">
        <v>0</v>
      </c>
      <c r="O58" s="120">
        <v>0</v>
      </c>
      <c r="P58" s="122">
        <f>C58</f>
        <v>0</v>
      </c>
      <c r="Q58" s="120">
        <v>0</v>
      </c>
      <c r="R58" s="120">
        <v>0</v>
      </c>
      <c r="S58" s="120">
        <v>0</v>
      </c>
      <c r="T58" s="120">
        <v>0</v>
      </c>
      <c r="U58" s="120">
        <v>0</v>
      </c>
      <c r="V58" s="120">
        <v>0</v>
      </c>
      <c r="W58" s="120">
        <v>0</v>
      </c>
      <c r="X58" s="120">
        <f>X52</f>
        <v>6.4645742592519868</v>
      </c>
      <c r="Y58" s="120">
        <v>0</v>
      </c>
      <c r="Z58" s="120">
        <f>Z52</f>
        <v>6.4645742592519868</v>
      </c>
      <c r="AA58" s="120">
        <v>0</v>
      </c>
      <c r="AB58" s="120">
        <f t="shared" si="6"/>
        <v>6.4645742592519868</v>
      </c>
      <c r="AC58" s="120">
        <f t="shared" si="7"/>
        <v>6.4645742592519868</v>
      </c>
    </row>
    <row r="59" spans="1:29" s="346" customFormat="1" x14ac:dyDescent="0.25">
      <c r="A59" s="60" t="s">
        <v>54</v>
      </c>
      <c r="B59" s="59" t="s">
        <v>127</v>
      </c>
      <c r="C59" s="120">
        <v>0</v>
      </c>
      <c r="D59" s="120">
        <v>0</v>
      </c>
      <c r="E59" s="120">
        <f t="shared" si="10"/>
        <v>0</v>
      </c>
      <c r="F59" s="120">
        <f t="shared" si="4"/>
        <v>0</v>
      </c>
      <c r="G59" s="122">
        <v>0</v>
      </c>
      <c r="H59" s="120">
        <f>C59</f>
        <v>0</v>
      </c>
      <c r="I59" s="120">
        <v>0</v>
      </c>
      <c r="J59" s="120">
        <v>0</v>
      </c>
      <c r="K59" s="120">
        <v>0</v>
      </c>
      <c r="L59" s="120">
        <f>'6.2. Паспорт фин осв ввод факт'!X59</f>
        <v>0</v>
      </c>
      <c r="M59" s="120">
        <v>0</v>
      </c>
      <c r="N59" s="120">
        <v>0</v>
      </c>
      <c r="O59" s="120">
        <v>0</v>
      </c>
      <c r="P59" s="122">
        <f t="shared" si="13"/>
        <v>0</v>
      </c>
      <c r="Q59" s="120">
        <v>0</v>
      </c>
      <c r="R59" s="120">
        <v>0</v>
      </c>
      <c r="S59" s="120">
        <v>0</v>
      </c>
      <c r="T59" s="120">
        <v>0</v>
      </c>
      <c r="U59" s="120">
        <v>0</v>
      </c>
      <c r="V59" s="120">
        <v>0</v>
      </c>
      <c r="W59" s="120">
        <v>0</v>
      </c>
      <c r="X59" s="120">
        <f t="shared" si="11"/>
        <v>0</v>
      </c>
      <c r="Y59" s="120">
        <v>0</v>
      </c>
      <c r="Z59" s="120">
        <f t="shared" si="12"/>
        <v>0</v>
      </c>
      <c r="AA59" s="120">
        <v>0</v>
      </c>
      <c r="AB59" s="120">
        <f t="shared" si="6"/>
        <v>0</v>
      </c>
      <c r="AC59" s="120">
        <f t="shared" si="7"/>
        <v>0</v>
      </c>
    </row>
    <row r="60" spans="1:29" x14ac:dyDescent="0.25">
      <c r="A60" s="57" t="s">
        <v>201</v>
      </c>
      <c r="B60" s="214" t="s">
        <v>147</v>
      </c>
      <c r="C60" s="120">
        <v>0</v>
      </c>
      <c r="D60" s="120">
        <v>0</v>
      </c>
      <c r="E60" s="120">
        <f t="shared" si="10"/>
        <v>0</v>
      </c>
      <c r="F60" s="120">
        <f t="shared" si="4"/>
        <v>0</v>
      </c>
      <c r="G60" s="122">
        <v>0</v>
      </c>
      <c r="H60" s="120">
        <f>C60</f>
        <v>0</v>
      </c>
      <c r="I60" s="122">
        <v>0</v>
      </c>
      <c r="J60" s="120">
        <v>0</v>
      </c>
      <c r="K60" s="122">
        <v>0</v>
      </c>
      <c r="L60" s="122">
        <f>'6.2. Паспорт фин осв ввод факт'!X60</f>
        <v>0</v>
      </c>
      <c r="M60" s="122">
        <v>0</v>
      </c>
      <c r="N60" s="120">
        <v>0</v>
      </c>
      <c r="O60" s="122">
        <v>0</v>
      </c>
      <c r="P60" s="122">
        <f t="shared" si="13"/>
        <v>0</v>
      </c>
      <c r="Q60" s="122">
        <v>0</v>
      </c>
      <c r="R60" s="120">
        <v>0</v>
      </c>
      <c r="S60" s="122">
        <v>0</v>
      </c>
      <c r="T60" s="122">
        <v>0</v>
      </c>
      <c r="U60" s="122">
        <v>0</v>
      </c>
      <c r="V60" s="122">
        <v>0</v>
      </c>
      <c r="W60" s="122">
        <v>0</v>
      </c>
      <c r="X60" s="120">
        <f t="shared" si="11"/>
        <v>0</v>
      </c>
      <c r="Y60" s="122">
        <v>0</v>
      </c>
      <c r="Z60" s="120">
        <f t="shared" si="12"/>
        <v>0</v>
      </c>
      <c r="AA60" s="122">
        <v>0</v>
      </c>
      <c r="AB60" s="120">
        <f t="shared" si="6"/>
        <v>0</v>
      </c>
      <c r="AC60" s="120">
        <f t="shared" si="7"/>
        <v>0</v>
      </c>
    </row>
    <row r="61" spans="1:29" x14ac:dyDescent="0.25">
      <c r="A61" s="57" t="s">
        <v>202</v>
      </c>
      <c r="B61" s="214" t="s">
        <v>145</v>
      </c>
      <c r="C61" s="120">
        <v>0.8</v>
      </c>
      <c r="D61" s="120">
        <v>0.8</v>
      </c>
      <c r="E61" s="120">
        <f t="shared" si="10"/>
        <v>0.8</v>
      </c>
      <c r="F61" s="120">
        <f t="shared" si="4"/>
        <v>0.8</v>
      </c>
      <c r="G61" s="122">
        <v>0</v>
      </c>
      <c r="H61" s="120">
        <v>0</v>
      </c>
      <c r="I61" s="122">
        <v>0</v>
      </c>
      <c r="J61" s="120">
        <v>0</v>
      </c>
      <c r="K61" s="122">
        <v>0</v>
      </c>
      <c r="L61" s="122">
        <v>0</v>
      </c>
      <c r="M61" s="122">
        <v>0</v>
      </c>
      <c r="N61" s="120">
        <v>0</v>
      </c>
      <c r="O61" s="122">
        <v>0</v>
      </c>
      <c r="P61" s="122">
        <v>0</v>
      </c>
      <c r="Q61" s="122">
        <v>0</v>
      </c>
      <c r="R61" s="120">
        <v>0</v>
      </c>
      <c r="S61" s="122">
        <v>0</v>
      </c>
      <c r="T61" s="122">
        <v>0</v>
      </c>
      <c r="U61" s="122">
        <v>0</v>
      </c>
      <c r="V61" s="122">
        <v>0</v>
      </c>
      <c r="W61" s="122">
        <v>0</v>
      </c>
      <c r="X61" s="120">
        <f t="shared" si="11"/>
        <v>0.8</v>
      </c>
      <c r="Y61" s="122">
        <v>0</v>
      </c>
      <c r="Z61" s="120">
        <f t="shared" si="12"/>
        <v>0.8</v>
      </c>
      <c r="AA61" s="122">
        <v>0</v>
      </c>
      <c r="AB61" s="120">
        <f t="shared" si="6"/>
        <v>0.8</v>
      </c>
      <c r="AC61" s="120">
        <f t="shared" si="7"/>
        <v>0.8</v>
      </c>
    </row>
    <row r="62" spans="1:29" x14ac:dyDescent="0.25">
      <c r="A62" s="57" t="s">
        <v>203</v>
      </c>
      <c r="B62" s="214" t="s">
        <v>143</v>
      </c>
      <c r="C62" s="120">
        <v>0</v>
      </c>
      <c r="D62" s="120">
        <v>0</v>
      </c>
      <c r="E62" s="120">
        <f t="shared" si="10"/>
        <v>0</v>
      </c>
      <c r="F62" s="120">
        <f t="shared" si="4"/>
        <v>0</v>
      </c>
      <c r="G62" s="122">
        <v>0</v>
      </c>
      <c r="H62" s="120">
        <f>C62</f>
        <v>0</v>
      </c>
      <c r="I62" s="122">
        <v>0</v>
      </c>
      <c r="J62" s="120">
        <v>0</v>
      </c>
      <c r="K62" s="122">
        <v>0</v>
      </c>
      <c r="L62" s="122">
        <f>'6.2. Паспорт фин осв ввод факт'!X62</f>
        <v>0</v>
      </c>
      <c r="M62" s="122">
        <v>0</v>
      </c>
      <c r="N62" s="120">
        <v>0</v>
      </c>
      <c r="O62" s="122">
        <v>0</v>
      </c>
      <c r="P62" s="122">
        <f>C62</f>
        <v>0</v>
      </c>
      <c r="Q62" s="122">
        <v>0</v>
      </c>
      <c r="R62" s="120">
        <v>0</v>
      </c>
      <c r="S62" s="122">
        <v>0</v>
      </c>
      <c r="T62" s="122">
        <v>0</v>
      </c>
      <c r="U62" s="122">
        <v>0</v>
      </c>
      <c r="V62" s="122">
        <v>0</v>
      </c>
      <c r="W62" s="122">
        <v>0</v>
      </c>
      <c r="X62" s="120">
        <f t="shared" si="11"/>
        <v>0</v>
      </c>
      <c r="Y62" s="122">
        <v>0</v>
      </c>
      <c r="Z62" s="120">
        <f t="shared" si="12"/>
        <v>0</v>
      </c>
      <c r="AA62" s="122">
        <v>0</v>
      </c>
      <c r="AB62" s="120">
        <f t="shared" si="6"/>
        <v>0</v>
      </c>
      <c r="AC62" s="120">
        <f t="shared" si="7"/>
        <v>0</v>
      </c>
    </row>
    <row r="63" spans="1:29" x14ac:dyDescent="0.25">
      <c r="A63" s="57" t="s">
        <v>204</v>
      </c>
      <c r="B63" s="214" t="s">
        <v>206</v>
      </c>
      <c r="C63" s="120">
        <v>0</v>
      </c>
      <c r="D63" s="120">
        <v>0</v>
      </c>
      <c r="E63" s="120">
        <f t="shared" si="10"/>
        <v>0</v>
      </c>
      <c r="F63" s="120">
        <f t="shared" si="4"/>
        <v>0</v>
      </c>
      <c r="G63" s="122">
        <v>0</v>
      </c>
      <c r="H63" s="120">
        <f>C63</f>
        <v>0</v>
      </c>
      <c r="I63" s="122">
        <v>0</v>
      </c>
      <c r="J63" s="120">
        <v>0</v>
      </c>
      <c r="K63" s="122">
        <v>0</v>
      </c>
      <c r="L63" s="122">
        <f>'6.2. Паспорт фин осв ввод факт'!X63</f>
        <v>0</v>
      </c>
      <c r="M63" s="122">
        <v>0</v>
      </c>
      <c r="N63" s="120">
        <v>0</v>
      </c>
      <c r="O63" s="122">
        <v>0</v>
      </c>
      <c r="P63" s="122">
        <f t="shared" si="13"/>
        <v>0</v>
      </c>
      <c r="Q63" s="122">
        <v>0</v>
      </c>
      <c r="R63" s="120">
        <v>0</v>
      </c>
      <c r="S63" s="122">
        <v>0</v>
      </c>
      <c r="T63" s="122">
        <v>0</v>
      </c>
      <c r="U63" s="122">
        <v>0</v>
      </c>
      <c r="V63" s="122">
        <v>0</v>
      </c>
      <c r="W63" s="122">
        <v>0</v>
      </c>
      <c r="X63" s="120">
        <f t="shared" si="11"/>
        <v>0</v>
      </c>
      <c r="Y63" s="122">
        <v>0</v>
      </c>
      <c r="Z63" s="120">
        <f t="shared" si="12"/>
        <v>0</v>
      </c>
      <c r="AA63" s="122">
        <v>0</v>
      </c>
      <c r="AB63" s="120">
        <f t="shared" si="6"/>
        <v>0</v>
      </c>
      <c r="AC63" s="120">
        <f t="shared" si="7"/>
        <v>0</v>
      </c>
    </row>
    <row r="64" spans="1:29" ht="18.75" x14ac:dyDescent="0.25">
      <c r="A64" s="57" t="s">
        <v>205</v>
      </c>
      <c r="B64" s="212" t="s">
        <v>546</v>
      </c>
      <c r="C64" s="120">
        <v>5</v>
      </c>
      <c r="D64" s="120">
        <v>5</v>
      </c>
      <c r="E64" s="120">
        <f t="shared" si="10"/>
        <v>5</v>
      </c>
      <c r="F64" s="120">
        <f t="shared" si="4"/>
        <v>5</v>
      </c>
      <c r="G64" s="122">
        <v>0</v>
      </c>
      <c r="H64" s="120">
        <v>0</v>
      </c>
      <c r="I64" s="122">
        <v>0</v>
      </c>
      <c r="J64" s="120">
        <v>0</v>
      </c>
      <c r="K64" s="122">
        <v>0</v>
      </c>
      <c r="L64" s="122">
        <v>0</v>
      </c>
      <c r="M64" s="122">
        <v>0</v>
      </c>
      <c r="N64" s="120">
        <v>0</v>
      </c>
      <c r="O64" s="122">
        <v>0</v>
      </c>
      <c r="P64" s="122">
        <v>0</v>
      </c>
      <c r="Q64" s="122">
        <v>0</v>
      </c>
      <c r="R64" s="120">
        <v>0</v>
      </c>
      <c r="S64" s="122">
        <v>0</v>
      </c>
      <c r="T64" s="122">
        <v>0</v>
      </c>
      <c r="U64" s="122">
        <v>0</v>
      </c>
      <c r="V64" s="122">
        <v>0</v>
      </c>
      <c r="W64" s="122">
        <v>0</v>
      </c>
      <c r="X64" s="120">
        <f t="shared" si="11"/>
        <v>5</v>
      </c>
      <c r="Y64" s="122">
        <v>0</v>
      </c>
      <c r="Z64" s="120">
        <f t="shared" si="12"/>
        <v>5</v>
      </c>
      <c r="AA64" s="122">
        <v>0</v>
      </c>
      <c r="AB64" s="120">
        <f t="shared" si="6"/>
        <v>5</v>
      </c>
      <c r="AC64" s="120">
        <f t="shared" si="7"/>
        <v>5</v>
      </c>
    </row>
    <row r="65" spans="1:28" x14ac:dyDescent="0.25">
      <c r="A65" s="53"/>
      <c r="B65" s="54"/>
      <c r="C65" s="54"/>
      <c r="D65" s="54"/>
      <c r="E65" s="54"/>
      <c r="F65" s="54"/>
      <c r="G65" s="54"/>
    </row>
    <row r="66" spans="1:28" ht="54" customHeight="1" x14ac:dyDescent="0.25">
      <c r="B66" s="436"/>
      <c r="C66" s="436"/>
      <c r="D66" s="436"/>
      <c r="E66" s="436"/>
      <c r="F66" s="436"/>
      <c r="G66" s="338"/>
      <c r="H66" s="52"/>
      <c r="I66" s="52"/>
      <c r="J66" s="52"/>
      <c r="K66" s="52"/>
      <c r="L66" s="52"/>
      <c r="M66" s="52"/>
      <c r="N66" s="52"/>
      <c r="O66" s="52"/>
      <c r="P66" s="52"/>
      <c r="Q66" s="52"/>
      <c r="R66" s="52"/>
      <c r="S66" s="52"/>
      <c r="T66" s="52"/>
      <c r="U66" s="52"/>
      <c r="V66" s="52"/>
      <c r="W66" s="52"/>
      <c r="X66" s="52"/>
      <c r="Y66" s="52"/>
      <c r="Z66" s="52"/>
      <c r="AA66" s="52"/>
      <c r="AB66" s="52"/>
    </row>
    <row r="68" spans="1:28" ht="50.25" customHeight="1" x14ac:dyDescent="0.25">
      <c r="B68" s="437"/>
      <c r="C68" s="437"/>
      <c r="D68" s="437"/>
      <c r="E68" s="437"/>
      <c r="F68" s="437"/>
      <c r="G68" s="339"/>
    </row>
    <row r="70" spans="1:28" ht="36.75" customHeight="1" x14ac:dyDescent="0.25">
      <c r="B70" s="436"/>
      <c r="C70" s="436"/>
      <c r="D70" s="436"/>
      <c r="E70" s="436"/>
      <c r="F70" s="436"/>
      <c r="G70" s="338"/>
    </row>
    <row r="71" spans="1:28" x14ac:dyDescent="0.25">
      <c r="B71" s="51"/>
      <c r="C71" s="51"/>
      <c r="D71" s="51"/>
      <c r="E71" s="51"/>
      <c r="F71" s="51"/>
    </row>
    <row r="72" spans="1:28" ht="51" customHeight="1" x14ac:dyDescent="0.25">
      <c r="B72" s="436"/>
      <c r="C72" s="436"/>
      <c r="D72" s="436"/>
      <c r="E72" s="436"/>
      <c r="F72" s="436"/>
      <c r="G72" s="338"/>
    </row>
    <row r="73" spans="1:28" ht="32.25" customHeight="1" x14ac:dyDescent="0.25">
      <c r="B73" s="437"/>
      <c r="C73" s="437"/>
      <c r="D73" s="437"/>
      <c r="E73" s="437"/>
      <c r="F73" s="437"/>
      <c r="G73" s="339"/>
    </row>
    <row r="74" spans="1:28" ht="51.75" customHeight="1" x14ac:dyDescent="0.25">
      <c r="B74" s="436"/>
      <c r="C74" s="436"/>
      <c r="D74" s="436"/>
      <c r="E74" s="436"/>
      <c r="F74" s="436"/>
      <c r="G74" s="338"/>
    </row>
    <row r="75" spans="1:28" ht="21.75" customHeight="1" x14ac:dyDescent="0.25">
      <c r="B75" s="434"/>
      <c r="C75" s="434"/>
      <c r="D75" s="434"/>
      <c r="E75" s="434"/>
      <c r="F75" s="434"/>
      <c r="G75" s="341"/>
    </row>
    <row r="76" spans="1:28" ht="23.25" customHeight="1" x14ac:dyDescent="0.25">
      <c r="B76" s="46"/>
      <c r="C76" s="46"/>
      <c r="D76" s="46"/>
      <c r="E76" s="46"/>
      <c r="F76" s="46"/>
    </row>
    <row r="77" spans="1:28" ht="18.75" customHeight="1" x14ac:dyDescent="0.25">
      <c r="B77" s="435"/>
      <c r="C77" s="435"/>
      <c r="D77" s="435"/>
      <c r="E77" s="435"/>
      <c r="F77" s="435"/>
      <c r="G77" s="337"/>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M24 P25:P28 H24:K24 P24:Q24">
    <cfRule type="cellIs" dxfId="38" priority="67" operator="greaterThan">
      <formula>0</formula>
    </cfRule>
  </conditionalFormatting>
  <conditionalFormatting sqref="C31">
    <cfRule type="cellIs" dxfId="37" priority="66" operator="greaterThan">
      <formula>0</formula>
    </cfRule>
  </conditionalFormatting>
  <conditionalFormatting sqref="C31">
    <cfRule type="cellIs" dxfId="36" priority="65" operator="greaterThan">
      <formula>0</formula>
    </cfRule>
  </conditionalFormatting>
  <conditionalFormatting sqref="C31">
    <cfRule type="cellIs" dxfId="35" priority="64" operator="greaterThan">
      <formula>0</formula>
    </cfRule>
  </conditionalFormatting>
  <conditionalFormatting sqref="T24:U24 X24:Y24 M24:M64 E24:E64 P25:P28 C24:C64 H24:K64 P24:Q24 AB24:AB64">
    <cfRule type="cellIs" dxfId="34" priority="63" operator="notEqual">
      <formula>0</formula>
    </cfRule>
  </conditionalFormatting>
  <conditionalFormatting sqref="T24:U24 X24:Y24">
    <cfRule type="cellIs" dxfId="33" priority="62" operator="greaterThan">
      <formula>0</formula>
    </cfRule>
  </conditionalFormatting>
  <conditionalFormatting sqref="T24:U24 X24:Y24">
    <cfRule type="cellIs" dxfId="32" priority="61" operator="greaterThan">
      <formula>0</formula>
    </cfRule>
  </conditionalFormatting>
  <conditionalFormatting sqref="T24:U24 X24:Y24">
    <cfRule type="cellIs" dxfId="31" priority="60" operator="greaterThan">
      <formula>0</formula>
    </cfRule>
  </conditionalFormatting>
  <conditionalFormatting sqref="T25:U64 Q25:Q28 P29:Q64 X25:Y64">
    <cfRule type="cellIs" dxfId="30" priority="54" operator="notEqual">
      <formula>0</formula>
    </cfRule>
  </conditionalFormatting>
  <conditionalFormatting sqref="F24:F64">
    <cfRule type="cellIs" dxfId="29" priority="39" operator="notEqual">
      <formula>0</formula>
    </cfRule>
  </conditionalFormatting>
  <conditionalFormatting sqref="G25:G64">
    <cfRule type="cellIs" dxfId="28" priority="31" operator="notEqual">
      <formula>0</formula>
    </cfRule>
  </conditionalFormatting>
  <conditionalFormatting sqref="L24">
    <cfRule type="cellIs" dxfId="27" priority="30" operator="greaterThan">
      <formula>0</formula>
    </cfRule>
  </conditionalFormatting>
  <conditionalFormatting sqref="L24:L64">
    <cfRule type="cellIs" dxfId="26" priority="29" operator="notEqual">
      <formula>0</formula>
    </cfRule>
  </conditionalFormatting>
  <conditionalFormatting sqref="D30">
    <cfRule type="cellIs" dxfId="25" priority="21" operator="greaterThan">
      <formula>0</formula>
    </cfRule>
  </conditionalFormatting>
  <conditionalFormatting sqref="G24">
    <cfRule type="cellIs" dxfId="24" priority="26" operator="greaterThan">
      <formula>0</formula>
    </cfRule>
  </conditionalFormatting>
  <conditionalFormatting sqref="G24">
    <cfRule type="cellIs" dxfId="23" priority="25" operator="notEqual">
      <formula>0</formula>
    </cfRule>
  </conditionalFormatting>
  <conditionalFormatting sqref="AC24:AC64">
    <cfRule type="cellIs" dxfId="22" priority="24" operator="notEqual">
      <formula>0</formula>
    </cfRule>
  </conditionalFormatting>
  <conditionalFormatting sqref="C24">
    <cfRule type="cellIs" dxfId="21" priority="23" operator="greaterThan">
      <formula>0</formula>
    </cfRule>
  </conditionalFormatting>
  <conditionalFormatting sqref="C24">
    <cfRule type="cellIs" dxfId="20" priority="22" operator="greaterThan">
      <formula>0</formula>
    </cfRule>
  </conditionalFormatting>
  <conditionalFormatting sqref="D31">
    <cfRule type="cellIs" dxfId="19" priority="20" operator="greaterThan">
      <formula>0</formula>
    </cfRule>
  </conditionalFormatting>
  <conditionalFormatting sqref="D31">
    <cfRule type="cellIs" dxfId="18" priority="19" operator="greaterThan">
      <formula>0</formula>
    </cfRule>
  </conditionalFormatting>
  <conditionalFormatting sqref="D31">
    <cfRule type="cellIs" dxfId="17" priority="18" operator="greaterThan">
      <formula>0</formula>
    </cfRule>
  </conditionalFormatting>
  <conditionalFormatting sqref="D24:D64">
    <cfRule type="cellIs" dxfId="16" priority="17" operator="notEqual">
      <formula>0</formula>
    </cfRule>
  </conditionalFormatting>
  <conditionalFormatting sqref="D24">
    <cfRule type="cellIs" dxfId="15" priority="16" operator="greaterThan">
      <formula>0</formula>
    </cfRule>
  </conditionalFormatting>
  <conditionalFormatting sqref="D24">
    <cfRule type="cellIs" dxfId="14" priority="15" operator="greaterThan">
      <formula>0</formula>
    </cfRule>
  </conditionalFormatting>
  <conditionalFormatting sqref="N24:O24">
    <cfRule type="cellIs" dxfId="13" priority="14" operator="greaterThan">
      <formula>0</formula>
    </cfRule>
  </conditionalFormatting>
  <conditionalFormatting sqref="N24:O64">
    <cfRule type="cellIs" dxfId="12" priority="13" operator="notEqual">
      <formula>0</formula>
    </cfRule>
  </conditionalFormatting>
  <conditionalFormatting sqref="R24:S24">
    <cfRule type="cellIs" dxfId="11" priority="12" operator="greaterThan">
      <formula>0</formula>
    </cfRule>
  </conditionalFormatting>
  <conditionalFormatting sqref="R24:S64">
    <cfRule type="cellIs" dxfId="10" priority="11" operator="notEqual">
      <formula>0</formula>
    </cfRule>
  </conditionalFormatting>
  <conditionalFormatting sqref="V24:W24">
    <cfRule type="cellIs" dxfId="9" priority="10" operator="notEqual">
      <formula>0</formula>
    </cfRule>
  </conditionalFormatting>
  <conditionalFormatting sqref="V24:W24">
    <cfRule type="cellIs" dxfId="8" priority="9" operator="greaterThan">
      <formula>0</formula>
    </cfRule>
  </conditionalFormatting>
  <conditionalFormatting sqref="V24:W24">
    <cfRule type="cellIs" dxfId="7" priority="8" operator="greaterThan">
      <formula>0</formula>
    </cfRule>
  </conditionalFormatting>
  <conditionalFormatting sqref="V24:W24">
    <cfRule type="cellIs" dxfId="6" priority="7" operator="greaterThan">
      <formula>0</formula>
    </cfRule>
  </conditionalFormatting>
  <conditionalFormatting sqref="V25:W64">
    <cfRule type="cellIs" dxfId="5" priority="6" operator="notEqual">
      <formula>0</formula>
    </cfRule>
  </conditionalFormatting>
  <conditionalFormatting sqref="Z24:AA24">
    <cfRule type="cellIs" dxfId="4" priority="5" operator="notEqual">
      <formula>0</formula>
    </cfRule>
  </conditionalFormatting>
  <conditionalFormatting sqref="Z24:AA24">
    <cfRule type="cellIs" dxfId="3" priority="4" operator="greaterThan">
      <formula>0</formula>
    </cfRule>
  </conditionalFormatting>
  <conditionalFormatting sqref="Z24:AA24">
    <cfRule type="cellIs" dxfId="2" priority="3" operator="greaterThan">
      <formula>0</formula>
    </cfRule>
  </conditionalFormatting>
  <conditionalFormatting sqref="Z24:AA24">
    <cfRule type="cellIs" dxfId="1" priority="2" operator="greaterThan">
      <formula>0</formula>
    </cfRule>
  </conditionalFormatting>
  <conditionalFormatting sqref="Z25: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K1" zoomScale="70" zoomScaleSheetLayoutView="70" workbookViewId="0">
      <selection activeCell="T26" sqref="T26:AV26"/>
    </sheetView>
  </sheetViews>
  <sheetFormatPr defaultColWidth="9.140625" defaultRowHeight="15" x14ac:dyDescent="0.25"/>
  <cols>
    <col min="1" max="1" width="6.140625" style="181" customWidth="1"/>
    <col min="2" max="2" width="23.140625" style="182" customWidth="1"/>
    <col min="3" max="3" width="13.85546875" style="182" customWidth="1"/>
    <col min="4" max="4" width="15.140625" style="182" customWidth="1"/>
    <col min="5" max="12" width="7.7109375" style="182" customWidth="1"/>
    <col min="13" max="13" width="18" style="182" customWidth="1"/>
    <col min="14" max="14" width="53.28515625" style="182" customWidth="1"/>
    <col min="15" max="15" width="24.5703125" style="182" customWidth="1"/>
    <col min="16" max="16" width="23.140625" style="182" customWidth="1"/>
    <col min="17" max="17" width="21.85546875" style="182" customWidth="1"/>
    <col min="18" max="18" width="20.140625" style="182" customWidth="1"/>
    <col min="19" max="19" width="14.28515625" style="182" customWidth="1"/>
    <col min="20" max="20" width="12.42578125" style="182" customWidth="1"/>
    <col min="21" max="21" width="11.42578125" style="182" customWidth="1"/>
    <col min="22" max="22" width="12.7109375" style="182" customWidth="1"/>
    <col min="23" max="23" width="27.85546875" style="182" customWidth="1"/>
    <col min="24" max="24" width="21.28515625" style="182" customWidth="1"/>
    <col min="25" max="25" width="21.140625" style="182" customWidth="1"/>
    <col min="26" max="26" width="7.7109375" style="182" customWidth="1"/>
    <col min="27" max="27" width="23.28515625" style="182" customWidth="1"/>
    <col min="28" max="28" width="21.28515625" style="182" customWidth="1"/>
    <col min="29" max="29" width="28.5703125" style="182" customWidth="1"/>
    <col min="30" max="30" width="17.42578125" style="182" customWidth="1"/>
    <col min="31" max="31" width="25.7109375" style="182" customWidth="1"/>
    <col min="32" max="32" width="17.42578125" style="182" customWidth="1"/>
    <col min="33" max="33" width="17.28515625" style="182" customWidth="1"/>
    <col min="34" max="34" width="14.7109375" style="182" customWidth="1"/>
    <col min="35" max="35" width="15.42578125" style="182" customWidth="1"/>
    <col min="36" max="36" width="20" style="182" customWidth="1"/>
    <col min="37" max="37" width="19.85546875" style="182" customWidth="1"/>
    <col min="38" max="38" width="26.7109375" style="182" customWidth="1"/>
    <col min="39" max="39" width="20.140625" style="182" customWidth="1"/>
    <col min="40" max="40" width="16.140625" style="182" customWidth="1"/>
    <col min="41" max="41" width="16.5703125" style="182" customWidth="1"/>
    <col min="42" max="42" width="16.28515625" style="182" customWidth="1"/>
    <col min="43" max="43" width="17.140625" style="182" customWidth="1"/>
    <col min="44" max="44" width="18" style="182" customWidth="1"/>
    <col min="45" max="45" width="16.140625" style="182" customWidth="1"/>
    <col min="46" max="46" width="18" style="182" customWidth="1"/>
    <col min="47" max="47" width="16.28515625" style="182" customWidth="1"/>
    <col min="48" max="48" width="19.7109375" style="182" customWidth="1"/>
    <col min="49" max="16384" width="9.140625" style="182"/>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52" t="str">
        <f>'1. паспорт местоположение'!A5:C5</f>
        <v>Год раскрытия информации: 2022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c r="AB5" s="352"/>
      <c r="AC5" s="352"/>
      <c r="AD5" s="352"/>
      <c r="AE5" s="352"/>
      <c r="AF5" s="352"/>
      <c r="AG5" s="352"/>
      <c r="AH5" s="352"/>
      <c r="AI5" s="352"/>
      <c r="AJ5" s="352"/>
      <c r="AK5" s="352"/>
      <c r="AL5" s="352"/>
      <c r="AM5" s="352"/>
      <c r="AN5" s="352"/>
      <c r="AO5" s="352"/>
      <c r="AP5" s="352"/>
      <c r="AQ5" s="352"/>
      <c r="AR5" s="352"/>
      <c r="AS5" s="352"/>
      <c r="AT5" s="352"/>
      <c r="AU5" s="352"/>
      <c r="AV5" s="352"/>
    </row>
    <row r="6" spans="1:48" ht="18.75" x14ac:dyDescent="0.3">
      <c r="AV6" s="14"/>
    </row>
    <row r="7" spans="1:48" ht="18.75" x14ac:dyDescent="0.25">
      <c r="A7" s="363" t="s">
        <v>7</v>
      </c>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363"/>
      <c r="AH7" s="363"/>
      <c r="AI7" s="363"/>
      <c r="AJ7" s="363"/>
      <c r="AK7" s="363"/>
      <c r="AL7" s="363"/>
      <c r="AM7" s="363"/>
      <c r="AN7" s="363"/>
      <c r="AO7" s="363"/>
      <c r="AP7" s="363"/>
      <c r="AQ7" s="363"/>
      <c r="AR7" s="363"/>
      <c r="AS7" s="363"/>
      <c r="AT7" s="363"/>
      <c r="AU7" s="363"/>
      <c r="AV7" s="363"/>
    </row>
    <row r="8" spans="1:48" ht="18.75" x14ac:dyDescent="0.25">
      <c r="A8" s="363"/>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63"/>
      <c r="AO8" s="363"/>
      <c r="AP8" s="363"/>
      <c r="AQ8" s="363"/>
      <c r="AR8" s="363"/>
      <c r="AS8" s="363"/>
      <c r="AT8" s="363"/>
      <c r="AU8" s="363"/>
      <c r="AV8" s="363"/>
    </row>
    <row r="9" spans="1:48" ht="15.75" x14ac:dyDescent="0.25">
      <c r="A9" s="358" t="str">
        <f>'1. паспорт местоположение'!A9:C9</f>
        <v xml:space="preserve">Акционерное общество "Западная энергетическая компания" </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c r="AS9" s="358"/>
      <c r="AT9" s="358"/>
      <c r="AU9" s="358"/>
      <c r="AV9" s="358"/>
    </row>
    <row r="10" spans="1:48" ht="15.75" x14ac:dyDescent="0.25">
      <c r="A10" s="359" t="s">
        <v>6</v>
      </c>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row>
    <row r="11" spans="1:48" ht="18.75" x14ac:dyDescent="0.25">
      <c r="A11" s="363"/>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363"/>
      <c r="AP11" s="363"/>
      <c r="AQ11" s="363"/>
      <c r="AR11" s="363"/>
      <c r="AS11" s="363"/>
      <c r="AT11" s="363"/>
      <c r="AU11" s="363"/>
      <c r="AV11" s="363"/>
    </row>
    <row r="12" spans="1:48" ht="15.75" x14ac:dyDescent="0.25">
      <c r="A12" s="358" t="str">
        <f>'1. паспорт местоположение'!A12:C12</f>
        <v>J 19-10</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59" t="s">
        <v>5</v>
      </c>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row>
    <row r="14" spans="1:48" ht="18.75" x14ac:dyDescent="0.25">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64"/>
      <c r="AL14" s="364"/>
      <c r="AM14" s="364"/>
      <c r="AN14" s="364"/>
      <c r="AO14" s="364"/>
      <c r="AP14" s="364"/>
      <c r="AQ14" s="364"/>
      <c r="AR14" s="364"/>
      <c r="AS14" s="364"/>
      <c r="AT14" s="364"/>
      <c r="AU14" s="364"/>
      <c r="AV14" s="364"/>
    </row>
    <row r="15" spans="1:48" ht="15.75" x14ac:dyDescent="0.25">
      <c r="A15" s="358" t="str">
        <f>'1. паспорт местоположение'!A15:C15</f>
        <v>Реконструкция ТП-12 15/0,4кВ п.Южный, Багратионовского р-на</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8"/>
      <c r="AL15" s="358"/>
      <c r="AM15" s="358"/>
      <c r="AN15" s="358"/>
      <c r="AO15" s="358"/>
      <c r="AP15" s="358"/>
      <c r="AQ15" s="358"/>
      <c r="AR15" s="358"/>
      <c r="AS15" s="358"/>
      <c r="AT15" s="358"/>
      <c r="AU15" s="358"/>
      <c r="AV15" s="358"/>
    </row>
    <row r="16" spans="1:48" ht="15.75" x14ac:dyDescent="0.25">
      <c r="A16" s="359" t="s">
        <v>4</v>
      </c>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row>
    <row r="17" spans="1:4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3"/>
      <c r="AN17" s="393"/>
      <c r="AO17" s="393"/>
      <c r="AP17" s="393"/>
      <c r="AQ17" s="393"/>
      <c r="AR17" s="393"/>
      <c r="AS17" s="393"/>
      <c r="AT17" s="393"/>
      <c r="AU17" s="393"/>
      <c r="AV17" s="393"/>
    </row>
    <row r="18" spans="1:48" ht="14.25" customHeight="1"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3"/>
      <c r="AU18" s="393"/>
      <c r="AV18" s="393"/>
    </row>
    <row r="19" spans="1:4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s="183" customFormat="1"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c r="AS20" s="394"/>
      <c r="AT20" s="394"/>
      <c r="AU20" s="394"/>
      <c r="AV20" s="394"/>
    </row>
    <row r="21" spans="1:48" s="183" customFormat="1" x14ac:dyDescent="0.25">
      <c r="A21" s="445" t="s">
        <v>406</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s="183" customFormat="1" ht="58.5" customHeight="1" x14ac:dyDescent="0.25">
      <c r="A22" s="446" t="s">
        <v>50</v>
      </c>
      <c r="B22" s="452" t="s">
        <v>22</v>
      </c>
      <c r="C22" s="449" t="s">
        <v>49</v>
      </c>
      <c r="D22" s="449" t="s">
        <v>48</v>
      </c>
      <c r="E22" s="455" t="s">
        <v>416</v>
      </c>
      <c r="F22" s="456"/>
      <c r="G22" s="456"/>
      <c r="H22" s="456"/>
      <c r="I22" s="456"/>
      <c r="J22" s="456"/>
      <c r="K22" s="456"/>
      <c r="L22" s="457"/>
      <c r="M22" s="449" t="s">
        <v>47</v>
      </c>
      <c r="N22" s="449" t="s">
        <v>46</v>
      </c>
      <c r="O22" s="449" t="s">
        <v>45</v>
      </c>
      <c r="P22" s="458" t="s">
        <v>228</v>
      </c>
      <c r="Q22" s="458" t="s">
        <v>44</v>
      </c>
      <c r="R22" s="458" t="s">
        <v>43</v>
      </c>
      <c r="S22" s="458" t="s">
        <v>42</v>
      </c>
      <c r="T22" s="458"/>
      <c r="U22" s="459" t="s">
        <v>41</v>
      </c>
      <c r="V22" s="459" t="s">
        <v>40</v>
      </c>
      <c r="W22" s="458" t="s">
        <v>39</v>
      </c>
      <c r="X22" s="458" t="s">
        <v>38</v>
      </c>
      <c r="Y22" s="458" t="s">
        <v>37</v>
      </c>
      <c r="Z22" s="472" t="s">
        <v>36</v>
      </c>
      <c r="AA22" s="458" t="s">
        <v>35</v>
      </c>
      <c r="AB22" s="458" t="s">
        <v>34</v>
      </c>
      <c r="AC22" s="458" t="s">
        <v>33</v>
      </c>
      <c r="AD22" s="458" t="s">
        <v>32</v>
      </c>
      <c r="AE22" s="458" t="s">
        <v>31</v>
      </c>
      <c r="AF22" s="458" t="s">
        <v>30</v>
      </c>
      <c r="AG22" s="458"/>
      <c r="AH22" s="458"/>
      <c r="AI22" s="458"/>
      <c r="AJ22" s="458"/>
      <c r="AK22" s="458"/>
      <c r="AL22" s="458" t="s">
        <v>29</v>
      </c>
      <c r="AM22" s="458"/>
      <c r="AN22" s="458"/>
      <c r="AO22" s="458"/>
      <c r="AP22" s="458" t="s">
        <v>28</v>
      </c>
      <c r="AQ22" s="458"/>
      <c r="AR22" s="458" t="s">
        <v>27</v>
      </c>
      <c r="AS22" s="458" t="s">
        <v>26</v>
      </c>
      <c r="AT22" s="458" t="s">
        <v>25</v>
      </c>
      <c r="AU22" s="458" t="s">
        <v>24</v>
      </c>
      <c r="AV22" s="462" t="s">
        <v>23</v>
      </c>
    </row>
    <row r="23" spans="1:48" s="183" customFormat="1" ht="64.5" customHeight="1" x14ac:dyDescent="0.25">
      <c r="A23" s="447"/>
      <c r="B23" s="453"/>
      <c r="C23" s="450"/>
      <c r="D23" s="450"/>
      <c r="E23" s="464" t="s">
        <v>21</v>
      </c>
      <c r="F23" s="466" t="s">
        <v>126</v>
      </c>
      <c r="G23" s="466" t="s">
        <v>125</v>
      </c>
      <c r="H23" s="466" t="s">
        <v>124</v>
      </c>
      <c r="I23" s="470" t="s">
        <v>353</v>
      </c>
      <c r="J23" s="470" t="s">
        <v>354</v>
      </c>
      <c r="K23" s="470" t="s">
        <v>355</v>
      </c>
      <c r="L23" s="466" t="s">
        <v>74</v>
      </c>
      <c r="M23" s="450"/>
      <c r="N23" s="450"/>
      <c r="O23" s="450"/>
      <c r="P23" s="458"/>
      <c r="Q23" s="458"/>
      <c r="R23" s="458"/>
      <c r="S23" s="468" t="s">
        <v>2</v>
      </c>
      <c r="T23" s="468" t="s">
        <v>9</v>
      </c>
      <c r="U23" s="459"/>
      <c r="V23" s="459"/>
      <c r="W23" s="458"/>
      <c r="X23" s="458"/>
      <c r="Y23" s="458"/>
      <c r="Z23" s="458"/>
      <c r="AA23" s="458"/>
      <c r="AB23" s="458"/>
      <c r="AC23" s="458"/>
      <c r="AD23" s="458"/>
      <c r="AE23" s="458"/>
      <c r="AF23" s="458" t="s">
        <v>20</v>
      </c>
      <c r="AG23" s="458"/>
      <c r="AH23" s="458" t="s">
        <v>19</v>
      </c>
      <c r="AI23" s="458"/>
      <c r="AJ23" s="449" t="s">
        <v>18</v>
      </c>
      <c r="AK23" s="449" t="s">
        <v>17</v>
      </c>
      <c r="AL23" s="449" t="s">
        <v>16</v>
      </c>
      <c r="AM23" s="449" t="s">
        <v>15</v>
      </c>
      <c r="AN23" s="449" t="s">
        <v>14</v>
      </c>
      <c r="AO23" s="449" t="s">
        <v>13</v>
      </c>
      <c r="AP23" s="449" t="s">
        <v>12</v>
      </c>
      <c r="AQ23" s="460" t="s">
        <v>9</v>
      </c>
      <c r="AR23" s="458"/>
      <c r="AS23" s="458"/>
      <c r="AT23" s="458"/>
      <c r="AU23" s="458"/>
      <c r="AV23" s="463"/>
    </row>
    <row r="24" spans="1:48" s="183" customFormat="1" ht="96.75" customHeight="1" x14ac:dyDescent="0.25">
      <c r="A24" s="448"/>
      <c r="B24" s="454"/>
      <c r="C24" s="451"/>
      <c r="D24" s="451"/>
      <c r="E24" s="465"/>
      <c r="F24" s="467"/>
      <c r="G24" s="467"/>
      <c r="H24" s="467"/>
      <c r="I24" s="471"/>
      <c r="J24" s="471"/>
      <c r="K24" s="471"/>
      <c r="L24" s="467"/>
      <c r="M24" s="451"/>
      <c r="N24" s="451"/>
      <c r="O24" s="451"/>
      <c r="P24" s="458"/>
      <c r="Q24" s="458"/>
      <c r="R24" s="458"/>
      <c r="S24" s="469"/>
      <c r="T24" s="469"/>
      <c r="U24" s="459"/>
      <c r="V24" s="459"/>
      <c r="W24" s="458"/>
      <c r="X24" s="458"/>
      <c r="Y24" s="458"/>
      <c r="Z24" s="458"/>
      <c r="AA24" s="458"/>
      <c r="AB24" s="458"/>
      <c r="AC24" s="458"/>
      <c r="AD24" s="458"/>
      <c r="AE24" s="458"/>
      <c r="AF24" s="184" t="s">
        <v>11</v>
      </c>
      <c r="AG24" s="184" t="s">
        <v>10</v>
      </c>
      <c r="AH24" s="185" t="s">
        <v>2</v>
      </c>
      <c r="AI24" s="185" t="s">
        <v>9</v>
      </c>
      <c r="AJ24" s="451"/>
      <c r="AK24" s="451"/>
      <c r="AL24" s="451"/>
      <c r="AM24" s="451"/>
      <c r="AN24" s="451"/>
      <c r="AO24" s="451"/>
      <c r="AP24" s="451"/>
      <c r="AQ24" s="461"/>
      <c r="AR24" s="458"/>
      <c r="AS24" s="458"/>
      <c r="AT24" s="458"/>
      <c r="AU24" s="458"/>
      <c r="AV24" s="463"/>
    </row>
    <row r="25" spans="1:48" s="188" customFormat="1" ht="11.25" x14ac:dyDescent="0.2">
      <c r="A25" s="186">
        <v>1</v>
      </c>
      <c r="B25" s="187">
        <v>2</v>
      </c>
      <c r="C25" s="187">
        <v>4</v>
      </c>
      <c r="D25" s="187">
        <v>5</v>
      </c>
      <c r="E25" s="187">
        <v>6</v>
      </c>
      <c r="F25" s="187">
        <f>E25+1</f>
        <v>7</v>
      </c>
      <c r="G25" s="187">
        <f t="shared" ref="G25:H25" si="0">F25+1</f>
        <v>8</v>
      </c>
      <c r="H25" s="187">
        <f t="shared" si="0"/>
        <v>9</v>
      </c>
      <c r="I25" s="187">
        <f t="shared" ref="I25" si="1">H25+1</f>
        <v>10</v>
      </c>
      <c r="J25" s="187">
        <f t="shared" ref="J25" si="2">I25+1</f>
        <v>11</v>
      </c>
      <c r="K25" s="187">
        <f t="shared" ref="K25" si="3">J25+1</f>
        <v>12</v>
      </c>
      <c r="L25" s="187">
        <f t="shared" ref="L25" si="4">K25+1</f>
        <v>13</v>
      </c>
      <c r="M25" s="187">
        <f t="shared" ref="M25" si="5">L25+1</f>
        <v>14</v>
      </c>
      <c r="N25" s="187">
        <f t="shared" ref="N25" si="6">M25+1</f>
        <v>15</v>
      </c>
      <c r="O25" s="187">
        <f t="shared" ref="O25" si="7">N25+1</f>
        <v>16</v>
      </c>
      <c r="P25" s="187">
        <f t="shared" ref="P25" si="8">O25+1</f>
        <v>17</v>
      </c>
      <c r="Q25" s="187">
        <f t="shared" ref="Q25" si="9">P25+1</f>
        <v>18</v>
      </c>
      <c r="R25" s="187">
        <f t="shared" ref="R25" si="10">Q25+1</f>
        <v>19</v>
      </c>
      <c r="S25" s="187">
        <f t="shared" ref="S25" si="11">R25+1</f>
        <v>20</v>
      </c>
      <c r="T25" s="187">
        <f t="shared" ref="T25" si="12">S25+1</f>
        <v>21</v>
      </c>
      <c r="U25" s="187">
        <f t="shared" ref="U25" si="13">T25+1</f>
        <v>22</v>
      </c>
      <c r="V25" s="187">
        <f t="shared" ref="V25" si="14">U25+1</f>
        <v>23</v>
      </c>
      <c r="W25" s="187">
        <f t="shared" ref="W25" si="15">V25+1</f>
        <v>24</v>
      </c>
      <c r="X25" s="187">
        <f t="shared" ref="X25" si="16">W25+1</f>
        <v>25</v>
      </c>
      <c r="Y25" s="187">
        <f t="shared" ref="Y25" si="17">X25+1</f>
        <v>26</v>
      </c>
      <c r="Z25" s="187">
        <f t="shared" ref="Z25" si="18">Y25+1</f>
        <v>27</v>
      </c>
      <c r="AA25" s="187">
        <f t="shared" ref="AA25" si="19">Z25+1</f>
        <v>28</v>
      </c>
      <c r="AB25" s="187">
        <f t="shared" ref="AB25" si="20">AA25+1</f>
        <v>29</v>
      </c>
      <c r="AC25" s="187">
        <f t="shared" ref="AC25" si="21">AB25+1</f>
        <v>30</v>
      </c>
      <c r="AD25" s="187">
        <f t="shared" ref="AD25" si="22">AC25+1</f>
        <v>31</v>
      </c>
      <c r="AE25" s="187">
        <f t="shared" ref="AE25" si="23">AD25+1</f>
        <v>32</v>
      </c>
      <c r="AF25" s="187">
        <f t="shared" ref="AF25" si="24">AE25+1</f>
        <v>33</v>
      </c>
      <c r="AG25" s="187">
        <f t="shared" ref="AG25" si="25">AF25+1</f>
        <v>34</v>
      </c>
      <c r="AH25" s="187">
        <f t="shared" ref="AH25" si="26">AG25+1</f>
        <v>35</v>
      </c>
      <c r="AI25" s="187">
        <f t="shared" ref="AI25" si="27">AH25+1</f>
        <v>36</v>
      </c>
      <c r="AJ25" s="187">
        <f t="shared" ref="AJ25" si="28">AI25+1</f>
        <v>37</v>
      </c>
      <c r="AK25" s="187">
        <f t="shared" ref="AK25" si="29">AJ25+1</f>
        <v>38</v>
      </c>
      <c r="AL25" s="187">
        <f t="shared" ref="AL25" si="30">AK25+1</f>
        <v>39</v>
      </c>
      <c r="AM25" s="187">
        <f t="shared" ref="AM25" si="31">AL25+1</f>
        <v>40</v>
      </c>
      <c r="AN25" s="187">
        <f t="shared" ref="AN25" si="32">AM25+1</f>
        <v>41</v>
      </c>
      <c r="AO25" s="187">
        <f t="shared" ref="AO25" si="33">AN25+1</f>
        <v>42</v>
      </c>
      <c r="AP25" s="187">
        <f t="shared" ref="AP25" si="34">AO25+1</f>
        <v>43</v>
      </c>
      <c r="AQ25" s="187">
        <f t="shared" ref="AQ25" si="35">AP25+1</f>
        <v>44</v>
      </c>
      <c r="AR25" s="187">
        <f t="shared" ref="AR25" si="36">AQ25+1</f>
        <v>45</v>
      </c>
      <c r="AS25" s="187">
        <f t="shared" ref="AS25" si="37">AR25+1</f>
        <v>46</v>
      </c>
      <c r="AT25" s="187">
        <f t="shared" ref="AT25" si="38">AS25+1</f>
        <v>47</v>
      </c>
      <c r="AU25" s="187">
        <f t="shared" ref="AU25" si="39">AT25+1</f>
        <v>48</v>
      </c>
      <c r="AV25" s="187">
        <f t="shared" ref="AV25" si="40">AU25+1</f>
        <v>49</v>
      </c>
    </row>
    <row r="26" spans="1:48" s="193" customFormat="1" ht="63" x14ac:dyDescent="0.25">
      <c r="A26" s="189">
        <v>1</v>
      </c>
      <c r="B26" s="190" t="str">
        <f>A9</f>
        <v xml:space="preserve">Акционерное общество "Западная энергетическая компания" </v>
      </c>
      <c r="C26" s="190" t="s">
        <v>62</v>
      </c>
      <c r="D26" s="203">
        <f>'6.1. Паспорт сетевой график'!D53</f>
        <v>45473</v>
      </c>
      <c r="E26" s="190"/>
      <c r="F26" s="190"/>
      <c r="G26" s="190">
        <f>'6.2. Паспорт фин осв ввод'!C45</f>
        <v>0.8</v>
      </c>
      <c r="H26" s="190"/>
      <c r="I26" s="190"/>
      <c r="J26" s="190"/>
      <c r="K26" s="190"/>
      <c r="L26" s="190">
        <f>'6.2. Паспорт фин осв ввод'!C50</f>
        <v>5</v>
      </c>
      <c r="M26" s="190" t="s">
        <v>567</v>
      </c>
      <c r="N26" s="190" t="s">
        <v>549</v>
      </c>
      <c r="O26" s="191" t="str">
        <f>B26</f>
        <v xml:space="preserve">Акционерное общество "Западная энергетическая компания" </v>
      </c>
      <c r="P26" s="192">
        <f>'6.2. Паспорт фин осв ввод'!C30</f>
        <v>6.4645742592519868</v>
      </c>
      <c r="Q26" s="190" t="s">
        <v>550</v>
      </c>
      <c r="R26" s="192" t="s">
        <v>538</v>
      </c>
      <c r="S26" s="191" t="s">
        <v>598</v>
      </c>
      <c r="T26" s="191" t="s">
        <v>538</v>
      </c>
      <c r="U26" s="191" t="s">
        <v>538</v>
      </c>
      <c r="V26" s="191" t="s">
        <v>538</v>
      </c>
      <c r="W26" s="191" t="s">
        <v>538</v>
      </c>
      <c r="X26" s="191" t="s">
        <v>538</v>
      </c>
      <c r="Y26" s="191" t="s">
        <v>538</v>
      </c>
      <c r="Z26" s="191" t="s">
        <v>538</v>
      </c>
      <c r="AA26" s="191" t="s">
        <v>538</v>
      </c>
      <c r="AB26" s="191" t="s">
        <v>538</v>
      </c>
      <c r="AC26" s="191" t="s">
        <v>538</v>
      </c>
      <c r="AD26" s="191" t="s">
        <v>538</v>
      </c>
      <c r="AE26" s="191" t="s">
        <v>538</v>
      </c>
      <c r="AF26" s="191" t="s">
        <v>538</v>
      </c>
      <c r="AG26" s="191" t="s">
        <v>538</v>
      </c>
      <c r="AH26" s="191" t="s">
        <v>538</v>
      </c>
      <c r="AI26" s="191" t="s">
        <v>538</v>
      </c>
      <c r="AJ26" s="191" t="s">
        <v>538</v>
      </c>
      <c r="AK26" s="191" t="s">
        <v>538</v>
      </c>
      <c r="AL26" s="191" t="s">
        <v>538</v>
      </c>
      <c r="AM26" s="191" t="s">
        <v>538</v>
      </c>
      <c r="AN26" s="191" t="s">
        <v>538</v>
      </c>
      <c r="AO26" s="191" t="s">
        <v>538</v>
      </c>
      <c r="AP26" s="191" t="s">
        <v>538</v>
      </c>
      <c r="AQ26" s="191" t="s">
        <v>538</v>
      </c>
      <c r="AR26" s="191" t="s">
        <v>538</v>
      </c>
      <c r="AS26" s="191" t="s">
        <v>538</v>
      </c>
      <c r="AT26" s="191" t="s">
        <v>538</v>
      </c>
      <c r="AU26" s="191" t="s">
        <v>538</v>
      </c>
      <c r="AV26" s="191" t="s">
        <v>538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4" zoomScale="90" zoomScaleNormal="90" zoomScaleSheetLayoutView="90" workbookViewId="0">
      <selection activeCell="B26" sqref="B26"/>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473" t="str">
        <f>'1. паспорт местоположение'!A5:C5</f>
        <v>Год раскрытия информации: 2022 год</v>
      </c>
      <c r="B5" s="473"/>
      <c r="C5" s="68"/>
      <c r="D5" s="68"/>
      <c r="E5" s="68"/>
      <c r="F5" s="68"/>
      <c r="G5" s="68"/>
      <c r="H5" s="68"/>
    </row>
    <row r="6" spans="1:8" ht="18.75" x14ac:dyDescent="0.3">
      <c r="A6" s="103"/>
      <c r="B6" s="103"/>
      <c r="C6" s="103"/>
      <c r="D6" s="103"/>
      <c r="E6" s="103"/>
      <c r="F6" s="103"/>
      <c r="G6" s="103"/>
      <c r="H6" s="103"/>
    </row>
    <row r="7" spans="1:8" ht="18.75" x14ac:dyDescent="0.25">
      <c r="A7" s="363" t="s">
        <v>7</v>
      </c>
      <c r="B7" s="363"/>
      <c r="C7" s="141"/>
      <c r="D7" s="141"/>
      <c r="E7" s="141"/>
      <c r="F7" s="141"/>
      <c r="G7" s="141"/>
      <c r="H7" s="141"/>
    </row>
    <row r="8" spans="1:8" ht="18.75" x14ac:dyDescent="0.25">
      <c r="A8" s="141"/>
      <c r="B8" s="141"/>
      <c r="C8" s="141"/>
      <c r="D8" s="141"/>
      <c r="E8" s="141"/>
      <c r="F8" s="141"/>
      <c r="G8" s="141"/>
      <c r="H8" s="141"/>
    </row>
    <row r="9" spans="1:8" x14ac:dyDescent="0.25">
      <c r="A9" s="358" t="str">
        <f>'1. паспорт местоположение'!A9:C9</f>
        <v xml:space="preserve">Акционерное общество "Западная энергетическая компания" </v>
      </c>
      <c r="B9" s="358"/>
      <c r="C9" s="143"/>
      <c r="D9" s="143"/>
      <c r="E9" s="143"/>
      <c r="F9" s="143"/>
      <c r="G9" s="143"/>
      <c r="H9" s="143"/>
    </row>
    <row r="10" spans="1:8" x14ac:dyDescent="0.25">
      <c r="A10" s="359" t="s">
        <v>6</v>
      </c>
      <c r="B10" s="359"/>
      <c r="C10" s="144"/>
      <c r="D10" s="144"/>
      <c r="E10" s="144"/>
      <c r="F10" s="144"/>
      <c r="G10" s="144"/>
      <c r="H10" s="144"/>
    </row>
    <row r="11" spans="1:8" ht="18.75" x14ac:dyDescent="0.25">
      <c r="A11" s="141"/>
      <c r="B11" s="141"/>
      <c r="C11" s="141"/>
      <c r="D11" s="141"/>
      <c r="E11" s="141"/>
      <c r="F11" s="141"/>
      <c r="G11" s="141"/>
      <c r="H11" s="141"/>
    </row>
    <row r="12" spans="1:8" ht="30.75" customHeight="1" x14ac:dyDescent="0.25">
      <c r="A12" s="358" t="str">
        <f>'1. паспорт местоположение'!A12:C12</f>
        <v>J 19-10</v>
      </c>
      <c r="B12" s="358"/>
      <c r="C12" s="143"/>
      <c r="D12" s="143"/>
      <c r="E12" s="143"/>
      <c r="F12" s="143"/>
      <c r="G12" s="143"/>
      <c r="H12" s="143"/>
    </row>
    <row r="13" spans="1:8" x14ac:dyDescent="0.25">
      <c r="A13" s="359" t="s">
        <v>5</v>
      </c>
      <c r="B13" s="359"/>
      <c r="C13" s="144"/>
      <c r="D13" s="144"/>
      <c r="E13" s="144"/>
      <c r="F13" s="144"/>
      <c r="G13" s="144"/>
      <c r="H13" s="144"/>
    </row>
    <row r="14" spans="1:8" ht="18.75" x14ac:dyDescent="0.25">
      <c r="A14" s="163"/>
      <c r="B14" s="163"/>
      <c r="C14" s="163"/>
      <c r="D14" s="163"/>
      <c r="E14" s="163"/>
      <c r="F14" s="163"/>
      <c r="G14" s="163"/>
      <c r="H14" s="163"/>
    </row>
    <row r="15" spans="1:8" ht="63.6" customHeight="1" x14ac:dyDescent="0.25">
      <c r="A15" s="392" t="str">
        <f>'1. паспорт местоположение'!A15:C15</f>
        <v>Реконструкция ТП-12 15/0,4кВ п.Южный, Багратионовского р-на</v>
      </c>
      <c r="B15" s="392"/>
      <c r="C15" s="143"/>
      <c r="D15" s="143"/>
      <c r="E15" s="143"/>
      <c r="F15" s="143"/>
      <c r="G15" s="143"/>
      <c r="H15" s="143"/>
    </row>
    <row r="16" spans="1:8" x14ac:dyDescent="0.25">
      <c r="A16" s="359" t="s">
        <v>4</v>
      </c>
      <c r="B16" s="359"/>
      <c r="C16" s="144"/>
      <c r="D16" s="144"/>
      <c r="E16" s="144"/>
      <c r="F16" s="144"/>
      <c r="G16" s="144"/>
      <c r="H16" s="144"/>
    </row>
    <row r="17" spans="1:2" x14ac:dyDescent="0.25">
      <c r="B17" s="78"/>
    </row>
    <row r="18" spans="1:2" ht="33.75" customHeight="1" x14ac:dyDescent="0.25">
      <c r="A18" s="474" t="s">
        <v>407</v>
      </c>
      <c r="B18" s="475"/>
    </row>
    <row r="19" spans="1:2" x14ac:dyDescent="0.25">
      <c r="B19" s="32"/>
    </row>
    <row r="20" spans="1:2" ht="16.5" thickBot="1" x14ac:dyDescent="0.3">
      <c r="B20" s="79"/>
    </row>
    <row r="21" spans="1:2" ht="34.15" customHeight="1" thickBot="1" x14ac:dyDescent="0.3">
      <c r="A21" s="80" t="s">
        <v>304</v>
      </c>
      <c r="B21" s="243" t="str">
        <f>A15</f>
        <v>Реконструкция ТП-12 15/0,4кВ п.Южный, Багратионовского р-на</v>
      </c>
    </row>
    <row r="22" spans="1:2" ht="30" customHeight="1" thickBot="1" x14ac:dyDescent="0.3">
      <c r="A22" s="80" t="s">
        <v>305</v>
      </c>
      <c r="B22" s="248" t="str">
        <f>'1. паспорт местоположение'!C27</f>
        <v>Багратионовский  р-н, п.Южный, Нивенское сельское поселение.</v>
      </c>
    </row>
    <row r="23" spans="1:2" ht="16.5" thickBot="1" x14ac:dyDescent="0.3">
      <c r="A23" s="80" t="s">
        <v>289</v>
      </c>
      <c r="B23" s="81" t="s">
        <v>568</v>
      </c>
    </row>
    <row r="24" spans="1:2" ht="16.5" thickBot="1" x14ac:dyDescent="0.3">
      <c r="A24" s="80" t="s">
        <v>306</v>
      </c>
      <c r="B24" s="81">
        <f>'6.2. Паспорт фин осв ввод'!C45</f>
        <v>0.8</v>
      </c>
    </row>
    <row r="25" spans="1:2" ht="16.5" thickBot="1" x14ac:dyDescent="0.3">
      <c r="A25" s="82" t="s">
        <v>307</v>
      </c>
      <c r="B25" s="247">
        <f>'6.1. Паспорт сетевой график'!C53</f>
        <v>45457</v>
      </c>
    </row>
    <row r="26" spans="1:2" ht="16.5" thickBot="1" x14ac:dyDescent="0.3">
      <c r="A26" s="83" t="s">
        <v>308</v>
      </c>
      <c r="B26" s="244" t="s">
        <v>569</v>
      </c>
    </row>
    <row r="27" spans="1:2" ht="29.25" thickBot="1" x14ac:dyDescent="0.3">
      <c r="A27" s="90" t="s">
        <v>597</v>
      </c>
      <c r="B27" s="245">
        <f>'6.2. Паспорт фин осв ввод'!C24</f>
        <v>7.7574891111023838</v>
      </c>
    </row>
    <row r="28" spans="1:2" ht="42" customHeight="1" thickBot="1" x14ac:dyDescent="0.3">
      <c r="A28" s="85" t="s">
        <v>309</v>
      </c>
      <c r="B28" s="85" t="s">
        <v>550</v>
      </c>
    </row>
    <row r="29" spans="1:2" ht="29.25" thickBot="1" x14ac:dyDescent="0.3">
      <c r="A29" s="91" t="s">
        <v>310</v>
      </c>
      <c r="B29" s="132"/>
    </row>
    <row r="30" spans="1:2" ht="29.25" thickBot="1" x14ac:dyDescent="0.3">
      <c r="A30" s="91" t="s">
        <v>311</v>
      </c>
      <c r="B30" s="132"/>
    </row>
    <row r="31" spans="1:2" ht="16.5" thickBot="1" x14ac:dyDescent="0.3">
      <c r="A31" s="85" t="s">
        <v>312</v>
      </c>
      <c r="B31" s="132"/>
    </row>
    <row r="32" spans="1:2" ht="29.25" thickBot="1" x14ac:dyDescent="0.3">
      <c r="A32" s="91" t="s">
        <v>313</v>
      </c>
      <c r="B32" s="132"/>
    </row>
    <row r="33" spans="1:3" s="194" customFormat="1" ht="16.5" thickBot="1" x14ac:dyDescent="0.3">
      <c r="A33" s="201"/>
      <c r="B33" s="202"/>
      <c r="C33" s="194">
        <v>10</v>
      </c>
    </row>
    <row r="34" spans="1:3" ht="16.5" thickBot="1" x14ac:dyDescent="0.3">
      <c r="A34" s="85" t="s">
        <v>315</v>
      </c>
      <c r="B34" s="113"/>
    </row>
    <row r="35" spans="1:3" ht="16.5" thickBot="1" x14ac:dyDescent="0.3">
      <c r="A35" s="85" t="s">
        <v>316</v>
      </c>
      <c r="B35" s="132"/>
      <c r="C35" s="44">
        <v>1</v>
      </c>
    </row>
    <row r="36" spans="1:3" ht="16.5" thickBot="1" x14ac:dyDescent="0.3">
      <c r="A36" s="85" t="s">
        <v>317</v>
      </c>
      <c r="B36" s="132"/>
      <c r="C36" s="44">
        <v>2</v>
      </c>
    </row>
    <row r="37" spans="1:3" s="194" customFormat="1" ht="16.5" thickBot="1" x14ac:dyDescent="0.3">
      <c r="A37" s="111" t="s">
        <v>314</v>
      </c>
      <c r="B37" s="112"/>
      <c r="C37" s="194">
        <v>10</v>
      </c>
    </row>
    <row r="38" spans="1:3" ht="16.5" thickBot="1" x14ac:dyDescent="0.3">
      <c r="A38" s="85" t="s">
        <v>315</v>
      </c>
      <c r="B38" s="113">
        <f>B37/$B$27</f>
        <v>0</v>
      </c>
    </row>
    <row r="39" spans="1:3" ht="16.5" thickBot="1" x14ac:dyDescent="0.3">
      <c r="A39" s="85" t="s">
        <v>316</v>
      </c>
      <c r="B39" s="110"/>
      <c r="C39" s="44">
        <v>1</v>
      </c>
    </row>
    <row r="40" spans="1:3" ht="16.5" thickBot="1" x14ac:dyDescent="0.3">
      <c r="A40" s="85" t="s">
        <v>317</v>
      </c>
      <c r="B40" s="110"/>
      <c r="C40" s="44">
        <v>2</v>
      </c>
    </row>
    <row r="41" spans="1:3" ht="16.5" thickBot="1" x14ac:dyDescent="0.3">
      <c r="A41" s="111" t="s">
        <v>314</v>
      </c>
      <c r="B41" s="112"/>
      <c r="C41" s="194">
        <v>10</v>
      </c>
    </row>
    <row r="42" spans="1:3" ht="16.5" thickBot="1" x14ac:dyDescent="0.3">
      <c r="A42" s="85" t="s">
        <v>315</v>
      </c>
      <c r="B42" s="113">
        <f>B41/$B$27</f>
        <v>0</v>
      </c>
    </row>
    <row r="43" spans="1:3" ht="16.5" thickBot="1" x14ac:dyDescent="0.3">
      <c r="A43" s="85" t="s">
        <v>316</v>
      </c>
      <c r="B43" s="110"/>
      <c r="C43" s="44">
        <v>1</v>
      </c>
    </row>
    <row r="44" spans="1:3" ht="16.5" thickBot="1" x14ac:dyDescent="0.3">
      <c r="A44" s="85" t="s">
        <v>317</v>
      </c>
      <c r="B44" s="110"/>
      <c r="C44" s="44">
        <v>2</v>
      </c>
    </row>
    <row r="45" spans="1:3" ht="16.5" thickBot="1" x14ac:dyDescent="0.3">
      <c r="A45" s="111" t="s">
        <v>314</v>
      </c>
      <c r="B45" s="112"/>
      <c r="C45" s="194">
        <v>10</v>
      </c>
    </row>
    <row r="46" spans="1:3" ht="16.5" thickBot="1" x14ac:dyDescent="0.3">
      <c r="A46" s="85" t="s">
        <v>315</v>
      </c>
      <c r="B46" s="113">
        <f>B45/$B$27</f>
        <v>0</v>
      </c>
    </row>
    <row r="47" spans="1:3" ht="16.5" thickBot="1" x14ac:dyDescent="0.3">
      <c r="A47" s="85" t="s">
        <v>316</v>
      </c>
      <c r="B47" s="110"/>
      <c r="C47" s="44">
        <v>1</v>
      </c>
    </row>
    <row r="48" spans="1:3" ht="16.5" thickBot="1" x14ac:dyDescent="0.3">
      <c r="A48" s="85" t="s">
        <v>317</v>
      </c>
      <c r="B48" s="110"/>
      <c r="C48" s="44">
        <v>2</v>
      </c>
    </row>
    <row r="49" spans="1:3" ht="16.5" thickBot="1" x14ac:dyDescent="0.3">
      <c r="A49" s="111" t="s">
        <v>314</v>
      </c>
      <c r="B49" s="112"/>
      <c r="C49" s="194">
        <v>10</v>
      </c>
    </row>
    <row r="50" spans="1:3" ht="16.5" thickBot="1" x14ac:dyDescent="0.3">
      <c r="A50" s="85" t="s">
        <v>315</v>
      </c>
      <c r="B50" s="113">
        <f>B49/$B$27</f>
        <v>0</v>
      </c>
    </row>
    <row r="51" spans="1:3" ht="16.5" thickBot="1" x14ac:dyDescent="0.3">
      <c r="A51" s="85" t="s">
        <v>316</v>
      </c>
      <c r="B51" s="110"/>
      <c r="C51" s="44">
        <v>1</v>
      </c>
    </row>
    <row r="52" spans="1:3" ht="16.5" thickBot="1" x14ac:dyDescent="0.3">
      <c r="A52" s="85" t="s">
        <v>317</v>
      </c>
      <c r="B52" s="110"/>
      <c r="C52" s="44">
        <v>2</v>
      </c>
    </row>
    <row r="53" spans="1:3" ht="29.25" thickBot="1" x14ac:dyDescent="0.3">
      <c r="A53" s="91" t="s">
        <v>318</v>
      </c>
      <c r="B53" s="110">
        <f xml:space="preserve"> SUMIF(C54:C110, 20,B54:B110)</f>
        <v>0</v>
      </c>
    </row>
    <row r="54" spans="1:3" s="194" customFormat="1" ht="16.5" thickBot="1" x14ac:dyDescent="0.3">
      <c r="A54" s="111" t="s">
        <v>314</v>
      </c>
      <c r="B54" s="112"/>
      <c r="C54" s="194">
        <v>20</v>
      </c>
    </row>
    <row r="55" spans="1:3" ht="16.5" thickBot="1" x14ac:dyDescent="0.3">
      <c r="A55" s="85" t="s">
        <v>315</v>
      </c>
      <c r="B55" s="113">
        <f>B54/$B$27</f>
        <v>0</v>
      </c>
    </row>
    <row r="56" spans="1:3" ht="16.5" thickBot="1" x14ac:dyDescent="0.3">
      <c r="A56" s="85" t="s">
        <v>316</v>
      </c>
      <c r="B56" s="110"/>
      <c r="C56" s="44">
        <v>1</v>
      </c>
    </row>
    <row r="57" spans="1:3" ht="16.5" thickBot="1" x14ac:dyDescent="0.3">
      <c r="A57" s="85" t="s">
        <v>317</v>
      </c>
      <c r="B57" s="110"/>
      <c r="C57" s="44">
        <v>2</v>
      </c>
    </row>
    <row r="58" spans="1:3" s="194" customFormat="1" ht="16.5" thickBot="1" x14ac:dyDescent="0.3">
      <c r="A58" s="111" t="s">
        <v>314</v>
      </c>
      <c r="B58" s="112"/>
      <c r="C58" s="194">
        <v>20</v>
      </c>
    </row>
    <row r="59" spans="1:3" ht="16.5" thickBot="1" x14ac:dyDescent="0.3">
      <c r="A59" s="85" t="s">
        <v>315</v>
      </c>
      <c r="B59" s="113">
        <f>B58/$B$27</f>
        <v>0</v>
      </c>
    </row>
    <row r="60" spans="1:3" ht="16.5" thickBot="1" x14ac:dyDescent="0.3">
      <c r="A60" s="85" t="s">
        <v>316</v>
      </c>
      <c r="B60" s="110"/>
      <c r="C60" s="44">
        <v>1</v>
      </c>
    </row>
    <row r="61" spans="1:3" ht="16.5" thickBot="1" x14ac:dyDescent="0.3">
      <c r="A61" s="85" t="s">
        <v>317</v>
      </c>
      <c r="B61" s="110"/>
      <c r="C61" s="44">
        <v>2</v>
      </c>
    </row>
    <row r="62" spans="1:3" s="194" customFormat="1" ht="16.5" thickBot="1" x14ac:dyDescent="0.3">
      <c r="A62" s="111" t="s">
        <v>314</v>
      </c>
      <c r="B62" s="112"/>
      <c r="C62" s="194">
        <v>20</v>
      </c>
    </row>
    <row r="63" spans="1:3" ht="16.5" thickBot="1" x14ac:dyDescent="0.3">
      <c r="A63" s="85" t="s">
        <v>315</v>
      </c>
      <c r="B63" s="113">
        <f>B62/$B$27</f>
        <v>0</v>
      </c>
    </row>
    <row r="64" spans="1:3" ht="16.5" thickBot="1" x14ac:dyDescent="0.3">
      <c r="A64" s="85" t="s">
        <v>316</v>
      </c>
      <c r="B64" s="110"/>
      <c r="C64" s="44">
        <v>1</v>
      </c>
    </row>
    <row r="65" spans="1:3" ht="16.5" thickBot="1" x14ac:dyDescent="0.3">
      <c r="A65" s="85" t="s">
        <v>317</v>
      </c>
      <c r="B65" s="110"/>
      <c r="C65" s="44">
        <v>2</v>
      </c>
    </row>
    <row r="66" spans="1:3" s="194" customFormat="1" ht="16.5" thickBot="1" x14ac:dyDescent="0.3">
      <c r="A66" s="111" t="s">
        <v>314</v>
      </c>
      <c r="B66" s="112"/>
      <c r="C66" s="194">
        <v>20</v>
      </c>
    </row>
    <row r="67" spans="1:3" ht="16.5" thickBot="1" x14ac:dyDescent="0.3">
      <c r="A67" s="85" t="s">
        <v>315</v>
      </c>
      <c r="B67" s="113">
        <f>B66/$B$27</f>
        <v>0</v>
      </c>
    </row>
    <row r="68" spans="1:3" ht="16.5" thickBot="1" x14ac:dyDescent="0.3">
      <c r="A68" s="85" t="s">
        <v>316</v>
      </c>
      <c r="B68" s="110"/>
      <c r="C68" s="44">
        <v>1</v>
      </c>
    </row>
    <row r="69" spans="1:3" ht="16.5" thickBot="1" x14ac:dyDescent="0.3">
      <c r="A69" s="85" t="s">
        <v>317</v>
      </c>
      <c r="B69" s="110"/>
      <c r="C69" s="44">
        <v>2</v>
      </c>
    </row>
    <row r="70" spans="1:3" ht="29.25" thickBot="1" x14ac:dyDescent="0.3">
      <c r="A70" s="91" t="s">
        <v>319</v>
      </c>
      <c r="B70" s="110"/>
    </row>
    <row r="71" spans="1:3" s="194" customFormat="1" ht="16.5" thickBot="1" x14ac:dyDescent="0.3">
      <c r="A71" s="201"/>
      <c r="B71" s="202"/>
      <c r="C71" s="194">
        <v>30</v>
      </c>
    </row>
    <row r="72" spans="1:3" ht="16.5" thickBot="1" x14ac:dyDescent="0.3">
      <c r="A72" s="85" t="s">
        <v>315</v>
      </c>
      <c r="B72" s="113"/>
    </row>
    <row r="73" spans="1:3" ht="16.5" thickBot="1" x14ac:dyDescent="0.3">
      <c r="A73" s="85" t="s">
        <v>316</v>
      </c>
      <c r="B73" s="132"/>
      <c r="C73" s="44">
        <v>1</v>
      </c>
    </row>
    <row r="74" spans="1:3" ht="16.5" thickBot="1" x14ac:dyDescent="0.3">
      <c r="A74" s="85" t="s">
        <v>317</v>
      </c>
      <c r="B74" s="132"/>
      <c r="C74" s="44">
        <v>2</v>
      </c>
    </row>
    <row r="75" spans="1:3" s="194" customFormat="1" ht="16.5" thickBot="1" x14ac:dyDescent="0.3">
      <c r="A75" s="201"/>
      <c r="B75" s="202"/>
      <c r="C75" s="194">
        <v>30</v>
      </c>
    </row>
    <row r="76" spans="1:3" ht="16.5" thickBot="1" x14ac:dyDescent="0.3">
      <c r="A76" s="85" t="s">
        <v>315</v>
      </c>
      <c r="B76" s="113"/>
    </row>
    <row r="77" spans="1:3" ht="16.5" thickBot="1" x14ac:dyDescent="0.3">
      <c r="A77" s="85" t="s">
        <v>316</v>
      </c>
      <c r="B77" s="132"/>
      <c r="C77" s="44">
        <v>1</v>
      </c>
    </row>
    <row r="78" spans="1:3" ht="16.5" thickBot="1" x14ac:dyDescent="0.3">
      <c r="A78" s="85" t="s">
        <v>317</v>
      </c>
      <c r="B78" s="132"/>
      <c r="C78" s="44">
        <v>2</v>
      </c>
    </row>
    <row r="79" spans="1:3" s="194" customFormat="1" ht="16.5" thickBot="1" x14ac:dyDescent="0.3">
      <c r="A79" s="201"/>
      <c r="B79" s="202"/>
      <c r="C79" s="194">
        <v>30</v>
      </c>
    </row>
    <row r="80" spans="1:3" ht="16.5" thickBot="1" x14ac:dyDescent="0.3">
      <c r="A80" s="85" t="s">
        <v>315</v>
      </c>
      <c r="B80" s="113"/>
    </row>
    <row r="81" spans="1:3" ht="16.5" thickBot="1" x14ac:dyDescent="0.3">
      <c r="A81" s="85" t="s">
        <v>316</v>
      </c>
      <c r="B81" s="110"/>
      <c r="C81" s="44">
        <v>1</v>
      </c>
    </row>
    <row r="82" spans="1:3" ht="16.5" thickBot="1" x14ac:dyDescent="0.3">
      <c r="A82" s="85" t="s">
        <v>317</v>
      </c>
      <c r="B82" s="110"/>
      <c r="C82" s="44">
        <v>2</v>
      </c>
    </row>
    <row r="83" spans="1:3" s="194" customFormat="1" ht="16.5" thickBot="1" x14ac:dyDescent="0.3">
      <c r="A83" s="111" t="s">
        <v>314</v>
      </c>
      <c r="B83" s="112"/>
      <c r="C83" s="194">
        <v>30</v>
      </c>
    </row>
    <row r="84" spans="1:3" ht="16.5" thickBot="1" x14ac:dyDescent="0.3">
      <c r="A84" s="85" t="s">
        <v>315</v>
      </c>
      <c r="B84" s="113"/>
    </row>
    <row r="85" spans="1:3" ht="16.5" thickBot="1" x14ac:dyDescent="0.3">
      <c r="A85" s="85" t="s">
        <v>316</v>
      </c>
      <c r="B85" s="110"/>
      <c r="C85" s="44">
        <v>1</v>
      </c>
    </row>
    <row r="86" spans="1:3" ht="16.5" thickBot="1" x14ac:dyDescent="0.3">
      <c r="A86" s="85" t="s">
        <v>317</v>
      </c>
      <c r="B86" s="110"/>
      <c r="C86" s="44">
        <v>2</v>
      </c>
    </row>
    <row r="87" spans="1:3" s="194" customFormat="1" ht="16.5" thickBot="1" x14ac:dyDescent="0.3">
      <c r="A87" s="111" t="s">
        <v>314</v>
      </c>
      <c r="B87" s="112"/>
      <c r="C87" s="194">
        <v>30</v>
      </c>
    </row>
    <row r="88" spans="1:3" ht="16.5" thickBot="1" x14ac:dyDescent="0.3">
      <c r="A88" s="85" t="s">
        <v>315</v>
      </c>
      <c r="B88" s="113"/>
    </row>
    <row r="89" spans="1:3" ht="16.5" thickBot="1" x14ac:dyDescent="0.3">
      <c r="A89" s="85" t="s">
        <v>316</v>
      </c>
      <c r="B89" s="110"/>
      <c r="C89" s="44">
        <v>1</v>
      </c>
    </row>
    <row r="90" spans="1:3" ht="16.5" thickBot="1" x14ac:dyDescent="0.3">
      <c r="A90" s="85" t="s">
        <v>317</v>
      </c>
      <c r="B90" s="110"/>
      <c r="C90" s="44">
        <v>2</v>
      </c>
    </row>
    <row r="91" spans="1:3" s="194" customFormat="1" ht="16.5" thickBot="1" x14ac:dyDescent="0.3">
      <c r="A91" s="111" t="s">
        <v>314</v>
      </c>
      <c r="B91" s="112"/>
      <c r="C91" s="194">
        <v>30</v>
      </c>
    </row>
    <row r="92" spans="1:3" ht="16.5" thickBot="1" x14ac:dyDescent="0.3">
      <c r="A92" s="85" t="s">
        <v>315</v>
      </c>
      <c r="B92" s="113"/>
    </row>
    <row r="93" spans="1:3" ht="16.5" thickBot="1" x14ac:dyDescent="0.3">
      <c r="A93" s="85" t="s">
        <v>316</v>
      </c>
      <c r="B93" s="110"/>
      <c r="C93" s="44">
        <v>1</v>
      </c>
    </row>
    <row r="94" spans="1:3" ht="16.5" thickBot="1" x14ac:dyDescent="0.3">
      <c r="A94" s="85" t="s">
        <v>317</v>
      </c>
      <c r="B94" s="110"/>
      <c r="C94" s="44">
        <v>2</v>
      </c>
    </row>
    <row r="95" spans="1:3" s="194" customFormat="1" ht="16.5" thickBot="1" x14ac:dyDescent="0.3">
      <c r="A95" s="111" t="s">
        <v>314</v>
      </c>
      <c r="B95" s="112"/>
      <c r="C95" s="194">
        <v>30</v>
      </c>
    </row>
    <row r="96" spans="1:3" ht="16.5" thickBot="1" x14ac:dyDescent="0.3">
      <c r="A96" s="85" t="s">
        <v>315</v>
      </c>
      <c r="B96" s="113"/>
    </row>
    <row r="97" spans="1:3" ht="16.5" thickBot="1" x14ac:dyDescent="0.3">
      <c r="A97" s="85" t="s">
        <v>316</v>
      </c>
      <c r="B97" s="110"/>
      <c r="C97" s="44">
        <v>1</v>
      </c>
    </row>
    <row r="98" spans="1:3" ht="16.5" thickBot="1" x14ac:dyDescent="0.3">
      <c r="A98" s="85" t="s">
        <v>317</v>
      </c>
      <c r="B98" s="110"/>
      <c r="C98" s="44">
        <v>2</v>
      </c>
    </row>
    <row r="99" spans="1:3" s="194" customFormat="1" ht="16.5" thickBot="1" x14ac:dyDescent="0.3">
      <c r="A99" s="111" t="s">
        <v>314</v>
      </c>
      <c r="B99" s="112"/>
      <c r="C99" s="194">
        <v>30</v>
      </c>
    </row>
    <row r="100" spans="1:3" ht="16.5" thickBot="1" x14ac:dyDescent="0.3">
      <c r="A100" s="85" t="s">
        <v>315</v>
      </c>
      <c r="B100" s="113">
        <f>B99/$B$27</f>
        <v>0</v>
      </c>
    </row>
    <row r="101" spans="1:3" ht="16.5" thickBot="1" x14ac:dyDescent="0.3">
      <c r="A101" s="85" t="s">
        <v>316</v>
      </c>
      <c r="B101" s="110"/>
      <c r="C101" s="44">
        <v>1</v>
      </c>
    </row>
    <row r="102" spans="1:3" ht="16.5" thickBot="1" x14ac:dyDescent="0.3">
      <c r="A102" s="85" t="s">
        <v>317</v>
      </c>
      <c r="B102" s="110"/>
      <c r="C102" s="44">
        <v>2</v>
      </c>
    </row>
    <row r="103" spans="1:3" s="194" customFormat="1" ht="16.5" thickBot="1" x14ac:dyDescent="0.3">
      <c r="A103" s="111" t="s">
        <v>314</v>
      </c>
      <c r="B103" s="112"/>
      <c r="C103" s="194">
        <v>30</v>
      </c>
    </row>
    <row r="104" spans="1:3" ht="16.5" thickBot="1" x14ac:dyDescent="0.3">
      <c r="A104" s="85" t="s">
        <v>315</v>
      </c>
      <c r="B104" s="113">
        <f>B103/$B$27</f>
        <v>0</v>
      </c>
    </row>
    <row r="105" spans="1:3" ht="16.5" thickBot="1" x14ac:dyDescent="0.3">
      <c r="A105" s="85" t="s">
        <v>316</v>
      </c>
      <c r="B105" s="110"/>
      <c r="C105" s="44">
        <v>1</v>
      </c>
    </row>
    <row r="106" spans="1:3" ht="16.5" thickBot="1" x14ac:dyDescent="0.3">
      <c r="A106" s="85" t="s">
        <v>317</v>
      </c>
      <c r="B106" s="110"/>
      <c r="C106" s="44">
        <v>2</v>
      </c>
    </row>
    <row r="107" spans="1:3" s="194" customFormat="1" ht="16.5" thickBot="1" x14ac:dyDescent="0.3">
      <c r="A107" s="111" t="s">
        <v>314</v>
      </c>
      <c r="B107" s="112"/>
      <c r="C107" s="194">
        <v>30</v>
      </c>
    </row>
    <row r="108" spans="1:3" ht="16.5" thickBot="1" x14ac:dyDescent="0.3">
      <c r="A108" s="85" t="s">
        <v>315</v>
      </c>
      <c r="B108" s="113">
        <f>B107/$B$27</f>
        <v>0</v>
      </c>
    </row>
    <row r="109" spans="1:3" ht="16.5" thickBot="1" x14ac:dyDescent="0.3">
      <c r="A109" s="85" t="s">
        <v>316</v>
      </c>
      <c r="B109" s="110"/>
      <c r="C109" s="44">
        <v>1</v>
      </c>
    </row>
    <row r="110" spans="1:3" ht="16.5" thickBot="1" x14ac:dyDescent="0.3">
      <c r="A110" s="85" t="s">
        <v>317</v>
      </c>
      <c r="B110" s="110"/>
      <c r="C110" s="44">
        <v>2</v>
      </c>
    </row>
    <row r="111" spans="1:3" ht="29.25" thickBot="1" x14ac:dyDescent="0.3">
      <c r="A111" s="84" t="s">
        <v>320</v>
      </c>
      <c r="B111" s="113">
        <f>B30/B27</f>
        <v>0</v>
      </c>
    </row>
    <row r="112" spans="1:3" ht="16.5" thickBot="1" x14ac:dyDescent="0.3">
      <c r="A112" s="86" t="s">
        <v>312</v>
      </c>
      <c r="B112" s="92"/>
    </row>
    <row r="113" spans="1:2" ht="16.5" thickBot="1" x14ac:dyDescent="0.3">
      <c r="A113" s="86" t="s">
        <v>321</v>
      </c>
      <c r="B113" s="113">
        <f>B33/B27</f>
        <v>0</v>
      </c>
    </row>
    <row r="114" spans="1:2" ht="16.5" thickBot="1" x14ac:dyDescent="0.3">
      <c r="A114" s="86" t="s">
        <v>322</v>
      </c>
      <c r="B114" s="113"/>
    </row>
    <row r="115" spans="1:2" ht="16.5" thickBot="1" x14ac:dyDescent="0.3">
      <c r="A115" s="86" t="s">
        <v>323</v>
      </c>
      <c r="B115" s="113">
        <f>B70/B27</f>
        <v>0</v>
      </c>
    </row>
    <row r="116" spans="1:2" ht="16.5" thickBot="1" x14ac:dyDescent="0.3">
      <c r="A116" s="82" t="s">
        <v>324</v>
      </c>
      <c r="B116" s="114">
        <f>B117/$B$27</f>
        <v>0</v>
      </c>
    </row>
    <row r="117" spans="1:2" ht="16.5" thickBot="1" x14ac:dyDescent="0.3">
      <c r="A117" s="82" t="s">
        <v>325</v>
      </c>
      <c r="B117" s="220">
        <f xml:space="preserve"> SUMIF(C33:C110, 1,B33:B110)</f>
        <v>0</v>
      </c>
    </row>
    <row r="118" spans="1:2" ht="16.5" thickBot="1" x14ac:dyDescent="0.3">
      <c r="A118" s="82" t="s">
        <v>326</v>
      </c>
      <c r="B118" s="114">
        <f>B119/$B$27</f>
        <v>0</v>
      </c>
    </row>
    <row r="119" spans="1:2" ht="16.5" thickBot="1" x14ac:dyDescent="0.3">
      <c r="A119" s="83" t="s">
        <v>327</v>
      </c>
      <c r="B119" s="220">
        <f xml:space="preserve"> SUMIF(C33:C110, 2,B33:B110)</f>
        <v>0</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21"/>
    </row>
    <row r="128" spans="1:2" ht="16.5" thickBot="1" x14ac:dyDescent="0.3">
      <c r="A128" s="86" t="s">
        <v>312</v>
      </c>
      <c r="B128" s="222"/>
    </row>
    <row r="129" spans="1:2" ht="16.5" thickBot="1" x14ac:dyDescent="0.3">
      <c r="A129" s="86" t="s">
        <v>337</v>
      </c>
      <c r="B129" s="221"/>
    </row>
    <row r="130" spans="1:2" ht="16.5" thickBot="1" x14ac:dyDescent="0.3">
      <c r="A130" s="86" t="s">
        <v>338</v>
      </c>
      <c r="B130" s="222"/>
    </row>
    <row r="131" spans="1:2" ht="16.5" thickBot="1" x14ac:dyDescent="0.3">
      <c r="A131" s="95" t="s">
        <v>339</v>
      </c>
      <c r="B131" s="136"/>
    </row>
    <row r="132" spans="1:2" ht="16.5" thickBot="1" x14ac:dyDescent="0.3">
      <c r="A132" s="82" t="s">
        <v>340</v>
      </c>
      <c r="B132" s="93"/>
    </row>
    <row r="133" spans="1:2" ht="16.5" thickBot="1" x14ac:dyDescent="0.3">
      <c r="A133" s="88" t="s">
        <v>341</v>
      </c>
      <c r="B133" s="219">
        <f>'6.1. Паспорт сетевой график'!H43</f>
        <v>45209</v>
      </c>
    </row>
    <row r="134" spans="1:2" ht="16.5" thickBot="1" x14ac:dyDescent="0.3">
      <c r="A134" s="88" t="s">
        <v>342</v>
      </c>
      <c r="B134" s="96" t="s">
        <v>544</v>
      </c>
    </row>
    <row r="135" spans="1:2" ht="16.5" thickBot="1" x14ac:dyDescent="0.3">
      <c r="A135" s="88" t="s">
        <v>343</v>
      </c>
      <c r="B135" s="96" t="s">
        <v>544</v>
      </c>
    </row>
    <row r="136" spans="1:2" ht="29.25" thickBot="1" x14ac:dyDescent="0.3">
      <c r="A136" s="97" t="s">
        <v>344</v>
      </c>
      <c r="B136" s="94" t="s">
        <v>545</v>
      </c>
    </row>
    <row r="137" spans="1:2" ht="28.5" customHeight="1" x14ac:dyDescent="0.25">
      <c r="A137" s="84" t="s">
        <v>345</v>
      </c>
      <c r="B137" s="476" t="s">
        <v>544</v>
      </c>
    </row>
    <row r="138" spans="1:2" x14ac:dyDescent="0.25">
      <c r="A138" s="88" t="s">
        <v>346</v>
      </c>
      <c r="B138" s="477"/>
    </row>
    <row r="139" spans="1:2" x14ac:dyDescent="0.25">
      <c r="A139" s="88" t="s">
        <v>347</v>
      </c>
      <c r="B139" s="477"/>
    </row>
    <row r="140" spans="1:2" x14ac:dyDescent="0.25">
      <c r="A140" s="88" t="s">
        <v>348</v>
      </c>
      <c r="B140" s="477"/>
    </row>
    <row r="141" spans="1:2" x14ac:dyDescent="0.25">
      <c r="A141" s="88" t="s">
        <v>349</v>
      </c>
      <c r="B141" s="477"/>
    </row>
    <row r="142" spans="1:2" ht="16.5" thickBot="1" x14ac:dyDescent="0.3">
      <c r="A142" s="98" t="s">
        <v>350</v>
      </c>
      <c r="B142" s="478"/>
    </row>
    <row r="145" spans="1:2" x14ac:dyDescent="0.25">
      <c r="A145" s="99"/>
      <c r="B145" s="100"/>
    </row>
    <row r="146" spans="1:2" x14ac:dyDescent="0.25">
      <c r="B146" s="101"/>
    </row>
    <row r="147" spans="1:2" x14ac:dyDescent="0.25">
      <c r="B147" s="102"/>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10_карты_ТП-12.kml" xr:uid="{00000000-0004-0000-0C00-000000000000}"/>
  </hyperlinks>
  <pageMargins left="0.70866141732283472" right="0.70866141732283472" top="0.74803149606299213" bottom="0.74803149606299213" header="0.31496062992125984" footer="0.31496062992125984"/>
  <pageSetup paperSize="8" scale="43"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G1" zoomScale="70" zoomScaleSheetLayoutView="70" workbookViewId="0">
      <selection activeCell="F19" sqref="F19:F20"/>
    </sheetView>
  </sheetViews>
  <sheetFormatPr defaultColWidth="9.140625" defaultRowHeight="15" x14ac:dyDescent="0.25"/>
  <cols>
    <col min="1" max="1" width="7.42578125" style="155" customWidth="1"/>
    <col min="2" max="2" width="35.85546875" style="155" customWidth="1"/>
    <col min="3" max="3" width="31.140625" style="155" customWidth="1"/>
    <col min="4" max="4" width="25" style="155" customWidth="1"/>
    <col min="5" max="5" width="50" style="155" customWidth="1"/>
    <col min="6" max="6" width="57" style="155" customWidth="1"/>
    <col min="7" max="7" width="75" style="155" customWidth="1"/>
    <col min="8" max="10" width="20.5703125" style="155" customWidth="1"/>
    <col min="11" max="11" width="16" style="155" customWidth="1"/>
    <col min="12" max="12" width="20.5703125" style="155" customWidth="1"/>
    <col min="13" max="13" width="21.28515625" style="155" customWidth="1"/>
    <col min="14" max="14" width="23.85546875" style="155" customWidth="1"/>
    <col min="15" max="15" width="17.85546875" style="155" customWidth="1"/>
    <col min="16" max="16" width="23.85546875" style="155" customWidth="1"/>
    <col min="17" max="17" width="127.5703125" style="155" customWidth="1"/>
    <col min="18" max="18" width="92.42578125" style="155" customWidth="1"/>
    <col min="19" max="19" width="51.5703125" style="155" customWidth="1"/>
    <col min="20" max="16384" width="9.140625" style="155"/>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52" t="str">
        <f>'1. паспорт местоположение'!A5:C5</f>
        <v>Год раскрытия информации: 2022 год</v>
      </c>
      <c r="B4" s="352"/>
      <c r="C4" s="352"/>
      <c r="D4" s="352"/>
      <c r="E4" s="352"/>
      <c r="F4" s="352"/>
      <c r="G4" s="352"/>
      <c r="H4" s="352"/>
      <c r="I4" s="352"/>
      <c r="J4" s="352"/>
      <c r="K4" s="352"/>
      <c r="L4" s="352"/>
      <c r="M4" s="352"/>
      <c r="N4" s="352"/>
      <c r="O4" s="352"/>
      <c r="P4" s="352"/>
      <c r="Q4" s="352"/>
      <c r="R4" s="352"/>
      <c r="S4" s="352"/>
    </row>
    <row r="5" spans="1:28" s="17" customFormat="1" ht="15.75" x14ac:dyDescent="0.2">
      <c r="A5" s="138"/>
    </row>
    <row r="6" spans="1:28" s="17" customFormat="1" ht="18.75" x14ac:dyDescent="0.2">
      <c r="A6" s="363" t="s">
        <v>7</v>
      </c>
      <c r="B6" s="363"/>
      <c r="C6" s="363"/>
      <c r="D6" s="363"/>
      <c r="E6" s="363"/>
      <c r="F6" s="363"/>
      <c r="G6" s="363"/>
      <c r="H6" s="363"/>
      <c r="I6" s="363"/>
      <c r="J6" s="363"/>
      <c r="K6" s="363"/>
      <c r="L6" s="363"/>
      <c r="M6" s="363"/>
      <c r="N6" s="363"/>
      <c r="O6" s="363"/>
      <c r="P6" s="363"/>
      <c r="Q6" s="363"/>
      <c r="R6" s="363"/>
      <c r="S6" s="363"/>
      <c r="T6" s="141"/>
      <c r="U6" s="141"/>
      <c r="V6" s="141"/>
      <c r="W6" s="141"/>
      <c r="X6" s="141"/>
      <c r="Y6" s="141"/>
      <c r="Z6" s="141"/>
      <c r="AA6" s="141"/>
      <c r="AB6" s="141"/>
    </row>
    <row r="7" spans="1:28" s="17" customFormat="1" ht="18.75" x14ac:dyDescent="0.2">
      <c r="A7" s="363"/>
      <c r="B7" s="363"/>
      <c r="C7" s="363"/>
      <c r="D7" s="363"/>
      <c r="E7" s="363"/>
      <c r="F7" s="363"/>
      <c r="G7" s="363"/>
      <c r="H7" s="363"/>
      <c r="I7" s="363"/>
      <c r="J7" s="363"/>
      <c r="K7" s="363"/>
      <c r="L7" s="363"/>
      <c r="M7" s="363"/>
      <c r="N7" s="363"/>
      <c r="O7" s="363"/>
      <c r="P7" s="363"/>
      <c r="Q7" s="363"/>
      <c r="R7" s="363"/>
      <c r="S7" s="363"/>
      <c r="T7" s="141"/>
      <c r="U7" s="141"/>
      <c r="V7" s="141"/>
      <c r="W7" s="141"/>
      <c r="X7" s="141"/>
      <c r="Y7" s="141"/>
      <c r="Z7" s="141"/>
      <c r="AA7" s="141"/>
      <c r="AB7" s="141"/>
    </row>
    <row r="8" spans="1:28" s="17" customFormat="1" ht="18.75" x14ac:dyDescent="0.2">
      <c r="A8" s="358" t="str">
        <f>'1. паспорт местоположение'!A9:C9</f>
        <v xml:space="preserve">Акционерное общество "Западная энергетическая компания" </v>
      </c>
      <c r="B8" s="358"/>
      <c r="C8" s="358"/>
      <c r="D8" s="358"/>
      <c r="E8" s="358"/>
      <c r="F8" s="358"/>
      <c r="G8" s="358"/>
      <c r="H8" s="358"/>
      <c r="I8" s="358"/>
      <c r="J8" s="358"/>
      <c r="K8" s="358"/>
      <c r="L8" s="358"/>
      <c r="M8" s="358"/>
      <c r="N8" s="358"/>
      <c r="O8" s="358"/>
      <c r="P8" s="358"/>
      <c r="Q8" s="358"/>
      <c r="R8" s="358"/>
      <c r="S8" s="358"/>
      <c r="T8" s="141"/>
      <c r="U8" s="141"/>
      <c r="V8" s="141"/>
      <c r="W8" s="141"/>
      <c r="X8" s="141"/>
      <c r="Y8" s="141"/>
      <c r="Z8" s="141"/>
      <c r="AA8" s="141"/>
      <c r="AB8" s="141"/>
    </row>
    <row r="9" spans="1:28" s="17" customFormat="1" ht="18.75" x14ac:dyDescent="0.2">
      <c r="A9" s="359" t="s">
        <v>6</v>
      </c>
      <c r="B9" s="359"/>
      <c r="C9" s="359"/>
      <c r="D9" s="359"/>
      <c r="E9" s="359"/>
      <c r="F9" s="359"/>
      <c r="G9" s="359"/>
      <c r="H9" s="359"/>
      <c r="I9" s="359"/>
      <c r="J9" s="359"/>
      <c r="K9" s="359"/>
      <c r="L9" s="359"/>
      <c r="M9" s="359"/>
      <c r="N9" s="359"/>
      <c r="O9" s="359"/>
      <c r="P9" s="359"/>
      <c r="Q9" s="359"/>
      <c r="R9" s="359"/>
      <c r="S9" s="359"/>
      <c r="T9" s="141"/>
      <c r="U9" s="141"/>
      <c r="V9" s="141"/>
      <c r="W9" s="141"/>
      <c r="X9" s="141"/>
      <c r="Y9" s="141"/>
      <c r="Z9" s="141"/>
      <c r="AA9" s="141"/>
      <c r="AB9" s="141"/>
    </row>
    <row r="10" spans="1:28" s="17" customFormat="1" ht="18.75" x14ac:dyDescent="0.2">
      <c r="A10" s="363"/>
      <c r="B10" s="363"/>
      <c r="C10" s="363"/>
      <c r="D10" s="363"/>
      <c r="E10" s="363"/>
      <c r="F10" s="363"/>
      <c r="G10" s="363"/>
      <c r="H10" s="363"/>
      <c r="I10" s="363"/>
      <c r="J10" s="363"/>
      <c r="K10" s="363"/>
      <c r="L10" s="363"/>
      <c r="M10" s="363"/>
      <c r="N10" s="363"/>
      <c r="O10" s="363"/>
      <c r="P10" s="363"/>
      <c r="Q10" s="363"/>
      <c r="R10" s="363"/>
      <c r="S10" s="363"/>
      <c r="T10" s="141"/>
      <c r="U10" s="141"/>
      <c r="V10" s="141"/>
      <c r="W10" s="141"/>
      <c r="X10" s="141"/>
      <c r="Y10" s="141"/>
      <c r="Z10" s="141"/>
      <c r="AA10" s="141"/>
      <c r="AB10" s="141"/>
    </row>
    <row r="11" spans="1:28" s="17" customFormat="1" ht="18.75" x14ac:dyDescent="0.2">
      <c r="A11" s="358" t="str">
        <f>'1. паспорт местоположение'!A12:C12</f>
        <v>J 19-10</v>
      </c>
      <c r="B11" s="358"/>
      <c r="C11" s="358"/>
      <c r="D11" s="358"/>
      <c r="E11" s="358"/>
      <c r="F11" s="358"/>
      <c r="G11" s="358"/>
      <c r="H11" s="358"/>
      <c r="I11" s="358"/>
      <c r="J11" s="358"/>
      <c r="K11" s="358"/>
      <c r="L11" s="358"/>
      <c r="M11" s="358"/>
      <c r="N11" s="358"/>
      <c r="O11" s="358"/>
      <c r="P11" s="358"/>
      <c r="Q11" s="358"/>
      <c r="R11" s="358"/>
      <c r="S11" s="358"/>
      <c r="T11" s="141"/>
      <c r="U11" s="141"/>
      <c r="V11" s="141"/>
      <c r="W11" s="141"/>
      <c r="X11" s="141"/>
      <c r="Y11" s="141"/>
      <c r="Z11" s="141"/>
      <c r="AA11" s="141"/>
      <c r="AB11" s="141"/>
    </row>
    <row r="12" spans="1:28" s="17" customFormat="1" ht="18.75" x14ac:dyDescent="0.2">
      <c r="A12" s="359" t="s">
        <v>5</v>
      </c>
      <c r="B12" s="359"/>
      <c r="C12" s="359"/>
      <c r="D12" s="359"/>
      <c r="E12" s="359"/>
      <c r="F12" s="359"/>
      <c r="G12" s="359"/>
      <c r="H12" s="359"/>
      <c r="I12" s="359"/>
      <c r="J12" s="359"/>
      <c r="K12" s="359"/>
      <c r="L12" s="359"/>
      <c r="M12" s="359"/>
      <c r="N12" s="359"/>
      <c r="O12" s="359"/>
      <c r="P12" s="359"/>
      <c r="Q12" s="359"/>
      <c r="R12" s="359"/>
      <c r="S12" s="359"/>
      <c r="T12" s="141"/>
      <c r="U12" s="141"/>
      <c r="V12" s="141"/>
      <c r="W12" s="141"/>
      <c r="X12" s="141"/>
      <c r="Y12" s="141"/>
      <c r="Z12" s="141"/>
      <c r="AA12" s="141"/>
      <c r="AB12" s="141"/>
    </row>
    <row r="13" spans="1:28" s="139" customFormat="1" ht="15.75" customHeight="1" x14ac:dyDescent="0.2">
      <c r="A13" s="364"/>
      <c r="B13" s="364"/>
      <c r="C13" s="364"/>
      <c r="D13" s="364"/>
      <c r="E13" s="364"/>
      <c r="F13" s="364"/>
      <c r="G13" s="364"/>
      <c r="H13" s="364"/>
      <c r="I13" s="364"/>
      <c r="J13" s="364"/>
      <c r="K13" s="364"/>
      <c r="L13" s="364"/>
      <c r="M13" s="364"/>
      <c r="N13" s="364"/>
      <c r="O13" s="364"/>
      <c r="P13" s="364"/>
      <c r="Q13" s="364"/>
      <c r="R13" s="364"/>
      <c r="S13" s="364"/>
      <c r="T13" s="142"/>
      <c r="U13" s="142"/>
      <c r="V13" s="142"/>
      <c r="W13" s="142"/>
      <c r="X13" s="142"/>
      <c r="Y13" s="142"/>
      <c r="Z13" s="142"/>
      <c r="AA13" s="142"/>
      <c r="AB13" s="142"/>
    </row>
    <row r="14" spans="1:28" s="140" customFormat="1" ht="15.75" x14ac:dyDescent="0.2">
      <c r="A14" s="358" t="str">
        <f>'1. паспорт местоположение'!A15:C15</f>
        <v>Реконструкция ТП-12 15/0,4кВ п.Южный, Багратионовского р-на</v>
      </c>
      <c r="B14" s="358"/>
      <c r="C14" s="358"/>
      <c r="D14" s="358"/>
      <c r="E14" s="358"/>
      <c r="F14" s="358"/>
      <c r="G14" s="358"/>
      <c r="H14" s="358"/>
      <c r="I14" s="358"/>
      <c r="J14" s="358"/>
      <c r="K14" s="358"/>
      <c r="L14" s="358"/>
      <c r="M14" s="358"/>
      <c r="N14" s="358"/>
      <c r="O14" s="358"/>
      <c r="P14" s="358"/>
      <c r="Q14" s="358"/>
      <c r="R14" s="358"/>
      <c r="S14" s="358"/>
      <c r="T14" s="143"/>
      <c r="U14" s="143"/>
      <c r="V14" s="143"/>
      <c r="W14" s="143"/>
      <c r="X14" s="143"/>
      <c r="Y14" s="143"/>
      <c r="Z14" s="143"/>
      <c r="AA14" s="143"/>
      <c r="AB14" s="143"/>
    </row>
    <row r="15" spans="1:28" s="140" customFormat="1" ht="15" customHeight="1" x14ac:dyDescent="0.2">
      <c r="A15" s="359" t="s">
        <v>4</v>
      </c>
      <c r="B15" s="359"/>
      <c r="C15" s="359"/>
      <c r="D15" s="359"/>
      <c r="E15" s="359"/>
      <c r="F15" s="359"/>
      <c r="G15" s="359"/>
      <c r="H15" s="359"/>
      <c r="I15" s="359"/>
      <c r="J15" s="359"/>
      <c r="K15" s="359"/>
      <c r="L15" s="359"/>
      <c r="M15" s="359"/>
      <c r="N15" s="359"/>
      <c r="O15" s="359"/>
      <c r="P15" s="359"/>
      <c r="Q15" s="359"/>
      <c r="R15" s="359"/>
      <c r="S15" s="359"/>
      <c r="T15" s="144"/>
      <c r="U15" s="144"/>
      <c r="V15" s="144"/>
      <c r="W15" s="144"/>
      <c r="X15" s="144"/>
      <c r="Y15" s="144"/>
      <c r="Z15" s="144"/>
      <c r="AA15" s="144"/>
      <c r="AB15" s="144"/>
    </row>
    <row r="16" spans="1:28" s="140" customFormat="1" ht="15" customHeight="1" x14ac:dyDescent="0.2">
      <c r="A16" s="360"/>
      <c r="B16" s="360"/>
      <c r="C16" s="360"/>
      <c r="D16" s="360"/>
      <c r="E16" s="360"/>
      <c r="F16" s="360"/>
      <c r="G16" s="360"/>
      <c r="H16" s="360"/>
      <c r="I16" s="360"/>
      <c r="J16" s="360"/>
      <c r="K16" s="360"/>
      <c r="L16" s="360"/>
      <c r="M16" s="360"/>
      <c r="N16" s="360"/>
      <c r="O16" s="360"/>
      <c r="P16" s="360"/>
      <c r="Q16" s="360"/>
      <c r="R16" s="360"/>
      <c r="S16" s="360"/>
      <c r="T16" s="145"/>
      <c r="U16" s="145"/>
      <c r="V16" s="145"/>
      <c r="W16" s="145"/>
      <c r="X16" s="145"/>
      <c r="Y16" s="145"/>
    </row>
    <row r="17" spans="1:28" s="140" customFormat="1" ht="45.75" customHeight="1" x14ac:dyDescent="0.2">
      <c r="A17" s="361" t="s">
        <v>382</v>
      </c>
      <c r="B17" s="361"/>
      <c r="C17" s="361"/>
      <c r="D17" s="361"/>
      <c r="E17" s="361"/>
      <c r="F17" s="361"/>
      <c r="G17" s="361"/>
      <c r="H17" s="361"/>
      <c r="I17" s="361"/>
      <c r="J17" s="361"/>
      <c r="K17" s="361"/>
      <c r="L17" s="361"/>
      <c r="M17" s="361"/>
      <c r="N17" s="361"/>
      <c r="O17" s="361"/>
      <c r="P17" s="361"/>
      <c r="Q17" s="361"/>
      <c r="R17" s="361"/>
      <c r="S17" s="361"/>
      <c r="T17" s="146"/>
      <c r="U17" s="146"/>
      <c r="V17" s="146"/>
      <c r="W17" s="146"/>
      <c r="X17" s="146"/>
      <c r="Y17" s="146"/>
      <c r="Z17" s="146"/>
      <c r="AA17" s="146"/>
      <c r="AB17" s="146"/>
    </row>
    <row r="18" spans="1:28" s="140"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145"/>
      <c r="U18" s="145"/>
      <c r="V18" s="145"/>
      <c r="W18" s="145"/>
      <c r="X18" s="145"/>
      <c r="Y18" s="145"/>
    </row>
    <row r="19" spans="1:28" s="140" customFormat="1" ht="54" customHeight="1" x14ac:dyDescent="0.2">
      <c r="A19" s="365" t="s">
        <v>3</v>
      </c>
      <c r="B19" s="365" t="s">
        <v>94</v>
      </c>
      <c r="C19" s="366" t="s">
        <v>303</v>
      </c>
      <c r="D19" s="365" t="s">
        <v>302</v>
      </c>
      <c r="E19" s="365" t="s">
        <v>93</v>
      </c>
      <c r="F19" s="365" t="s">
        <v>92</v>
      </c>
      <c r="G19" s="365" t="s">
        <v>298</v>
      </c>
      <c r="H19" s="365" t="s">
        <v>91</v>
      </c>
      <c r="I19" s="365" t="s">
        <v>90</v>
      </c>
      <c r="J19" s="365" t="s">
        <v>89</v>
      </c>
      <c r="K19" s="365" t="s">
        <v>88</v>
      </c>
      <c r="L19" s="365" t="s">
        <v>87</v>
      </c>
      <c r="M19" s="365" t="s">
        <v>86</v>
      </c>
      <c r="N19" s="365" t="s">
        <v>85</v>
      </c>
      <c r="O19" s="365" t="s">
        <v>84</v>
      </c>
      <c r="P19" s="365" t="s">
        <v>83</v>
      </c>
      <c r="Q19" s="365" t="s">
        <v>301</v>
      </c>
      <c r="R19" s="365"/>
      <c r="S19" s="368" t="s">
        <v>376</v>
      </c>
      <c r="T19" s="145"/>
      <c r="U19" s="145"/>
      <c r="V19" s="145"/>
      <c r="W19" s="145"/>
      <c r="X19" s="145"/>
      <c r="Y19" s="145"/>
    </row>
    <row r="20" spans="1:28" s="140" customFormat="1" ht="180.75" customHeight="1" x14ac:dyDescent="0.2">
      <c r="A20" s="365"/>
      <c r="B20" s="365"/>
      <c r="C20" s="367"/>
      <c r="D20" s="365"/>
      <c r="E20" s="365"/>
      <c r="F20" s="365"/>
      <c r="G20" s="365"/>
      <c r="H20" s="365"/>
      <c r="I20" s="365"/>
      <c r="J20" s="365"/>
      <c r="K20" s="365"/>
      <c r="L20" s="365"/>
      <c r="M20" s="365"/>
      <c r="N20" s="365"/>
      <c r="O20" s="365"/>
      <c r="P20" s="365"/>
      <c r="Q20" s="147" t="s">
        <v>299</v>
      </c>
      <c r="R20" s="148" t="s">
        <v>300</v>
      </c>
      <c r="S20" s="368"/>
      <c r="T20" s="149"/>
      <c r="U20" s="149"/>
      <c r="V20" s="149"/>
      <c r="W20" s="149"/>
      <c r="X20" s="149"/>
      <c r="Y20" s="149"/>
      <c r="Z20" s="150"/>
      <c r="AA20" s="150"/>
      <c r="AB20" s="150"/>
    </row>
    <row r="21" spans="1:28" s="140" customFormat="1" ht="18.75" x14ac:dyDescent="0.2">
      <c r="A21" s="147">
        <v>1</v>
      </c>
      <c r="B21" s="151">
        <v>2</v>
      </c>
      <c r="C21" s="147">
        <v>3</v>
      </c>
      <c r="D21" s="151">
        <v>4</v>
      </c>
      <c r="E21" s="147">
        <v>5</v>
      </c>
      <c r="F21" s="151">
        <v>6</v>
      </c>
      <c r="G21" s="147">
        <v>7</v>
      </c>
      <c r="H21" s="151">
        <v>8</v>
      </c>
      <c r="I21" s="147">
        <v>9</v>
      </c>
      <c r="J21" s="151">
        <v>10</v>
      </c>
      <c r="K21" s="147">
        <v>11</v>
      </c>
      <c r="L21" s="151">
        <v>12</v>
      </c>
      <c r="M21" s="147">
        <v>13</v>
      </c>
      <c r="N21" s="151">
        <v>14</v>
      </c>
      <c r="O21" s="147">
        <v>15</v>
      </c>
      <c r="P21" s="151">
        <v>16</v>
      </c>
      <c r="Q21" s="147">
        <v>17</v>
      </c>
      <c r="R21" s="151">
        <v>18</v>
      </c>
      <c r="S21" s="147">
        <v>19</v>
      </c>
      <c r="T21" s="149"/>
      <c r="U21" s="149"/>
      <c r="V21" s="149"/>
      <c r="W21" s="149"/>
      <c r="X21" s="149"/>
      <c r="Y21" s="149"/>
      <c r="Z21" s="150"/>
      <c r="AA21" s="150"/>
      <c r="AB21" s="150"/>
    </row>
    <row r="22" spans="1:28" s="235" customFormat="1" ht="32.25" customHeight="1" x14ac:dyDescent="0.2">
      <c r="A22" s="229" t="s">
        <v>538</v>
      </c>
      <c r="B22" s="229" t="s">
        <v>538</v>
      </c>
      <c r="C22" s="229" t="s">
        <v>538</v>
      </c>
      <c r="D22" s="229" t="s">
        <v>538</v>
      </c>
      <c r="E22" s="229" t="s">
        <v>538</v>
      </c>
      <c r="F22" s="229" t="s">
        <v>538</v>
      </c>
      <c r="G22" s="229" t="s">
        <v>538</v>
      </c>
      <c r="H22" s="229" t="s">
        <v>538</v>
      </c>
      <c r="I22" s="229" t="s">
        <v>538</v>
      </c>
      <c r="J22" s="229" t="s">
        <v>538</v>
      </c>
      <c r="K22" s="229" t="s">
        <v>538</v>
      </c>
      <c r="L22" s="229" t="s">
        <v>538</v>
      </c>
      <c r="M22" s="229" t="s">
        <v>538</v>
      </c>
      <c r="N22" s="229" t="s">
        <v>538</v>
      </c>
      <c r="O22" s="229" t="s">
        <v>538</v>
      </c>
      <c r="P22" s="229" t="s">
        <v>538</v>
      </c>
      <c r="Q22" s="229" t="s">
        <v>538</v>
      </c>
      <c r="R22" s="229" t="s">
        <v>538</v>
      </c>
      <c r="S22" s="229" t="s">
        <v>538</v>
      </c>
      <c r="T22" s="234"/>
      <c r="U22" s="234"/>
      <c r="V22" s="234"/>
      <c r="W22" s="234"/>
      <c r="X22" s="234"/>
      <c r="Y22" s="234"/>
    </row>
    <row r="23" spans="1:28" ht="39" customHeight="1"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row>
    <row r="24" spans="1:28" ht="39" customHeight="1" x14ac:dyDescent="0.25">
      <c r="A24" s="154"/>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row>
    <row r="25" spans="1:28" ht="39" customHeight="1" x14ac:dyDescent="0.25">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c r="AA25" s="154"/>
      <c r="AB25" s="154"/>
    </row>
    <row r="26" spans="1:28" ht="39" customHeight="1" x14ac:dyDescent="0.25">
      <c r="A26" s="154"/>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row>
    <row r="27" spans="1:28" x14ac:dyDescent="0.25">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row>
    <row r="28" spans="1:28" x14ac:dyDescent="0.25">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row>
    <row r="29" spans="1:28" x14ac:dyDescent="0.25">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4"/>
    </row>
    <row r="30" spans="1:28"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row>
    <row r="31" spans="1:28"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row>
    <row r="32" spans="1:28"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row>
    <row r="33" spans="1:28"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row>
    <row r="34" spans="1:28"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row>
    <row r="35" spans="1:28"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row>
    <row r="36" spans="1:28"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row>
    <row r="37" spans="1:28"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row>
    <row r="38" spans="1:28"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row>
    <row r="39" spans="1:28"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row>
    <row r="40" spans="1:28"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row>
    <row r="41" spans="1:28"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row>
    <row r="42" spans="1:28"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row>
    <row r="43" spans="1:28"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row>
    <row r="44" spans="1:28"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row>
    <row r="45" spans="1:28"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row>
    <row r="46" spans="1:28"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row>
    <row r="47" spans="1:28"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row>
    <row r="48" spans="1:28"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row>
    <row r="49" spans="1:28"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row>
    <row r="50" spans="1:28"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row>
    <row r="51" spans="1:28"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row>
    <row r="52" spans="1:28"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row>
    <row r="53" spans="1:28"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row>
    <row r="54" spans="1:28"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row>
    <row r="55" spans="1:28"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row>
    <row r="56" spans="1:28"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row>
    <row r="57" spans="1:28"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row>
    <row r="58" spans="1:28"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row>
    <row r="59" spans="1:28"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c r="AB59" s="154"/>
    </row>
    <row r="60" spans="1:28"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row>
    <row r="61" spans="1:28"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row>
    <row r="62" spans="1:28"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row>
    <row r="63" spans="1:28"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row>
    <row r="64" spans="1:28"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row>
    <row r="65" spans="1:28"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row>
    <row r="66" spans="1:28"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row>
    <row r="67" spans="1:28"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row>
    <row r="68" spans="1:28"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row>
    <row r="69" spans="1:28"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row>
    <row r="70" spans="1:28"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row>
    <row r="71" spans="1:28"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row>
    <row r="72" spans="1:28"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row>
    <row r="73" spans="1:28"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row>
    <row r="74" spans="1:28"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row>
    <row r="75" spans="1:28"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row>
    <row r="76" spans="1:28"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row>
    <row r="77" spans="1:28"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row>
    <row r="78" spans="1:28"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row>
    <row r="79" spans="1:28"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c r="AA79" s="154"/>
      <c r="AB79" s="154"/>
    </row>
    <row r="80" spans="1:28"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c r="AA80" s="154"/>
      <c r="AB80" s="154"/>
    </row>
    <row r="81" spans="1:28"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c r="AA81" s="154"/>
      <c r="AB81" s="154"/>
    </row>
    <row r="82" spans="1:28"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row>
    <row r="83" spans="1:28"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row>
    <row r="84" spans="1:28"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row>
    <row r="85" spans="1:28"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B85" s="154"/>
    </row>
    <row r="86" spans="1:28"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c r="AA86" s="154"/>
      <c r="AB86" s="154"/>
    </row>
    <row r="87" spans="1:28"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c r="AA87" s="154"/>
      <c r="AB87" s="154"/>
    </row>
    <row r="88" spans="1:28"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row>
    <row r="89" spans="1:28"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row>
    <row r="90" spans="1:28"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c r="AA90" s="154"/>
      <c r="AB90" s="154"/>
    </row>
    <row r="91" spans="1:28"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c r="AA91" s="154"/>
      <c r="AB91" s="154"/>
    </row>
    <row r="92" spans="1:28"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c r="AA92" s="154"/>
      <c r="AB92" s="154"/>
    </row>
    <row r="93" spans="1:28"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c r="AB93" s="154"/>
    </row>
    <row r="94" spans="1:28"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row>
    <row r="95" spans="1:28"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c r="AB95" s="154"/>
    </row>
    <row r="96" spans="1:28"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c r="AA96" s="154"/>
      <c r="AB96" s="154"/>
    </row>
    <row r="97" spans="1:28"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c r="AA97" s="154"/>
      <c r="AB97" s="154"/>
    </row>
    <row r="98" spans="1:28"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c r="AB98" s="154"/>
    </row>
    <row r="99" spans="1:28"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c r="AB99" s="154"/>
    </row>
    <row r="100" spans="1:28"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c r="AB100" s="154"/>
    </row>
    <row r="101" spans="1:28"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c r="AB101" s="154"/>
    </row>
    <row r="102" spans="1:28"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c r="AA102" s="154"/>
      <c r="AB102" s="154"/>
    </row>
    <row r="103" spans="1:28"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c r="AA103" s="154"/>
      <c r="AB103" s="154"/>
    </row>
    <row r="104" spans="1:28"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c r="AA104" s="154"/>
      <c r="AB104" s="154"/>
    </row>
    <row r="105" spans="1:28"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c r="AA105" s="154"/>
      <c r="AB105" s="154"/>
    </row>
    <row r="106" spans="1:28"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c r="AA106" s="154"/>
      <c r="AB106" s="154"/>
    </row>
    <row r="107" spans="1:28"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c r="AA107" s="154"/>
      <c r="AB107" s="154"/>
    </row>
    <row r="108" spans="1:28"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c r="AA108" s="154"/>
      <c r="AB108" s="154"/>
    </row>
    <row r="109" spans="1:28"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c r="AA109" s="154"/>
      <c r="AB109" s="154"/>
    </row>
    <row r="110" spans="1:28"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c r="AA110" s="154"/>
      <c r="AB110" s="154"/>
    </row>
    <row r="111" spans="1:28"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c r="AA111" s="154"/>
      <c r="AB111" s="154"/>
    </row>
    <row r="112" spans="1:28"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c r="AA112" s="154"/>
      <c r="AB112" s="154"/>
    </row>
    <row r="113" spans="1:28"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c r="AA113" s="154"/>
      <c r="AB113" s="154"/>
    </row>
    <row r="114" spans="1:28"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c r="AA114" s="154"/>
      <c r="AB114" s="154"/>
    </row>
    <row r="115" spans="1:28"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c r="AA115" s="154"/>
      <c r="AB115" s="154"/>
    </row>
    <row r="116" spans="1:28"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c r="AA116" s="154"/>
      <c r="AB116" s="154"/>
    </row>
    <row r="117" spans="1:28"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c r="AA117" s="154"/>
      <c r="AB117" s="154"/>
    </row>
    <row r="118" spans="1:28"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c r="AA118" s="154"/>
      <c r="AB118" s="154"/>
    </row>
    <row r="119" spans="1:28"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c r="AA119" s="154"/>
      <c r="AB119" s="154"/>
    </row>
    <row r="120" spans="1:28"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c r="AA120" s="154"/>
      <c r="AB120" s="154"/>
    </row>
    <row r="121" spans="1:28"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c r="AA121" s="154"/>
      <c r="AB121" s="154"/>
    </row>
    <row r="122" spans="1:28"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c r="AA122" s="154"/>
      <c r="AB122" s="154"/>
    </row>
    <row r="123" spans="1:28"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c r="AA123" s="154"/>
      <c r="AB123" s="154"/>
    </row>
    <row r="124" spans="1:28"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c r="AA124" s="154"/>
      <c r="AB124" s="154"/>
    </row>
    <row r="125" spans="1:28"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c r="AA125" s="154"/>
      <c r="AB125" s="154"/>
    </row>
    <row r="126" spans="1:28"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c r="AA126" s="154"/>
      <c r="AB126" s="154"/>
    </row>
    <row r="127" spans="1:28"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c r="AA127" s="154"/>
      <c r="AB127" s="154"/>
    </row>
    <row r="128" spans="1:28"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c r="AA128" s="154"/>
      <c r="AB128" s="154"/>
    </row>
    <row r="129" spans="1:28"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c r="AA129" s="154"/>
      <c r="AB129" s="154"/>
    </row>
    <row r="130" spans="1:28"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c r="AA130" s="154"/>
      <c r="AB130" s="154"/>
    </row>
    <row r="131" spans="1:28"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c r="AA131" s="154"/>
      <c r="AB131" s="154"/>
    </row>
    <row r="132" spans="1:28"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c r="AA132" s="154"/>
      <c r="AB132" s="154"/>
    </row>
    <row r="133" spans="1:28"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c r="AA133" s="154"/>
      <c r="AB133" s="154"/>
    </row>
    <row r="134" spans="1:28"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c r="AA134" s="154"/>
      <c r="AB134" s="154"/>
    </row>
    <row r="135" spans="1:28"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c r="AA135" s="154"/>
      <c r="AB135" s="154"/>
    </row>
    <row r="136" spans="1:28"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c r="AA136" s="154"/>
      <c r="AB136" s="154"/>
    </row>
    <row r="137" spans="1:28"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c r="AA137" s="154"/>
      <c r="AB137" s="154"/>
    </row>
    <row r="138" spans="1:28"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c r="AA138" s="154"/>
      <c r="AB138" s="154"/>
    </row>
    <row r="139" spans="1:28"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c r="AA139" s="154"/>
      <c r="AB139" s="154"/>
    </row>
    <row r="140" spans="1:28"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c r="AA140" s="154"/>
      <c r="AB140" s="154"/>
    </row>
    <row r="141" spans="1:28"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c r="AA141" s="154"/>
      <c r="AB141" s="154"/>
    </row>
    <row r="142" spans="1:28"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c r="AA142" s="154"/>
      <c r="AB142" s="154"/>
    </row>
    <row r="143" spans="1:28"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c r="AA143" s="154"/>
      <c r="AB143" s="154"/>
    </row>
    <row r="144" spans="1:28"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c r="AA144" s="154"/>
      <c r="AB144" s="154"/>
    </row>
    <row r="145" spans="1:28"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c r="AA145" s="154"/>
      <c r="AB145" s="154"/>
    </row>
    <row r="146" spans="1:28"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c r="AA146" s="154"/>
      <c r="AB146" s="154"/>
    </row>
    <row r="147" spans="1:28"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c r="AA147" s="154"/>
      <c r="AB147" s="154"/>
    </row>
    <row r="148" spans="1:28"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c r="AA148" s="154"/>
      <c r="AB148" s="154"/>
    </row>
    <row r="149" spans="1:28"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c r="AA149" s="154"/>
      <c r="AB149" s="154"/>
    </row>
    <row r="150" spans="1:28"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c r="AA150" s="154"/>
      <c r="AB150" s="154"/>
    </row>
    <row r="151" spans="1:28"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c r="AA151" s="154"/>
      <c r="AB151" s="154"/>
    </row>
    <row r="152" spans="1:28"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c r="AA152" s="154"/>
      <c r="AB152" s="154"/>
    </row>
    <row r="153" spans="1:28"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c r="AA153" s="154"/>
      <c r="AB153" s="154"/>
    </row>
    <row r="154" spans="1:28"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c r="AA154" s="154"/>
      <c r="AB154" s="154"/>
    </row>
    <row r="155" spans="1:28"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c r="AA155" s="154"/>
      <c r="AB155" s="154"/>
    </row>
    <row r="156" spans="1:28"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c r="AA156" s="154"/>
      <c r="AB156" s="154"/>
    </row>
    <row r="157" spans="1:28"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c r="AA157" s="154"/>
      <c r="AB157" s="154"/>
    </row>
    <row r="158" spans="1:28"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c r="AA158" s="154"/>
      <c r="AB158" s="154"/>
    </row>
    <row r="159" spans="1:28"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c r="AA159" s="154"/>
      <c r="AB159" s="154"/>
    </row>
    <row r="160" spans="1:28"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c r="AA160" s="154"/>
      <c r="AB160" s="154"/>
    </row>
    <row r="161" spans="1:28"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c r="AA161" s="154"/>
      <c r="AB161" s="154"/>
    </row>
    <row r="162" spans="1:28"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c r="AA162" s="154"/>
      <c r="AB162" s="154"/>
    </row>
    <row r="163" spans="1:28"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c r="AA163" s="154"/>
      <c r="AB163" s="154"/>
    </row>
    <row r="164" spans="1:28"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c r="AA164" s="154"/>
      <c r="AB164" s="154"/>
    </row>
    <row r="165" spans="1:28"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c r="AA165" s="154"/>
      <c r="AB165" s="154"/>
    </row>
    <row r="166" spans="1:28"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c r="AA166" s="154"/>
      <c r="AB166" s="154"/>
    </row>
    <row r="167" spans="1:28"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c r="AA167" s="154"/>
      <c r="AB167" s="154"/>
    </row>
    <row r="168" spans="1:28"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c r="AA168" s="154"/>
      <c r="AB168" s="154"/>
    </row>
    <row r="169" spans="1:28"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c r="AA169" s="154"/>
      <c r="AB169" s="154"/>
    </row>
    <row r="170" spans="1:28"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c r="AA170" s="154"/>
      <c r="AB170" s="154"/>
    </row>
    <row r="171" spans="1:28"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c r="AA171" s="154"/>
      <c r="AB171" s="154"/>
    </row>
    <row r="172" spans="1:28"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c r="AA172" s="154"/>
      <c r="AB172" s="154"/>
    </row>
    <row r="173" spans="1:28"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c r="AA173" s="154"/>
      <c r="AB173" s="154"/>
    </row>
    <row r="174" spans="1:28"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c r="AA174" s="154"/>
      <c r="AB174" s="154"/>
    </row>
    <row r="175" spans="1:28"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c r="AA175" s="154"/>
      <c r="AB175" s="154"/>
    </row>
    <row r="176" spans="1:28"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c r="AA176" s="154"/>
      <c r="AB176" s="154"/>
    </row>
    <row r="177" spans="1:28"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c r="AA177" s="154"/>
      <c r="AB177" s="154"/>
    </row>
    <row r="178" spans="1:28"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c r="AA178" s="154"/>
      <c r="AB178" s="154"/>
    </row>
    <row r="179" spans="1:28"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c r="AA179" s="154"/>
      <c r="AB179" s="154"/>
    </row>
    <row r="180" spans="1:28"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c r="AA180" s="154"/>
      <c r="AB180" s="154"/>
    </row>
    <row r="181" spans="1:28"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c r="AA181" s="154"/>
      <c r="AB181" s="154"/>
    </row>
    <row r="182" spans="1:28"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c r="AA182" s="154"/>
      <c r="AB182" s="154"/>
    </row>
    <row r="183" spans="1:28"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c r="AA183" s="154"/>
      <c r="AB183" s="154"/>
    </row>
    <row r="184" spans="1:28"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c r="AA184" s="154"/>
      <c r="AB184" s="154"/>
    </row>
    <row r="185" spans="1:28"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c r="AA185" s="154"/>
      <c r="AB185" s="154"/>
    </row>
    <row r="186" spans="1:28"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c r="AA186" s="154"/>
      <c r="AB186" s="154"/>
    </row>
    <row r="187" spans="1:28"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c r="AA187" s="154"/>
      <c r="AB187" s="154"/>
    </row>
    <row r="188" spans="1:28"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c r="AA188" s="154"/>
      <c r="AB188" s="154"/>
    </row>
    <row r="189" spans="1:28"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c r="AA189" s="154"/>
      <c r="AB189" s="154"/>
    </row>
    <row r="190" spans="1:28"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c r="AA190" s="154"/>
      <c r="AB190" s="154"/>
    </row>
    <row r="191" spans="1:28"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c r="AA191" s="154"/>
      <c r="AB191" s="154"/>
    </row>
    <row r="192" spans="1:28"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c r="AA192" s="154"/>
      <c r="AB192" s="154"/>
    </row>
    <row r="193" spans="1:28"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c r="AA193" s="154"/>
      <c r="AB193" s="154"/>
    </row>
    <row r="194" spans="1:28"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c r="AA194" s="154"/>
      <c r="AB194" s="154"/>
    </row>
    <row r="195" spans="1:28"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c r="AA195" s="154"/>
      <c r="AB195" s="154"/>
    </row>
    <row r="196" spans="1:28"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c r="AA196" s="154"/>
      <c r="AB196" s="154"/>
    </row>
    <row r="197" spans="1:28"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c r="AA197" s="154"/>
      <c r="AB197" s="154"/>
    </row>
    <row r="198" spans="1:28"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c r="AA198" s="154"/>
      <c r="AB198" s="154"/>
    </row>
    <row r="199" spans="1:28"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c r="AA199" s="154"/>
      <c r="AB199" s="154"/>
    </row>
    <row r="200" spans="1:28"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c r="AA200" s="154"/>
      <c r="AB200" s="154"/>
    </row>
    <row r="201" spans="1:28"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c r="AA201" s="154"/>
      <c r="AB201" s="154"/>
    </row>
    <row r="202" spans="1:28"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c r="AA202" s="154"/>
      <c r="AB202" s="154"/>
    </row>
    <row r="203" spans="1:28"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c r="AA203" s="154"/>
      <c r="AB203" s="154"/>
    </row>
    <row r="204" spans="1:28"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c r="AA204" s="154"/>
      <c r="AB204" s="154"/>
    </row>
    <row r="205" spans="1:28"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c r="AA205" s="154"/>
      <c r="AB205" s="154"/>
    </row>
    <row r="206" spans="1:28"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c r="AA206" s="154"/>
      <c r="AB206" s="154"/>
    </row>
    <row r="207" spans="1:28"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c r="AA207" s="154"/>
      <c r="AB207" s="154"/>
    </row>
    <row r="208" spans="1:28"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c r="AA208" s="154"/>
      <c r="AB208" s="154"/>
    </row>
    <row r="209" spans="1:28"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c r="AA209" s="154"/>
      <c r="AB209" s="154"/>
    </row>
    <row r="210" spans="1:28"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c r="AA210" s="154"/>
      <c r="AB210" s="154"/>
    </row>
    <row r="211" spans="1:28"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c r="AA211" s="154"/>
      <c r="AB211" s="154"/>
    </row>
    <row r="212" spans="1:28"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c r="AA212" s="154"/>
      <c r="AB212" s="154"/>
    </row>
    <row r="213" spans="1:28"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c r="AA213" s="154"/>
      <c r="AB213" s="154"/>
    </row>
    <row r="214" spans="1:28"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c r="AA214" s="154"/>
      <c r="AB214" s="154"/>
    </row>
    <row r="215" spans="1:28"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c r="AA215" s="154"/>
      <c r="AB215" s="154"/>
    </row>
    <row r="216" spans="1:28"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c r="AA216" s="154"/>
      <c r="AB216" s="154"/>
    </row>
    <row r="217" spans="1:28"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c r="AA217" s="154"/>
      <c r="AB217" s="154"/>
    </row>
    <row r="218" spans="1:28"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c r="AA218" s="154"/>
      <c r="AB218" s="154"/>
    </row>
    <row r="219" spans="1:28"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c r="AA219" s="154"/>
      <c r="AB219" s="154"/>
    </row>
    <row r="220" spans="1:28"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c r="AA220" s="154"/>
      <c r="AB220" s="154"/>
    </row>
    <row r="221" spans="1:28"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c r="AA221" s="154"/>
      <c r="AB221" s="154"/>
    </row>
    <row r="222" spans="1:28"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c r="AA222" s="154"/>
      <c r="AB222" s="154"/>
    </row>
    <row r="223" spans="1:28"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c r="AA223" s="154"/>
      <c r="AB223" s="154"/>
    </row>
    <row r="224" spans="1:28"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c r="AA224" s="154"/>
      <c r="AB224" s="154"/>
    </row>
    <row r="225" spans="1:28"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c r="AA225" s="154"/>
      <c r="AB225" s="154"/>
    </row>
    <row r="226" spans="1:28"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c r="AA226" s="154"/>
      <c r="AB226" s="154"/>
    </row>
    <row r="227" spans="1:28"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c r="AA227" s="154"/>
      <c r="AB227" s="154"/>
    </row>
    <row r="228" spans="1:28"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c r="AA228" s="154"/>
      <c r="AB228" s="154"/>
    </row>
    <row r="229" spans="1:28"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c r="AA229" s="154"/>
      <c r="AB229" s="154"/>
    </row>
    <row r="230" spans="1:28"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c r="AA230" s="154"/>
      <c r="AB230" s="154"/>
    </row>
    <row r="231" spans="1:28"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c r="AA231" s="154"/>
      <c r="AB231" s="154"/>
    </row>
    <row r="232" spans="1:28"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c r="AA232" s="154"/>
      <c r="AB232" s="154"/>
    </row>
    <row r="233" spans="1:28"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c r="AA233" s="154"/>
      <c r="AB233" s="154"/>
    </row>
    <row r="234" spans="1:28"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c r="AA234" s="154"/>
      <c r="AB234" s="154"/>
    </row>
    <row r="235" spans="1:28"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c r="AA235" s="154"/>
      <c r="AB235" s="154"/>
    </row>
    <row r="236" spans="1:28"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c r="AA236" s="154"/>
      <c r="AB236" s="154"/>
    </row>
    <row r="237" spans="1:28"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c r="AA237" s="154"/>
      <c r="AB237" s="154"/>
    </row>
    <row r="238" spans="1:28"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c r="AA238" s="154"/>
      <c r="AB238" s="154"/>
    </row>
    <row r="239" spans="1:28"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c r="AA239" s="154"/>
      <c r="AB239" s="154"/>
    </row>
    <row r="240" spans="1:28"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c r="AA240" s="154"/>
      <c r="AB240" s="154"/>
    </row>
    <row r="241" spans="1:28"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c r="AA241" s="154"/>
      <c r="AB241" s="154"/>
    </row>
    <row r="242" spans="1:28"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c r="AA242" s="154"/>
      <c r="AB242" s="154"/>
    </row>
    <row r="243" spans="1:28"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c r="AA243" s="154"/>
      <c r="AB243" s="154"/>
    </row>
    <row r="244" spans="1:28"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c r="AA244" s="154"/>
      <c r="AB244" s="154"/>
    </row>
    <row r="245" spans="1:28"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c r="AA245" s="154"/>
      <c r="AB245" s="154"/>
    </row>
    <row r="246" spans="1:28"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c r="AA246" s="154"/>
      <c r="AB246" s="154"/>
    </row>
    <row r="247" spans="1:28"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c r="AA247" s="154"/>
      <c r="AB247" s="154"/>
    </row>
    <row r="248" spans="1:28"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c r="AA248" s="154"/>
      <c r="AB248" s="154"/>
    </row>
    <row r="249" spans="1:28"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c r="AA249" s="154"/>
      <c r="AB249" s="154"/>
    </row>
    <row r="250" spans="1:28"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c r="AA250" s="154"/>
      <c r="AB250" s="154"/>
    </row>
    <row r="251" spans="1:28"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c r="AA251" s="154"/>
      <c r="AB251" s="154"/>
    </row>
    <row r="252" spans="1:28"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c r="AA252" s="154"/>
      <c r="AB252" s="154"/>
    </row>
    <row r="253" spans="1:28"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c r="AA253" s="154"/>
      <c r="AB253" s="154"/>
    </row>
    <row r="254" spans="1:28"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c r="AA254" s="154"/>
      <c r="AB254" s="154"/>
    </row>
    <row r="255" spans="1:28"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c r="AA255" s="154"/>
      <c r="AB255" s="154"/>
    </row>
    <row r="256" spans="1:28"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c r="AA256" s="154"/>
      <c r="AB256" s="154"/>
    </row>
    <row r="257" spans="1:28"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c r="AA257" s="154"/>
      <c r="AB257" s="154"/>
    </row>
    <row r="258" spans="1:28"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c r="AA258" s="154"/>
      <c r="AB258" s="154"/>
    </row>
    <row r="259" spans="1:28"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c r="AA259" s="154"/>
      <c r="AB259" s="154"/>
    </row>
    <row r="260" spans="1:28"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c r="AA260" s="154"/>
      <c r="AB260" s="154"/>
    </row>
    <row r="261" spans="1:28"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c r="AA261" s="154"/>
      <c r="AB261" s="154"/>
    </row>
    <row r="262" spans="1:28"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c r="AA262" s="154"/>
      <c r="AB262" s="154"/>
    </row>
    <row r="263" spans="1:28"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c r="AA263" s="154"/>
      <c r="AB263" s="154"/>
    </row>
    <row r="264" spans="1:28"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c r="AA264" s="154"/>
      <c r="AB264" s="154"/>
    </row>
    <row r="265" spans="1:28"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c r="AA265" s="154"/>
      <c r="AB265" s="154"/>
    </row>
    <row r="266" spans="1:28"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c r="AA266" s="154"/>
      <c r="AB266" s="154"/>
    </row>
    <row r="267" spans="1:28"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c r="AA267" s="154"/>
      <c r="AB267" s="154"/>
    </row>
    <row r="268" spans="1:28"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c r="AA268" s="154"/>
      <c r="AB268" s="154"/>
    </row>
    <row r="269" spans="1:28"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c r="AA269" s="154"/>
      <c r="AB269" s="154"/>
    </row>
    <row r="270" spans="1:28"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c r="AA270" s="154"/>
      <c r="AB270" s="154"/>
    </row>
    <row r="271" spans="1:28"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c r="AA271" s="154"/>
      <c r="AB271" s="154"/>
    </row>
    <row r="272" spans="1:28"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c r="AA272" s="154"/>
      <c r="AB272" s="154"/>
    </row>
    <row r="273" spans="1:28"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c r="AA273" s="154"/>
      <c r="AB273" s="154"/>
    </row>
    <row r="274" spans="1:28"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c r="AA274" s="154"/>
      <c r="AB274" s="154"/>
    </row>
    <row r="275" spans="1:28"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c r="AA275" s="154"/>
      <c r="AB275" s="154"/>
    </row>
    <row r="276" spans="1:28"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c r="AA276" s="154"/>
      <c r="AB276" s="154"/>
    </row>
    <row r="277" spans="1:28"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c r="AA277" s="154"/>
      <c r="AB277" s="154"/>
    </row>
    <row r="278" spans="1:28"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c r="AA278" s="154"/>
      <c r="AB278" s="154"/>
    </row>
    <row r="279" spans="1:28"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c r="AA279" s="154"/>
      <c r="AB279" s="154"/>
    </row>
    <row r="280" spans="1:28"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c r="AA280" s="154"/>
      <c r="AB280" s="154"/>
    </row>
    <row r="281" spans="1:28"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c r="AA281" s="154"/>
      <c r="AB281" s="154"/>
    </row>
    <row r="282" spans="1:28"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c r="AA282" s="154"/>
      <c r="AB282" s="154"/>
    </row>
    <row r="283" spans="1:28"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c r="AA283" s="154"/>
      <c r="AB283" s="154"/>
    </row>
    <row r="284" spans="1:28"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c r="AA284" s="154"/>
      <c r="AB284" s="154"/>
    </row>
    <row r="285" spans="1:28"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c r="AA285" s="154"/>
      <c r="AB285" s="154"/>
    </row>
    <row r="286" spans="1:28"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c r="AA286" s="154"/>
      <c r="AB286" s="154"/>
    </row>
    <row r="287" spans="1:28"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c r="AA287" s="154"/>
      <c r="AB287" s="154"/>
    </row>
    <row r="288" spans="1:28"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c r="AA288" s="154"/>
      <c r="AB288" s="154"/>
    </row>
    <row r="289" spans="1:28"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c r="AA289" s="154"/>
      <c r="AB289" s="154"/>
    </row>
    <row r="290" spans="1:28"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c r="AA290" s="154"/>
      <c r="AB290" s="154"/>
    </row>
    <row r="291" spans="1:28"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c r="AA291" s="154"/>
      <c r="AB291" s="154"/>
    </row>
    <row r="292" spans="1:28"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c r="AA292" s="154"/>
      <c r="AB292" s="154"/>
    </row>
    <row r="293" spans="1:28"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c r="AA293" s="154"/>
      <c r="AB293" s="154"/>
    </row>
    <row r="294" spans="1:28"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c r="AA294" s="154"/>
      <c r="AB294" s="154"/>
    </row>
    <row r="295" spans="1:28"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c r="AA295" s="154"/>
      <c r="AB295" s="154"/>
    </row>
    <row r="296" spans="1:28"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c r="AA296" s="154"/>
      <c r="AB296" s="154"/>
    </row>
    <row r="297" spans="1:28"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c r="AA297" s="154"/>
      <c r="AB297" s="154"/>
    </row>
    <row r="298" spans="1:28"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c r="AA298" s="154"/>
      <c r="AB298" s="154"/>
    </row>
    <row r="299" spans="1:28"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c r="AA299" s="154"/>
      <c r="AB299" s="154"/>
    </row>
    <row r="300" spans="1:28"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c r="AA300" s="154"/>
      <c r="AB300" s="154"/>
    </row>
    <row r="301" spans="1:28"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c r="AA301" s="154"/>
      <c r="AB301" s="154"/>
    </row>
    <row r="302" spans="1:28"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c r="AA302" s="154"/>
      <c r="AB302" s="154"/>
    </row>
    <row r="303" spans="1:28"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c r="AA303" s="154"/>
      <c r="AB303" s="154"/>
    </row>
    <row r="304" spans="1:28"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c r="AA304" s="154"/>
      <c r="AB304" s="154"/>
    </row>
    <row r="305" spans="1:28"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c r="AA305" s="154"/>
      <c r="AB305" s="154"/>
    </row>
    <row r="306" spans="1:28"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c r="AA306" s="154"/>
      <c r="AB306" s="154"/>
    </row>
    <row r="307" spans="1:28"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c r="AA307" s="154"/>
      <c r="AB307" s="154"/>
    </row>
    <row r="308" spans="1:28"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c r="AA308" s="154"/>
      <c r="AB308" s="154"/>
    </row>
    <row r="309" spans="1:28"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c r="AA309" s="154"/>
      <c r="AB309" s="154"/>
    </row>
    <row r="310" spans="1:28"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c r="AA310" s="154"/>
      <c r="AB310" s="154"/>
    </row>
    <row r="311" spans="1:28"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c r="AA311" s="154"/>
      <c r="AB311" s="154"/>
    </row>
    <row r="312" spans="1:28"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c r="AA312" s="154"/>
      <c r="AB312" s="154"/>
    </row>
    <row r="313" spans="1:28"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c r="AA313" s="154"/>
      <c r="AB313" s="154"/>
    </row>
    <row r="314" spans="1:28"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c r="AA314" s="154"/>
      <c r="AB314" s="154"/>
    </row>
    <row r="315" spans="1:28"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c r="AA315" s="154"/>
      <c r="AB315" s="154"/>
    </row>
    <row r="316" spans="1:28"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c r="AA316" s="154"/>
      <c r="AB316" s="154"/>
    </row>
    <row r="317" spans="1:28"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c r="AA317" s="154"/>
      <c r="AB317" s="154"/>
    </row>
    <row r="318" spans="1:28"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c r="AA318" s="154"/>
      <c r="AB318" s="154"/>
    </row>
    <row r="319" spans="1:28"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c r="AA319" s="154"/>
      <c r="AB319" s="154"/>
    </row>
    <row r="320" spans="1:28"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c r="AA320" s="154"/>
      <c r="AB320" s="154"/>
    </row>
    <row r="321" spans="1:28"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c r="AA321" s="154"/>
      <c r="AB321" s="154"/>
    </row>
    <row r="322" spans="1:28"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c r="AA322" s="154"/>
      <c r="AB322" s="154"/>
    </row>
    <row r="323" spans="1:28"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c r="AA323" s="154"/>
      <c r="AB323" s="154"/>
    </row>
    <row r="324" spans="1:28"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c r="AA324" s="154"/>
      <c r="AB324" s="154"/>
    </row>
    <row r="325" spans="1:28"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c r="AA325" s="154"/>
      <c r="AB325" s="154"/>
    </row>
    <row r="326" spans="1:28"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c r="AA326" s="154"/>
      <c r="AB326" s="154"/>
    </row>
    <row r="327" spans="1:28"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c r="AA327" s="154"/>
      <c r="AB327" s="154"/>
    </row>
    <row r="328" spans="1:28"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c r="AA328" s="154"/>
      <c r="AB328" s="154"/>
    </row>
    <row r="329" spans="1:28"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c r="AA329" s="154"/>
      <c r="AB329" s="154"/>
    </row>
    <row r="330" spans="1:28"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c r="AA330" s="154"/>
      <c r="AB330" s="154"/>
    </row>
    <row r="331" spans="1:28"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c r="AA331" s="154"/>
      <c r="AB331" s="154"/>
    </row>
    <row r="332" spans="1:28"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c r="AA332" s="154"/>
      <c r="AB332" s="154"/>
    </row>
    <row r="333" spans="1:28"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c r="AA333" s="154"/>
      <c r="AB333" s="154"/>
    </row>
    <row r="334" spans="1:28"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c r="AA334" s="154"/>
      <c r="AB334" s="154"/>
    </row>
    <row r="335" spans="1:28"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c r="AA335" s="154"/>
      <c r="AB335" s="154"/>
    </row>
    <row r="336" spans="1:28"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c r="AA336" s="154"/>
      <c r="AB336" s="154"/>
    </row>
    <row r="337" spans="1:28"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c r="AA337" s="154"/>
      <c r="AB337" s="15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4"/>
  <sheetViews>
    <sheetView view="pageBreakPreview" topLeftCell="A3" zoomScale="80" zoomScaleNormal="60" zoomScaleSheetLayoutView="80" workbookViewId="0">
      <selection activeCell="I37" sqref="I37"/>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7"/>
      <c r="T3" s="14" t="s">
        <v>8</v>
      </c>
    </row>
    <row r="4" spans="1:20" s="17" customFormat="1" ht="18.75" customHeight="1" x14ac:dyDescent="0.3">
      <c r="H4" s="137"/>
      <c r="T4" s="14" t="s">
        <v>65</v>
      </c>
    </row>
    <row r="5" spans="1:20" s="17" customFormat="1" ht="18.75" customHeight="1" x14ac:dyDescent="0.3">
      <c r="H5" s="137"/>
      <c r="T5" s="14"/>
    </row>
    <row r="6" spans="1:20" s="17" customFormat="1" x14ac:dyDescent="0.2">
      <c r="A6" s="352" t="str">
        <f>'1. паспорт местоположение'!A5:C5</f>
        <v>Год раскрытия информации: 2022 год</v>
      </c>
      <c r="B6" s="352"/>
      <c r="C6" s="352"/>
      <c r="D6" s="352"/>
      <c r="E6" s="352"/>
      <c r="F6" s="352"/>
      <c r="G6" s="352"/>
      <c r="H6" s="352"/>
      <c r="I6" s="352"/>
      <c r="J6" s="352"/>
      <c r="K6" s="352"/>
      <c r="L6" s="352"/>
      <c r="M6" s="352"/>
      <c r="N6" s="352"/>
      <c r="O6" s="352"/>
      <c r="P6" s="352"/>
      <c r="Q6" s="352"/>
      <c r="R6" s="352"/>
      <c r="S6" s="352"/>
      <c r="T6" s="352"/>
    </row>
    <row r="7" spans="1:20" s="17" customFormat="1" x14ac:dyDescent="0.2">
      <c r="A7" s="138"/>
      <c r="H7" s="137"/>
    </row>
    <row r="8" spans="1:20" s="17" customFormat="1" ht="18.75" x14ac:dyDescent="0.2">
      <c r="A8" s="363" t="s">
        <v>7</v>
      </c>
      <c r="B8" s="363"/>
      <c r="C8" s="363"/>
      <c r="D8" s="363"/>
      <c r="E8" s="363"/>
      <c r="F8" s="363"/>
      <c r="G8" s="363"/>
      <c r="H8" s="363"/>
      <c r="I8" s="363"/>
      <c r="J8" s="363"/>
      <c r="K8" s="363"/>
      <c r="L8" s="363"/>
      <c r="M8" s="363"/>
      <c r="N8" s="363"/>
      <c r="O8" s="363"/>
      <c r="P8" s="363"/>
      <c r="Q8" s="363"/>
      <c r="R8" s="363"/>
      <c r="S8" s="363"/>
      <c r="T8" s="363"/>
    </row>
    <row r="9" spans="1:20" s="17" customFormat="1" ht="18.75" x14ac:dyDescent="0.2">
      <c r="A9" s="363"/>
      <c r="B9" s="363"/>
      <c r="C9" s="363"/>
      <c r="D9" s="363"/>
      <c r="E9" s="363"/>
      <c r="F9" s="363"/>
      <c r="G9" s="363"/>
      <c r="H9" s="363"/>
      <c r="I9" s="363"/>
      <c r="J9" s="363"/>
      <c r="K9" s="363"/>
      <c r="L9" s="363"/>
      <c r="M9" s="363"/>
      <c r="N9" s="363"/>
      <c r="O9" s="363"/>
      <c r="P9" s="363"/>
      <c r="Q9" s="363"/>
      <c r="R9" s="363"/>
      <c r="S9" s="363"/>
      <c r="T9" s="363"/>
    </row>
    <row r="10" spans="1:20" s="17" customFormat="1" ht="18.75" customHeight="1" x14ac:dyDescent="0.2">
      <c r="A10" s="358" t="str">
        <f>'1. паспорт местоположение'!A9:C9</f>
        <v xml:space="preserve">Акционерное общество "Западная энергетическая компания" </v>
      </c>
      <c r="B10" s="358"/>
      <c r="C10" s="358"/>
      <c r="D10" s="358"/>
      <c r="E10" s="358"/>
      <c r="F10" s="358"/>
      <c r="G10" s="358"/>
      <c r="H10" s="358"/>
      <c r="I10" s="358"/>
      <c r="J10" s="358"/>
      <c r="K10" s="358"/>
      <c r="L10" s="358"/>
      <c r="M10" s="358"/>
      <c r="N10" s="358"/>
      <c r="O10" s="358"/>
      <c r="P10" s="358"/>
      <c r="Q10" s="358"/>
      <c r="R10" s="358"/>
      <c r="S10" s="358"/>
      <c r="T10" s="358"/>
    </row>
    <row r="11" spans="1:20" s="17" customFormat="1" ht="18.75" customHeight="1" x14ac:dyDescent="0.2">
      <c r="A11" s="359" t="s">
        <v>6</v>
      </c>
      <c r="B11" s="359"/>
      <c r="C11" s="359"/>
      <c r="D11" s="359"/>
      <c r="E11" s="359"/>
      <c r="F11" s="359"/>
      <c r="G11" s="359"/>
      <c r="H11" s="359"/>
      <c r="I11" s="359"/>
      <c r="J11" s="359"/>
      <c r="K11" s="359"/>
      <c r="L11" s="359"/>
      <c r="M11" s="359"/>
      <c r="N11" s="359"/>
      <c r="O11" s="359"/>
      <c r="P11" s="359"/>
      <c r="Q11" s="359"/>
      <c r="R11" s="359"/>
      <c r="S11" s="359"/>
      <c r="T11" s="359"/>
    </row>
    <row r="12" spans="1:20" s="17" customFormat="1" ht="18.75" x14ac:dyDescent="0.2">
      <c r="A12" s="363"/>
      <c r="B12" s="363"/>
      <c r="C12" s="363"/>
      <c r="D12" s="363"/>
      <c r="E12" s="363"/>
      <c r="F12" s="363"/>
      <c r="G12" s="363"/>
      <c r="H12" s="363"/>
      <c r="I12" s="363"/>
      <c r="J12" s="363"/>
      <c r="K12" s="363"/>
      <c r="L12" s="363"/>
      <c r="M12" s="363"/>
      <c r="N12" s="363"/>
      <c r="O12" s="363"/>
      <c r="P12" s="363"/>
      <c r="Q12" s="363"/>
      <c r="R12" s="363"/>
      <c r="S12" s="363"/>
      <c r="T12" s="363"/>
    </row>
    <row r="13" spans="1:20" s="17" customFormat="1" ht="18.75" customHeight="1" x14ac:dyDescent="0.2">
      <c r="A13" s="358" t="str">
        <f>'1. паспорт местоположение'!A12:C12</f>
        <v>J 19-10</v>
      </c>
      <c r="B13" s="358"/>
      <c r="C13" s="358"/>
      <c r="D13" s="358"/>
      <c r="E13" s="358"/>
      <c r="F13" s="358"/>
      <c r="G13" s="358"/>
      <c r="H13" s="358"/>
      <c r="I13" s="358"/>
      <c r="J13" s="358"/>
      <c r="K13" s="358"/>
      <c r="L13" s="358"/>
      <c r="M13" s="358"/>
      <c r="N13" s="358"/>
      <c r="O13" s="358"/>
      <c r="P13" s="358"/>
      <c r="Q13" s="358"/>
      <c r="R13" s="358"/>
      <c r="S13" s="358"/>
      <c r="T13" s="358"/>
    </row>
    <row r="14" spans="1:20" s="17" customFormat="1" ht="18.75" customHeight="1" x14ac:dyDescent="0.2">
      <c r="A14" s="359" t="s">
        <v>5</v>
      </c>
      <c r="B14" s="359"/>
      <c r="C14" s="359"/>
      <c r="D14" s="359"/>
      <c r="E14" s="359"/>
      <c r="F14" s="359"/>
      <c r="G14" s="359"/>
      <c r="H14" s="359"/>
      <c r="I14" s="359"/>
      <c r="J14" s="359"/>
      <c r="K14" s="359"/>
      <c r="L14" s="359"/>
      <c r="M14" s="359"/>
      <c r="N14" s="359"/>
      <c r="O14" s="359"/>
      <c r="P14" s="359"/>
      <c r="Q14" s="359"/>
      <c r="R14" s="359"/>
      <c r="S14" s="359"/>
      <c r="T14" s="359"/>
    </row>
    <row r="15" spans="1:20" s="139" customFormat="1" ht="15.75" customHeight="1" x14ac:dyDescent="0.2">
      <c r="A15" s="364"/>
      <c r="B15" s="364"/>
      <c r="C15" s="364"/>
      <c r="D15" s="364"/>
      <c r="E15" s="364"/>
      <c r="F15" s="364"/>
      <c r="G15" s="364"/>
      <c r="H15" s="364"/>
      <c r="I15" s="364"/>
      <c r="J15" s="364"/>
      <c r="K15" s="364"/>
      <c r="L15" s="364"/>
      <c r="M15" s="364"/>
      <c r="N15" s="364"/>
      <c r="O15" s="364"/>
      <c r="P15" s="364"/>
      <c r="Q15" s="364"/>
      <c r="R15" s="364"/>
      <c r="S15" s="364"/>
      <c r="T15" s="364"/>
    </row>
    <row r="16" spans="1:20" s="140" customFormat="1" x14ac:dyDescent="0.2">
      <c r="A16" s="358" t="str">
        <f>'1. паспорт местоположение'!A15:C15</f>
        <v>Реконструкция ТП-12 15/0,4кВ п.Южный, Багратионовского р-на</v>
      </c>
      <c r="B16" s="358"/>
      <c r="C16" s="358"/>
      <c r="D16" s="358"/>
      <c r="E16" s="358"/>
      <c r="F16" s="358"/>
      <c r="G16" s="358"/>
      <c r="H16" s="358"/>
      <c r="I16" s="358"/>
      <c r="J16" s="358"/>
      <c r="K16" s="358"/>
      <c r="L16" s="358"/>
      <c r="M16" s="358"/>
      <c r="N16" s="358"/>
      <c r="O16" s="358"/>
      <c r="P16" s="358"/>
      <c r="Q16" s="358"/>
      <c r="R16" s="358"/>
      <c r="S16" s="358"/>
      <c r="T16" s="358"/>
    </row>
    <row r="17" spans="1:113" s="140" customFormat="1" ht="15" customHeight="1" x14ac:dyDescent="0.2">
      <c r="A17" s="359" t="s">
        <v>4</v>
      </c>
      <c r="B17" s="359"/>
      <c r="C17" s="359"/>
      <c r="D17" s="359"/>
      <c r="E17" s="359"/>
      <c r="F17" s="359"/>
      <c r="G17" s="359"/>
      <c r="H17" s="359"/>
      <c r="I17" s="359"/>
      <c r="J17" s="359"/>
      <c r="K17" s="359"/>
      <c r="L17" s="359"/>
      <c r="M17" s="359"/>
      <c r="N17" s="359"/>
      <c r="O17" s="359"/>
      <c r="P17" s="359"/>
      <c r="Q17" s="359"/>
      <c r="R17" s="359"/>
      <c r="S17" s="359"/>
      <c r="T17" s="359"/>
    </row>
    <row r="18" spans="1:113" s="140"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60"/>
    </row>
    <row r="19" spans="1:113" s="140" customFormat="1" ht="15" customHeight="1" x14ac:dyDescent="0.2">
      <c r="A19" s="372" t="s">
        <v>387</v>
      </c>
      <c r="B19" s="372"/>
      <c r="C19" s="372"/>
      <c r="D19" s="372"/>
      <c r="E19" s="372"/>
      <c r="F19" s="372"/>
      <c r="G19" s="372"/>
      <c r="H19" s="372"/>
      <c r="I19" s="372"/>
      <c r="J19" s="372"/>
      <c r="K19" s="372"/>
      <c r="L19" s="372"/>
      <c r="M19" s="372"/>
      <c r="N19" s="372"/>
      <c r="O19" s="372"/>
      <c r="P19" s="372"/>
      <c r="Q19" s="372"/>
      <c r="R19" s="372"/>
      <c r="S19" s="372"/>
      <c r="T19" s="372"/>
    </row>
    <row r="20" spans="1:113" s="41" customFormat="1" ht="21" customHeight="1" x14ac:dyDescent="0.25">
      <c r="A20" s="373"/>
      <c r="B20" s="373"/>
      <c r="C20" s="373"/>
      <c r="D20" s="373"/>
      <c r="E20" s="373"/>
      <c r="F20" s="373"/>
      <c r="G20" s="373"/>
      <c r="H20" s="373"/>
      <c r="I20" s="373"/>
      <c r="J20" s="373"/>
      <c r="K20" s="373"/>
      <c r="L20" s="373"/>
      <c r="M20" s="373"/>
      <c r="N20" s="373"/>
      <c r="O20" s="373"/>
      <c r="P20" s="373"/>
      <c r="Q20" s="373"/>
      <c r="R20" s="373"/>
      <c r="S20" s="373"/>
      <c r="T20" s="373"/>
    </row>
    <row r="21" spans="1:113" ht="46.5" customHeight="1" x14ac:dyDescent="0.25">
      <c r="A21" s="374" t="s">
        <v>3</v>
      </c>
      <c r="B21" s="377" t="s">
        <v>200</v>
      </c>
      <c r="C21" s="378"/>
      <c r="D21" s="381" t="s">
        <v>116</v>
      </c>
      <c r="E21" s="377" t="s">
        <v>415</v>
      </c>
      <c r="F21" s="378"/>
      <c r="G21" s="377" t="s">
        <v>239</v>
      </c>
      <c r="H21" s="378"/>
      <c r="I21" s="377" t="s">
        <v>115</v>
      </c>
      <c r="J21" s="378"/>
      <c r="K21" s="381" t="s">
        <v>114</v>
      </c>
      <c r="L21" s="377" t="s">
        <v>113</v>
      </c>
      <c r="M21" s="378"/>
      <c r="N21" s="377" t="s">
        <v>442</v>
      </c>
      <c r="O21" s="378"/>
      <c r="P21" s="381" t="s">
        <v>112</v>
      </c>
      <c r="Q21" s="369" t="s">
        <v>111</v>
      </c>
      <c r="R21" s="370"/>
      <c r="S21" s="369" t="s">
        <v>110</v>
      </c>
      <c r="T21" s="371"/>
    </row>
    <row r="22" spans="1:113" ht="204.75" customHeight="1" x14ac:dyDescent="0.25">
      <c r="A22" s="375"/>
      <c r="B22" s="379"/>
      <c r="C22" s="380"/>
      <c r="D22" s="384"/>
      <c r="E22" s="379"/>
      <c r="F22" s="380"/>
      <c r="G22" s="379"/>
      <c r="H22" s="380"/>
      <c r="I22" s="379"/>
      <c r="J22" s="380"/>
      <c r="K22" s="382"/>
      <c r="L22" s="379"/>
      <c r="M22" s="380"/>
      <c r="N22" s="379"/>
      <c r="O22" s="380"/>
      <c r="P22" s="382"/>
      <c r="Q22" s="72" t="s">
        <v>109</v>
      </c>
      <c r="R22" s="72" t="s">
        <v>386</v>
      </c>
      <c r="S22" s="72" t="s">
        <v>108</v>
      </c>
      <c r="T22" s="72" t="s">
        <v>107</v>
      </c>
    </row>
    <row r="23" spans="1:113" ht="51.75" customHeight="1" x14ac:dyDescent="0.25">
      <c r="A23" s="376"/>
      <c r="B23" s="106" t="s">
        <v>105</v>
      </c>
      <c r="C23" s="106" t="s">
        <v>106</v>
      </c>
      <c r="D23" s="382"/>
      <c r="E23" s="106" t="s">
        <v>105</v>
      </c>
      <c r="F23" s="106" t="s">
        <v>106</v>
      </c>
      <c r="G23" s="106" t="s">
        <v>105</v>
      </c>
      <c r="H23" s="106" t="s">
        <v>106</v>
      </c>
      <c r="I23" s="106" t="s">
        <v>105</v>
      </c>
      <c r="J23" s="106" t="s">
        <v>106</v>
      </c>
      <c r="K23" s="106" t="s">
        <v>105</v>
      </c>
      <c r="L23" s="106" t="s">
        <v>105</v>
      </c>
      <c r="M23" s="106" t="s">
        <v>106</v>
      </c>
      <c r="N23" s="106" t="s">
        <v>105</v>
      </c>
      <c r="O23" s="106" t="s">
        <v>106</v>
      </c>
      <c r="P23" s="134"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238" customFormat="1" ht="66" customHeight="1" x14ac:dyDescent="0.25">
      <c r="A25" s="236">
        <v>1</v>
      </c>
      <c r="B25" s="236" t="s">
        <v>579</v>
      </c>
      <c r="C25" s="236" t="s">
        <v>579</v>
      </c>
      <c r="D25" s="236" t="s">
        <v>580</v>
      </c>
      <c r="E25" s="236" t="s">
        <v>581</v>
      </c>
      <c r="F25" s="236" t="s">
        <v>582</v>
      </c>
      <c r="G25" s="236" t="s">
        <v>577</v>
      </c>
      <c r="H25" s="236" t="s">
        <v>577</v>
      </c>
      <c r="I25" s="237" t="s">
        <v>583</v>
      </c>
      <c r="J25" s="237" t="s">
        <v>599</v>
      </c>
      <c r="K25" s="237" t="s">
        <v>570</v>
      </c>
      <c r="L25" s="237" t="s">
        <v>571</v>
      </c>
      <c r="M25" s="237" t="s">
        <v>571</v>
      </c>
      <c r="N25" s="236"/>
      <c r="O25" s="236"/>
      <c r="P25" s="237" t="s">
        <v>297</v>
      </c>
      <c r="Q25" s="237"/>
      <c r="R25" s="237"/>
      <c r="S25" s="237" t="s">
        <v>297</v>
      </c>
      <c r="T25" s="236" t="s">
        <v>297</v>
      </c>
    </row>
    <row r="26" spans="1:113" s="241" customFormat="1" ht="47.25" customHeight="1" x14ac:dyDescent="0.25">
      <c r="A26" s="236">
        <v>2</v>
      </c>
      <c r="B26" s="236"/>
      <c r="C26" s="236"/>
      <c r="D26" s="239" t="s">
        <v>584</v>
      </c>
      <c r="E26" s="239" t="s">
        <v>585</v>
      </c>
      <c r="F26" s="239" t="s">
        <v>586</v>
      </c>
      <c r="G26" s="239" t="s">
        <v>587</v>
      </c>
      <c r="H26" s="239" t="s">
        <v>587</v>
      </c>
      <c r="I26" s="237" t="s">
        <v>583</v>
      </c>
      <c r="J26" s="239">
        <v>2024</v>
      </c>
      <c r="K26" s="237" t="s">
        <v>588</v>
      </c>
      <c r="L26" s="237" t="s">
        <v>572</v>
      </c>
      <c r="M26" s="237" t="s">
        <v>572</v>
      </c>
      <c r="N26" s="240"/>
      <c r="O26" s="240"/>
      <c r="P26" s="237"/>
      <c r="Q26" s="236"/>
      <c r="R26" s="236"/>
      <c r="S26" s="240" t="s">
        <v>297</v>
      </c>
      <c r="T26" s="240" t="s">
        <v>297</v>
      </c>
    </row>
    <row r="27" spans="1:113" ht="24" customHeight="1" x14ac:dyDescent="0.25">
      <c r="A27" s="236">
        <v>3</v>
      </c>
      <c r="B27" s="236"/>
      <c r="C27" s="236"/>
      <c r="D27" s="239" t="s">
        <v>573</v>
      </c>
      <c r="E27" s="239" t="s">
        <v>589</v>
      </c>
      <c r="F27" s="239" t="s">
        <v>600</v>
      </c>
      <c r="G27" s="239" t="s">
        <v>574</v>
      </c>
      <c r="H27" s="239" t="s">
        <v>574</v>
      </c>
      <c r="I27" s="237" t="s">
        <v>590</v>
      </c>
      <c r="J27" s="239">
        <v>2024</v>
      </c>
      <c r="K27" s="237" t="s">
        <v>588</v>
      </c>
      <c r="L27" s="237" t="s">
        <v>368</v>
      </c>
      <c r="M27" s="237" t="s">
        <v>368</v>
      </c>
      <c r="N27" s="240">
        <v>0.4</v>
      </c>
      <c r="O27" s="240">
        <v>0.4</v>
      </c>
      <c r="P27" s="237"/>
      <c r="Q27" s="237"/>
      <c r="R27" s="237"/>
      <c r="S27" s="240" t="s">
        <v>297</v>
      </c>
      <c r="T27" s="240" t="s">
        <v>297</v>
      </c>
    </row>
    <row r="28" spans="1:113" ht="24" customHeight="1" x14ac:dyDescent="0.25">
      <c r="A28" s="236">
        <v>4</v>
      </c>
      <c r="B28" s="236"/>
      <c r="C28" s="236"/>
      <c r="D28" s="239" t="s">
        <v>573</v>
      </c>
      <c r="E28" s="239" t="s">
        <v>589</v>
      </c>
      <c r="F28" s="239" t="s">
        <v>600</v>
      </c>
      <c r="G28" s="239" t="s">
        <v>575</v>
      </c>
      <c r="H28" s="239" t="s">
        <v>575</v>
      </c>
      <c r="I28" s="237" t="s">
        <v>590</v>
      </c>
      <c r="J28" s="239">
        <v>2024</v>
      </c>
      <c r="K28" s="237" t="s">
        <v>588</v>
      </c>
      <c r="L28" s="237" t="s">
        <v>368</v>
      </c>
      <c r="M28" s="237" t="s">
        <v>368</v>
      </c>
      <c r="N28" s="240">
        <v>0.4</v>
      </c>
      <c r="O28" s="240">
        <v>0.4</v>
      </c>
      <c r="P28" s="237"/>
      <c r="Q28" s="237"/>
      <c r="R28" s="237"/>
      <c r="S28" s="240" t="s">
        <v>297</v>
      </c>
      <c r="T28" s="240" t="s">
        <v>297</v>
      </c>
    </row>
    <row r="29" spans="1:113" s="40" customFormat="1" ht="12.75" x14ac:dyDescent="0.2"/>
    <row r="30" spans="1:113" s="40" customFormat="1" x14ac:dyDescent="0.25">
      <c r="B30" s="38" t="s">
        <v>104</v>
      </c>
      <c r="C30" s="38"/>
      <c r="D30" s="38"/>
      <c r="E30" s="38"/>
      <c r="F30" s="38"/>
      <c r="G30" s="38"/>
      <c r="H30" s="38"/>
      <c r="I30" s="38"/>
      <c r="J30" s="38"/>
      <c r="K30" s="38"/>
      <c r="L30" s="38"/>
      <c r="M30" s="38"/>
      <c r="N30" s="38"/>
      <c r="O30" s="38"/>
      <c r="P30" s="38"/>
      <c r="Q30" s="38"/>
      <c r="R30" s="38"/>
    </row>
    <row r="31" spans="1:113" x14ac:dyDescent="0.25">
      <c r="B31" s="383" t="s">
        <v>421</v>
      </c>
      <c r="C31" s="383"/>
      <c r="D31" s="383"/>
      <c r="E31" s="383"/>
      <c r="F31" s="383"/>
      <c r="G31" s="383"/>
      <c r="H31" s="383"/>
      <c r="I31" s="383"/>
      <c r="J31" s="383"/>
      <c r="K31" s="383"/>
      <c r="L31" s="383"/>
      <c r="M31" s="383"/>
      <c r="N31" s="383"/>
      <c r="O31" s="383"/>
      <c r="P31" s="383"/>
      <c r="Q31" s="383"/>
      <c r="R31" s="383"/>
    </row>
    <row r="32" spans="1:113" x14ac:dyDescent="0.25">
      <c r="B32" s="38"/>
      <c r="C32" s="38"/>
      <c r="D32" s="38"/>
      <c r="E32" s="38"/>
      <c r="F32" s="38"/>
      <c r="G32" s="38"/>
      <c r="H32" s="38"/>
      <c r="I32" s="38"/>
      <c r="J32" s="38"/>
      <c r="K32" s="38"/>
      <c r="L32" s="38"/>
      <c r="M32" s="38"/>
      <c r="N32" s="38"/>
      <c r="O32" s="38"/>
      <c r="P32" s="38"/>
      <c r="Q32" s="38"/>
      <c r="R32" s="38"/>
      <c r="S32" s="38"/>
      <c r="T32" s="38"/>
      <c r="U32" s="38"/>
      <c r="V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x14ac:dyDescent="0.25">
      <c r="B33" s="37" t="s">
        <v>385</v>
      </c>
      <c r="C33" s="37"/>
      <c r="D33" s="37"/>
      <c r="E33" s="37"/>
      <c r="F33" s="35"/>
      <c r="G33" s="35"/>
      <c r="H33" s="37"/>
      <c r="I33" s="37"/>
      <c r="J33" s="37"/>
      <c r="K33" s="37"/>
      <c r="L33" s="37"/>
      <c r="M33" s="37"/>
      <c r="N33" s="37"/>
      <c r="O33" s="37"/>
      <c r="P33" s="37"/>
      <c r="Q33" s="37"/>
      <c r="R33" s="37"/>
      <c r="S33" s="39"/>
      <c r="T33" s="39"/>
      <c r="U33" s="39"/>
      <c r="V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37" t="s">
        <v>103</v>
      </c>
      <c r="C34" s="37"/>
      <c r="D34" s="37"/>
      <c r="E34" s="37"/>
      <c r="F34" s="35"/>
      <c r="G34" s="35"/>
      <c r="H34" s="37"/>
      <c r="I34" s="37"/>
      <c r="J34" s="37"/>
      <c r="K34" s="37"/>
      <c r="L34" s="37"/>
      <c r="M34" s="37"/>
      <c r="N34" s="37"/>
      <c r="O34" s="37"/>
      <c r="P34" s="37"/>
      <c r="Q34" s="37"/>
      <c r="R34" s="37"/>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5" customFormat="1" x14ac:dyDescent="0.25">
      <c r="B35" s="37" t="s">
        <v>102</v>
      </c>
      <c r="C35" s="37"/>
      <c r="D35" s="37"/>
      <c r="E35" s="37"/>
      <c r="H35" s="37"/>
      <c r="I35" s="37"/>
      <c r="J35" s="37"/>
      <c r="K35" s="37"/>
      <c r="L35" s="37"/>
      <c r="M35" s="37"/>
      <c r="N35" s="37"/>
      <c r="O35" s="37"/>
      <c r="P35" s="37"/>
      <c r="Q35" s="37"/>
      <c r="R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7"/>
      <c r="R2" s="137"/>
      <c r="AA2" s="14" t="s">
        <v>8</v>
      </c>
    </row>
    <row r="3" spans="1:27" s="17" customFormat="1" ht="18.75" customHeight="1" x14ac:dyDescent="0.3">
      <c r="Q3" s="137"/>
      <c r="R3" s="137"/>
      <c r="AA3" s="14" t="s">
        <v>65</v>
      </c>
    </row>
    <row r="4" spans="1:27" s="17" customFormat="1" x14ac:dyDescent="0.2">
      <c r="E4" s="138"/>
      <c r="Q4" s="137"/>
      <c r="R4" s="137"/>
    </row>
    <row r="5" spans="1:27" s="17" customFormat="1" x14ac:dyDescent="0.2">
      <c r="A5" s="352" t="str">
        <f>'1. паспорт местоположение'!A5:C5</f>
        <v>Год раскрытия информации: 2022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row>
    <row r="6" spans="1:27" s="17" customFormat="1" x14ac:dyDescent="0.2">
      <c r="A6" s="133"/>
      <c r="B6" s="133"/>
      <c r="C6" s="133"/>
      <c r="D6" s="133"/>
      <c r="E6" s="133"/>
      <c r="F6" s="133"/>
      <c r="G6" s="133"/>
      <c r="H6" s="133"/>
      <c r="I6" s="133"/>
      <c r="J6" s="133"/>
      <c r="K6" s="133"/>
      <c r="L6" s="133"/>
      <c r="M6" s="133"/>
      <c r="N6" s="133"/>
      <c r="O6" s="133"/>
      <c r="P6" s="133"/>
      <c r="Q6" s="133"/>
      <c r="R6" s="133"/>
      <c r="S6" s="133"/>
      <c r="T6" s="133"/>
    </row>
    <row r="7" spans="1:27" s="17" customFormat="1" ht="18.75" x14ac:dyDescent="0.2">
      <c r="E7" s="363" t="s">
        <v>7</v>
      </c>
      <c r="F7" s="363"/>
      <c r="G7" s="363"/>
      <c r="H7" s="363"/>
      <c r="I7" s="363"/>
      <c r="J7" s="363"/>
      <c r="K7" s="363"/>
      <c r="L7" s="363"/>
      <c r="M7" s="363"/>
      <c r="N7" s="363"/>
      <c r="O7" s="363"/>
      <c r="P7" s="363"/>
      <c r="Q7" s="363"/>
      <c r="R7" s="363"/>
      <c r="S7" s="363"/>
      <c r="T7" s="363"/>
      <c r="U7" s="363"/>
      <c r="V7" s="363"/>
      <c r="W7" s="363"/>
      <c r="X7" s="363"/>
      <c r="Y7" s="363"/>
    </row>
    <row r="8" spans="1:27" s="17" customFormat="1" ht="18.75" x14ac:dyDescent="0.2">
      <c r="E8" s="156"/>
      <c r="F8" s="156"/>
      <c r="G8" s="156"/>
      <c r="H8" s="156"/>
      <c r="I8" s="156"/>
      <c r="J8" s="156"/>
      <c r="K8" s="156"/>
      <c r="L8" s="156"/>
      <c r="M8" s="156"/>
      <c r="N8" s="156"/>
      <c r="O8" s="156"/>
      <c r="P8" s="156"/>
      <c r="Q8" s="156"/>
      <c r="R8" s="156"/>
      <c r="S8" s="141"/>
      <c r="T8" s="141"/>
      <c r="U8" s="141"/>
      <c r="V8" s="141"/>
      <c r="W8" s="141"/>
    </row>
    <row r="9" spans="1:27" s="17" customFormat="1" ht="18.75" customHeight="1" x14ac:dyDescent="0.2">
      <c r="E9" s="358" t="str">
        <f>'1. паспорт местоположение'!A9</f>
        <v xml:space="preserve">Акционерное общество "Западная энергетическая компания" </v>
      </c>
      <c r="F9" s="358"/>
      <c r="G9" s="358"/>
      <c r="H9" s="358"/>
      <c r="I9" s="358"/>
      <c r="J9" s="358"/>
      <c r="K9" s="358"/>
      <c r="L9" s="358"/>
      <c r="M9" s="358"/>
      <c r="N9" s="358"/>
      <c r="O9" s="358"/>
      <c r="P9" s="358"/>
      <c r="Q9" s="358"/>
      <c r="R9" s="358"/>
      <c r="S9" s="358"/>
      <c r="T9" s="358"/>
      <c r="U9" s="358"/>
      <c r="V9" s="358"/>
      <c r="W9" s="358"/>
      <c r="X9" s="358"/>
      <c r="Y9" s="358"/>
    </row>
    <row r="10" spans="1:27" s="17" customFormat="1" ht="18.75" customHeight="1" x14ac:dyDescent="0.2">
      <c r="E10" s="359" t="s">
        <v>6</v>
      </c>
      <c r="F10" s="359"/>
      <c r="G10" s="359"/>
      <c r="H10" s="359"/>
      <c r="I10" s="359"/>
      <c r="J10" s="359"/>
      <c r="K10" s="359"/>
      <c r="L10" s="359"/>
      <c r="M10" s="359"/>
      <c r="N10" s="359"/>
      <c r="O10" s="359"/>
      <c r="P10" s="359"/>
      <c r="Q10" s="359"/>
      <c r="R10" s="359"/>
      <c r="S10" s="359"/>
      <c r="T10" s="359"/>
      <c r="U10" s="359"/>
      <c r="V10" s="359"/>
      <c r="W10" s="359"/>
      <c r="X10" s="359"/>
      <c r="Y10" s="359"/>
    </row>
    <row r="11" spans="1:27" s="17" customFormat="1" ht="18.75" x14ac:dyDescent="0.2">
      <c r="E11" s="156"/>
      <c r="F11" s="156"/>
      <c r="G11" s="156"/>
      <c r="H11" s="156"/>
      <c r="I11" s="156"/>
      <c r="J11" s="156"/>
      <c r="K11" s="156"/>
      <c r="L11" s="156"/>
      <c r="M11" s="156"/>
      <c r="N11" s="156"/>
      <c r="O11" s="156"/>
      <c r="P11" s="156"/>
      <c r="Q11" s="156"/>
      <c r="R11" s="156"/>
      <c r="S11" s="141"/>
      <c r="T11" s="141"/>
      <c r="U11" s="141"/>
      <c r="V11" s="141"/>
      <c r="W11" s="141"/>
    </row>
    <row r="12" spans="1:27" s="17" customFormat="1" ht="18.75" customHeight="1" x14ac:dyDescent="0.2">
      <c r="E12" s="358" t="str">
        <f>'1. паспорт местоположение'!A12</f>
        <v>J 19-10</v>
      </c>
      <c r="F12" s="358"/>
      <c r="G12" s="358"/>
      <c r="H12" s="358"/>
      <c r="I12" s="358"/>
      <c r="J12" s="358"/>
      <c r="K12" s="358"/>
      <c r="L12" s="358"/>
      <c r="M12" s="358"/>
      <c r="N12" s="358"/>
      <c r="O12" s="358"/>
      <c r="P12" s="358"/>
      <c r="Q12" s="358"/>
      <c r="R12" s="358"/>
      <c r="S12" s="358"/>
      <c r="T12" s="358"/>
      <c r="U12" s="358"/>
      <c r="V12" s="358"/>
      <c r="W12" s="358"/>
      <c r="X12" s="358"/>
      <c r="Y12" s="358"/>
    </row>
    <row r="13" spans="1:27" s="17" customFormat="1" ht="18.75" customHeight="1" x14ac:dyDescent="0.2">
      <c r="E13" s="359" t="s">
        <v>5</v>
      </c>
      <c r="F13" s="359"/>
      <c r="G13" s="359"/>
      <c r="H13" s="359"/>
      <c r="I13" s="359"/>
      <c r="J13" s="359"/>
      <c r="K13" s="359"/>
      <c r="L13" s="359"/>
      <c r="M13" s="359"/>
      <c r="N13" s="359"/>
      <c r="O13" s="359"/>
      <c r="P13" s="359"/>
      <c r="Q13" s="359"/>
      <c r="R13" s="359"/>
      <c r="S13" s="359"/>
      <c r="T13" s="359"/>
      <c r="U13" s="359"/>
      <c r="V13" s="359"/>
      <c r="W13" s="359"/>
      <c r="X13" s="359"/>
      <c r="Y13" s="359"/>
    </row>
    <row r="14" spans="1:27" s="139" customFormat="1" ht="15.75" customHeight="1" x14ac:dyDescent="0.2">
      <c r="E14" s="142"/>
      <c r="F14" s="142"/>
      <c r="G14" s="142"/>
      <c r="H14" s="142"/>
      <c r="I14" s="142"/>
      <c r="J14" s="142"/>
      <c r="K14" s="142"/>
      <c r="L14" s="142"/>
      <c r="M14" s="142"/>
      <c r="N14" s="142"/>
      <c r="O14" s="142"/>
      <c r="P14" s="142"/>
      <c r="Q14" s="142"/>
      <c r="R14" s="142"/>
      <c r="S14" s="142"/>
      <c r="T14" s="142"/>
      <c r="U14" s="142"/>
      <c r="V14" s="142"/>
      <c r="W14" s="142"/>
    </row>
    <row r="15" spans="1:27" s="140" customFormat="1" x14ac:dyDescent="0.2">
      <c r="E15" s="358" t="str">
        <f>'1. паспорт местоположение'!A15</f>
        <v>Реконструкция ТП-12 15/0,4кВ п.Южный, Багратионовского р-на</v>
      </c>
      <c r="F15" s="358"/>
      <c r="G15" s="358"/>
      <c r="H15" s="358"/>
      <c r="I15" s="358"/>
      <c r="J15" s="358"/>
      <c r="K15" s="358"/>
      <c r="L15" s="358"/>
      <c r="M15" s="358"/>
      <c r="N15" s="358"/>
      <c r="O15" s="358"/>
      <c r="P15" s="358"/>
      <c r="Q15" s="358"/>
      <c r="R15" s="358"/>
      <c r="S15" s="358"/>
      <c r="T15" s="358"/>
      <c r="U15" s="358"/>
      <c r="V15" s="358"/>
      <c r="W15" s="358"/>
      <c r="X15" s="358"/>
      <c r="Y15" s="358"/>
    </row>
    <row r="16" spans="1:27" s="140" customFormat="1" ht="15" customHeight="1" x14ac:dyDescent="0.2">
      <c r="E16" s="359" t="s">
        <v>4</v>
      </c>
      <c r="F16" s="359"/>
      <c r="G16" s="359"/>
      <c r="H16" s="359"/>
      <c r="I16" s="359"/>
      <c r="J16" s="359"/>
      <c r="K16" s="359"/>
      <c r="L16" s="359"/>
      <c r="M16" s="359"/>
      <c r="N16" s="359"/>
      <c r="O16" s="359"/>
      <c r="P16" s="359"/>
      <c r="Q16" s="359"/>
      <c r="R16" s="359"/>
      <c r="S16" s="359"/>
      <c r="T16" s="359"/>
      <c r="U16" s="359"/>
      <c r="V16" s="359"/>
      <c r="W16" s="359"/>
      <c r="X16" s="359"/>
      <c r="Y16" s="359"/>
    </row>
    <row r="17" spans="1:27" s="140" customFormat="1" ht="15" customHeight="1" x14ac:dyDescent="0.2">
      <c r="E17" s="145"/>
      <c r="F17" s="145"/>
      <c r="G17" s="145"/>
      <c r="H17" s="145"/>
      <c r="I17" s="145"/>
      <c r="J17" s="145"/>
      <c r="K17" s="145"/>
      <c r="L17" s="145"/>
      <c r="M17" s="145"/>
      <c r="N17" s="145"/>
      <c r="O17" s="145"/>
      <c r="P17" s="145"/>
      <c r="Q17" s="145"/>
      <c r="R17" s="145"/>
      <c r="S17" s="145"/>
      <c r="T17" s="145"/>
      <c r="U17" s="145"/>
      <c r="V17" s="145"/>
      <c r="W17" s="145"/>
    </row>
    <row r="18" spans="1:27" s="140" customFormat="1" ht="15" customHeight="1" x14ac:dyDescent="0.2">
      <c r="E18" s="372"/>
      <c r="F18" s="372"/>
      <c r="G18" s="372"/>
      <c r="H18" s="372"/>
      <c r="I18" s="372"/>
      <c r="J18" s="372"/>
      <c r="K18" s="372"/>
      <c r="L18" s="372"/>
      <c r="M18" s="372"/>
      <c r="N18" s="372"/>
      <c r="O18" s="372"/>
      <c r="P18" s="372"/>
      <c r="Q18" s="372"/>
      <c r="R18" s="372"/>
      <c r="S18" s="372"/>
      <c r="T18" s="372"/>
      <c r="U18" s="372"/>
      <c r="V18" s="372"/>
      <c r="W18" s="372"/>
      <c r="X18" s="372"/>
      <c r="Y18" s="372"/>
    </row>
    <row r="19" spans="1:27" ht="25.5" customHeight="1" x14ac:dyDescent="0.25">
      <c r="A19" s="372" t="s">
        <v>389</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41" customFormat="1" ht="21" customHeight="1" x14ac:dyDescent="0.25"/>
    <row r="21" spans="1:27" ht="15.75" customHeight="1" x14ac:dyDescent="0.25">
      <c r="A21" s="385" t="s">
        <v>3</v>
      </c>
      <c r="B21" s="387" t="s">
        <v>396</v>
      </c>
      <c r="C21" s="388"/>
      <c r="D21" s="387" t="s">
        <v>398</v>
      </c>
      <c r="E21" s="388"/>
      <c r="F21" s="369" t="s">
        <v>88</v>
      </c>
      <c r="G21" s="371"/>
      <c r="H21" s="371"/>
      <c r="I21" s="370"/>
      <c r="J21" s="385" t="s">
        <v>399</v>
      </c>
      <c r="K21" s="387" t="s">
        <v>400</v>
      </c>
      <c r="L21" s="388"/>
      <c r="M21" s="387" t="s">
        <v>401</v>
      </c>
      <c r="N21" s="388"/>
      <c r="O21" s="387" t="s">
        <v>388</v>
      </c>
      <c r="P21" s="388"/>
      <c r="Q21" s="387" t="s">
        <v>121</v>
      </c>
      <c r="R21" s="388"/>
      <c r="S21" s="385" t="s">
        <v>120</v>
      </c>
      <c r="T21" s="385" t="s">
        <v>402</v>
      </c>
      <c r="U21" s="385" t="s">
        <v>397</v>
      </c>
      <c r="V21" s="387" t="s">
        <v>119</v>
      </c>
      <c r="W21" s="388"/>
      <c r="X21" s="369" t="s">
        <v>111</v>
      </c>
      <c r="Y21" s="371"/>
      <c r="Z21" s="369" t="s">
        <v>110</v>
      </c>
      <c r="AA21" s="371"/>
    </row>
    <row r="22" spans="1:27" ht="216" customHeight="1" x14ac:dyDescent="0.25">
      <c r="A22" s="391"/>
      <c r="B22" s="389"/>
      <c r="C22" s="390"/>
      <c r="D22" s="389"/>
      <c r="E22" s="390"/>
      <c r="F22" s="369" t="s">
        <v>118</v>
      </c>
      <c r="G22" s="370"/>
      <c r="H22" s="369" t="s">
        <v>117</v>
      </c>
      <c r="I22" s="370"/>
      <c r="J22" s="386"/>
      <c r="K22" s="389"/>
      <c r="L22" s="390"/>
      <c r="M22" s="389"/>
      <c r="N22" s="390"/>
      <c r="O22" s="389"/>
      <c r="P22" s="390"/>
      <c r="Q22" s="389"/>
      <c r="R22" s="390"/>
      <c r="S22" s="386"/>
      <c r="T22" s="386"/>
      <c r="U22" s="386"/>
      <c r="V22" s="389"/>
      <c r="W22" s="390"/>
      <c r="X22" s="72" t="s">
        <v>109</v>
      </c>
      <c r="Y22" s="72" t="s">
        <v>386</v>
      </c>
      <c r="Z22" s="72" t="s">
        <v>108</v>
      </c>
      <c r="AA22" s="72" t="s">
        <v>107</v>
      </c>
    </row>
    <row r="23" spans="1:27" ht="60" customHeight="1" x14ac:dyDescent="0.25">
      <c r="A23" s="386"/>
      <c r="B23" s="135" t="s">
        <v>105</v>
      </c>
      <c r="C23" s="135" t="s">
        <v>106</v>
      </c>
      <c r="D23" s="135" t="s">
        <v>105</v>
      </c>
      <c r="E23" s="135" t="s">
        <v>106</v>
      </c>
      <c r="F23" s="135" t="s">
        <v>105</v>
      </c>
      <c r="G23" s="135" t="s">
        <v>106</v>
      </c>
      <c r="H23" s="135" t="s">
        <v>105</v>
      </c>
      <c r="I23" s="135" t="s">
        <v>106</v>
      </c>
      <c r="J23" s="135" t="s">
        <v>105</v>
      </c>
      <c r="K23" s="135" t="s">
        <v>105</v>
      </c>
      <c r="L23" s="135" t="s">
        <v>106</v>
      </c>
      <c r="M23" s="135" t="s">
        <v>105</v>
      </c>
      <c r="N23" s="135" t="s">
        <v>106</v>
      </c>
      <c r="O23" s="135" t="s">
        <v>105</v>
      </c>
      <c r="P23" s="135" t="s">
        <v>106</v>
      </c>
      <c r="Q23" s="135" t="s">
        <v>105</v>
      </c>
      <c r="R23" s="135" t="s">
        <v>106</v>
      </c>
      <c r="S23" s="135" t="s">
        <v>105</v>
      </c>
      <c r="T23" s="135" t="s">
        <v>105</v>
      </c>
      <c r="U23" s="135" t="s">
        <v>105</v>
      </c>
      <c r="V23" s="135" t="s">
        <v>105</v>
      </c>
      <c r="W23" s="135" t="s">
        <v>106</v>
      </c>
      <c r="X23" s="135" t="s">
        <v>105</v>
      </c>
      <c r="Y23" s="135"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c r="B25" s="118"/>
      <c r="C25" s="115"/>
      <c r="D25" s="115"/>
      <c r="E25" s="115"/>
      <c r="F25" s="115"/>
      <c r="G25" s="115"/>
      <c r="H25" s="115"/>
      <c r="I25" s="115"/>
      <c r="J25" s="115"/>
      <c r="K25" s="115"/>
      <c r="L25" s="115"/>
      <c r="M25" s="115"/>
      <c r="N25" s="115"/>
      <c r="O25" s="115"/>
      <c r="P25" s="115"/>
      <c r="Q25" s="115"/>
      <c r="R25" s="115"/>
      <c r="S25" s="115"/>
      <c r="T25" s="115"/>
      <c r="U25" s="115"/>
      <c r="V25" s="115"/>
      <c r="W25" s="115"/>
      <c r="X25" s="115"/>
      <c r="Y25" s="115"/>
      <c r="Z25" s="115"/>
      <c r="AA25" s="115"/>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25" sqref="C25"/>
    </sheetView>
  </sheetViews>
  <sheetFormatPr defaultColWidth="9.140625" defaultRowHeight="15" x14ac:dyDescent="0.25"/>
  <cols>
    <col min="1" max="1" width="6.140625" style="155" customWidth="1"/>
    <col min="2" max="2" width="53.5703125" style="155" customWidth="1"/>
    <col min="3" max="3" width="98.28515625" style="155" customWidth="1"/>
    <col min="4" max="4" width="14.42578125" style="155" customWidth="1"/>
    <col min="5" max="5" width="36.5703125" style="155" customWidth="1"/>
    <col min="6" max="6" width="20" style="155" customWidth="1"/>
    <col min="7" max="7" width="25.5703125" style="155" customWidth="1"/>
    <col min="8" max="8" width="16.42578125" style="155" customWidth="1"/>
    <col min="9" max="16384" width="9.140625" style="155"/>
  </cols>
  <sheetData>
    <row r="1" spans="1:29" s="17" customFormat="1" ht="18.75" customHeight="1" x14ac:dyDescent="0.2">
      <c r="C1" s="29" t="s">
        <v>66</v>
      </c>
      <c r="E1" s="137"/>
      <c r="F1" s="137"/>
    </row>
    <row r="2" spans="1:29" s="17" customFormat="1" ht="18.75" customHeight="1" x14ac:dyDescent="0.3">
      <c r="C2" s="14" t="s">
        <v>8</v>
      </c>
      <c r="E2" s="137"/>
      <c r="F2" s="137"/>
    </row>
    <row r="3" spans="1:29" s="17" customFormat="1" ht="18.75" x14ac:dyDescent="0.3">
      <c r="A3" s="138"/>
      <c r="C3" s="14" t="s">
        <v>65</v>
      </c>
      <c r="E3" s="137"/>
      <c r="F3" s="137"/>
    </row>
    <row r="4" spans="1:29" s="17" customFormat="1" ht="18.75" x14ac:dyDescent="0.3">
      <c r="A4" s="138"/>
      <c r="C4" s="14"/>
      <c r="E4" s="137"/>
      <c r="F4" s="137"/>
    </row>
    <row r="5" spans="1:29" s="17" customFormat="1" ht="15.75" x14ac:dyDescent="0.2">
      <c r="A5" s="352" t="str">
        <f>'1. паспорт местоположение'!A5:C5</f>
        <v>Год раскрытия информации: 2022 год</v>
      </c>
      <c r="B5" s="352"/>
      <c r="C5" s="352"/>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8"/>
      <c r="E6" s="137"/>
      <c r="F6" s="137"/>
      <c r="G6" s="14"/>
    </row>
    <row r="7" spans="1:29" s="17" customFormat="1" ht="18.75" x14ac:dyDescent="0.2">
      <c r="A7" s="363" t="s">
        <v>7</v>
      </c>
      <c r="B7" s="363"/>
      <c r="C7" s="363"/>
      <c r="D7" s="141"/>
      <c r="E7" s="141"/>
      <c r="F7" s="141"/>
      <c r="G7" s="141"/>
      <c r="H7" s="141"/>
      <c r="I7" s="141"/>
      <c r="J7" s="141"/>
      <c r="K7" s="141"/>
      <c r="L7" s="141"/>
      <c r="M7" s="141"/>
      <c r="N7" s="141"/>
      <c r="O7" s="141"/>
      <c r="P7" s="141"/>
      <c r="Q7" s="141"/>
      <c r="R7" s="141"/>
      <c r="S7" s="141"/>
      <c r="T7" s="141"/>
      <c r="U7" s="141"/>
    </row>
    <row r="8" spans="1:29" s="17" customFormat="1" ht="18.75" x14ac:dyDescent="0.2">
      <c r="A8" s="363"/>
      <c r="B8" s="363"/>
      <c r="C8" s="363"/>
      <c r="D8" s="156"/>
      <c r="E8" s="156"/>
      <c r="F8" s="156"/>
      <c r="G8" s="156"/>
      <c r="H8" s="141"/>
      <c r="I8" s="141"/>
      <c r="J8" s="141"/>
      <c r="K8" s="141"/>
      <c r="L8" s="141"/>
      <c r="M8" s="141"/>
      <c r="N8" s="141"/>
      <c r="O8" s="141"/>
      <c r="P8" s="141"/>
      <c r="Q8" s="141"/>
      <c r="R8" s="141"/>
      <c r="S8" s="141"/>
      <c r="T8" s="141"/>
      <c r="U8" s="141"/>
    </row>
    <row r="9" spans="1:29" s="17" customFormat="1" ht="18.75" x14ac:dyDescent="0.2">
      <c r="A9" s="358" t="str">
        <f>'1. паспорт местоположение'!A9:C9</f>
        <v xml:space="preserve">Акционерное общество "Западная энергетическая компания" </v>
      </c>
      <c r="B9" s="358"/>
      <c r="C9" s="358"/>
      <c r="D9" s="143"/>
      <c r="E9" s="143"/>
      <c r="F9" s="143"/>
      <c r="G9" s="143"/>
      <c r="H9" s="141"/>
      <c r="I9" s="141"/>
      <c r="J9" s="141"/>
      <c r="K9" s="141"/>
      <c r="L9" s="141"/>
      <c r="M9" s="141"/>
      <c r="N9" s="141"/>
      <c r="O9" s="141"/>
      <c r="P9" s="141"/>
      <c r="Q9" s="141"/>
      <c r="R9" s="141"/>
      <c r="S9" s="141"/>
      <c r="T9" s="141"/>
      <c r="U9" s="141"/>
    </row>
    <row r="10" spans="1:29" s="17" customFormat="1" ht="18.75" x14ac:dyDescent="0.2">
      <c r="A10" s="359" t="s">
        <v>6</v>
      </c>
      <c r="B10" s="359"/>
      <c r="C10" s="359"/>
      <c r="D10" s="144"/>
      <c r="E10" s="144"/>
      <c r="F10" s="144"/>
      <c r="G10" s="144"/>
      <c r="H10" s="141"/>
      <c r="I10" s="141"/>
      <c r="J10" s="141"/>
      <c r="K10" s="141"/>
      <c r="L10" s="141"/>
      <c r="M10" s="141"/>
      <c r="N10" s="141"/>
      <c r="O10" s="141"/>
      <c r="P10" s="141"/>
      <c r="Q10" s="141"/>
      <c r="R10" s="141"/>
      <c r="S10" s="141"/>
      <c r="T10" s="141"/>
      <c r="U10" s="141"/>
    </row>
    <row r="11" spans="1:29" s="17" customFormat="1" ht="18.75" x14ac:dyDescent="0.2">
      <c r="A11" s="363"/>
      <c r="B11" s="363"/>
      <c r="C11" s="363"/>
      <c r="D11" s="156"/>
      <c r="E11" s="156"/>
      <c r="F11" s="156"/>
      <c r="G11" s="156"/>
      <c r="H11" s="141"/>
      <c r="I11" s="141"/>
      <c r="J11" s="141"/>
      <c r="K11" s="141"/>
      <c r="L11" s="141"/>
      <c r="M11" s="141"/>
      <c r="N11" s="141"/>
      <c r="O11" s="141"/>
      <c r="P11" s="141"/>
      <c r="Q11" s="141"/>
      <c r="R11" s="141"/>
      <c r="S11" s="141"/>
      <c r="T11" s="141"/>
      <c r="U11" s="141"/>
    </row>
    <row r="12" spans="1:29" s="17" customFormat="1" ht="18.75" x14ac:dyDescent="0.2">
      <c r="A12" s="358" t="str">
        <f>'1. паспорт местоположение'!A12:C12</f>
        <v>J 19-10</v>
      </c>
      <c r="B12" s="358"/>
      <c r="C12" s="358"/>
      <c r="D12" s="143"/>
      <c r="E12" s="143"/>
      <c r="F12" s="143"/>
      <c r="G12" s="143"/>
      <c r="H12" s="141"/>
      <c r="I12" s="141"/>
      <c r="J12" s="141"/>
      <c r="K12" s="141"/>
      <c r="L12" s="141"/>
      <c r="M12" s="141"/>
      <c r="N12" s="141"/>
      <c r="O12" s="141"/>
      <c r="P12" s="141"/>
      <c r="Q12" s="141"/>
      <c r="R12" s="141"/>
      <c r="S12" s="141"/>
      <c r="T12" s="141"/>
      <c r="U12" s="141"/>
    </row>
    <row r="13" spans="1:29" s="17" customFormat="1" ht="18.75" x14ac:dyDescent="0.2">
      <c r="A13" s="359" t="s">
        <v>5</v>
      </c>
      <c r="B13" s="359"/>
      <c r="C13" s="359"/>
      <c r="D13" s="144"/>
      <c r="E13" s="144"/>
      <c r="F13" s="144"/>
      <c r="G13" s="144"/>
      <c r="H13" s="141"/>
      <c r="I13" s="141"/>
      <c r="J13" s="141"/>
      <c r="K13" s="141"/>
      <c r="L13" s="141"/>
      <c r="M13" s="141"/>
      <c r="N13" s="141"/>
      <c r="O13" s="141"/>
      <c r="P13" s="141"/>
      <c r="Q13" s="141"/>
      <c r="R13" s="141"/>
      <c r="S13" s="141"/>
      <c r="T13" s="141"/>
      <c r="U13" s="141"/>
    </row>
    <row r="14" spans="1:29" s="139" customFormat="1" ht="15.75" customHeight="1" x14ac:dyDescent="0.2">
      <c r="A14" s="364"/>
      <c r="B14" s="364"/>
      <c r="C14" s="364"/>
      <c r="D14" s="142"/>
      <c r="E14" s="142"/>
      <c r="F14" s="142"/>
      <c r="G14" s="142"/>
      <c r="H14" s="142"/>
      <c r="I14" s="142"/>
      <c r="J14" s="142"/>
      <c r="K14" s="142"/>
      <c r="L14" s="142"/>
      <c r="M14" s="142"/>
      <c r="N14" s="142"/>
      <c r="O14" s="142"/>
      <c r="P14" s="142"/>
      <c r="Q14" s="142"/>
      <c r="R14" s="142"/>
      <c r="S14" s="142"/>
      <c r="T14" s="142"/>
      <c r="U14" s="142"/>
    </row>
    <row r="15" spans="1:29" s="140" customFormat="1" ht="45.75" customHeight="1" x14ac:dyDescent="0.2">
      <c r="A15" s="392" t="str">
        <f>'1. паспорт местоположение'!A15:C15</f>
        <v>Реконструкция ТП-12 15/0,4кВ п.Южный, Багратионовского р-на</v>
      </c>
      <c r="B15" s="392"/>
      <c r="C15" s="392"/>
      <c r="D15" s="143"/>
      <c r="E15" s="143"/>
      <c r="F15" s="143"/>
      <c r="G15" s="143"/>
      <c r="H15" s="143"/>
      <c r="I15" s="143"/>
      <c r="J15" s="143"/>
      <c r="K15" s="143"/>
      <c r="L15" s="143"/>
      <c r="M15" s="143"/>
      <c r="N15" s="143"/>
      <c r="O15" s="143"/>
      <c r="P15" s="143"/>
      <c r="Q15" s="143"/>
      <c r="R15" s="143"/>
      <c r="S15" s="143"/>
      <c r="T15" s="143"/>
      <c r="U15" s="143"/>
    </row>
    <row r="16" spans="1:29" s="140" customFormat="1" ht="15" customHeight="1" x14ac:dyDescent="0.2">
      <c r="A16" s="359" t="s">
        <v>4</v>
      </c>
      <c r="B16" s="359"/>
      <c r="C16" s="359"/>
      <c r="D16" s="144"/>
      <c r="E16" s="144"/>
      <c r="F16" s="144"/>
      <c r="G16" s="144"/>
      <c r="H16" s="144"/>
      <c r="I16" s="144"/>
      <c r="J16" s="144"/>
      <c r="K16" s="144"/>
      <c r="L16" s="144"/>
      <c r="M16" s="144"/>
      <c r="N16" s="144"/>
      <c r="O16" s="144"/>
      <c r="P16" s="144"/>
      <c r="Q16" s="144"/>
      <c r="R16" s="144"/>
      <c r="S16" s="144"/>
      <c r="T16" s="144"/>
      <c r="U16" s="144"/>
    </row>
    <row r="17" spans="1:21" s="140" customFormat="1" ht="15" customHeight="1" x14ac:dyDescent="0.2">
      <c r="A17" s="360"/>
      <c r="B17" s="360"/>
      <c r="C17" s="360"/>
      <c r="D17" s="145"/>
      <c r="E17" s="145"/>
      <c r="F17" s="145"/>
      <c r="G17" s="145"/>
      <c r="H17" s="145"/>
      <c r="I17" s="145"/>
      <c r="J17" s="145"/>
      <c r="K17" s="145"/>
      <c r="L17" s="145"/>
      <c r="M17" s="145"/>
      <c r="N17" s="145"/>
      <c r="O17" s="145"/>
      <c r="P17" s="145"/>
      <c r="Q17" s="145"/>
      <c r="R17" s="145"/>
    </row>
    <row r="18" spans="1:21" s="140" customFormat="1" ht="27.75" customHeight="1" x14ac:dyDescent="0.2">
      <c r="A18" s="361" t="s">
        <v>381</v>
      </c>
      <c r="B18" s="361"/>
      <c r="C18" s="361"/>
      <c r="D18" s="146"/>
      <c r="E18" s="146"/>
      <c r="F18" s="146"/>
      <c r="G18" s="146"/>
      <c r="H18" s="146"/>
      <c r="I18" s="146"/>
      <c r="J18" s="146"/>
      <c r="K18" s="146"/>
      <c r="L18" s="146"/>
      <c r="M18" s="146"/>
      <c r="N18" s="146"/>
      <c r="O18" s="146"/>
      <c r="P18" s="146"/>
      <c r="Q18" s="146"/>
      <c r="R18" s="146"/>
      <c r="S18" s="146"/>
      <c r="T18" s="146"/>
      <c r="U18" s="146"/>
    </row>
    <row r="19" spans="1:21" s="140" customFormat="1" ht="15" customHeight="1" x14ac:dyDescent="0.2">
      <c r="A19" s="144"/>
      <c r="B19" s="144"/>
      <c r="C19" s="144"/>
      <c r="D19" s="144"/>
      <c r="E19" s="144"/>
      <c r="F19" s="144"/>
      <c r="G19" s="144"/>
      <c r="H19" s="145"/>
      <c r="I19" s="145"/>
      <c r="J19" s="145"/>
      <c r="K19" s="145"/>
      <c r="L19" s="145"/>
      <c r="M19" s="145"/>
      <c r="N19" s="145"/>
      <c r="O19" s="145"/>
      <c r="P19" s="145"/>
      <c r="Q19" s="145"/>
      <c r="R19" s="145"/>
    </row>
    <row r="20" spans="1:21" s="140" customFormat="1" ht="39.75" customHeight="1" x14ac:dyDescent="0.2">
      <c r="A20" s="157" t="s">
        <v>3</v>
      </c>
      <c r="B20" s="152" t="s">
        <v>64</v>
      </c>
      <c r="C20" s="153" t="s">
        <v>63</v>
      </c>
      <c r="D20" s="158"/>
      <c r="E20" s="158"/>
      <c r="F20" s="158"/>
      <c r="G20" s="158"/>
      <c r="H20" s="149"/>
      <c r="I20" s="149"/>
      <c r="J20" s="149"/>
      <c r="K20" s="149"/>
      <c r="L20" s="149"/>
      <c r="M20" s="149"/>
      <c r="N20" s="149"/>
      <c r="O20" s="149"/>
      <c r="P20" s="149"/>
      <c r="Q20" s="149"/>
      <c r="R20" s="149"/>
      <c r="S20" s="150"/>
      <c r="T20" s="150"/>
      <c r="U20" s="150"/>
    </row>
    <row r="21" spans="1:21" s="140" customFormat="1" ht="16.5" customHeight="1" x14ac:dyDescent="0.2">
      <c r="A21" s="153">
        <v>1</v>
      </c>
      <c r="B21" s="152">
        <v>2</v>
      </c>
      <c r="C21" s="153">
        <v>3</v>
      </c>
      <c r="D21" s="158"/>
      <c r="E21" s="158"/>
      <c r="F21" s="158"/>
      <c r="G21" s="158"/>
      <c r="H21" s="149"/>
      <c r="I21" s="149"/>
      <c r="J21" s="149"/>
      <c r="K21" s="149"/>
      <c r="L21" s="149"/>
      <c r="M21" s="149"/>
      <c r="N21" s="149"/>
      <c r="O21" s="149"/>
      <c r="P21" s="149"/>
      <c r="Q21" s="149"/>
      <c r="R21" s="149"/>
      <c r="S21" s="150"/>
      <c r="T21" s="150"/>
      <c r="U21" s="150"/>
    </row>
    <row r="22" spans="1:21" s="140" customFormat="1" ht="41.25" customHeight="1" x14ac:dyDescent="0.2">
      <c r="A22" s="159" t="s">
        <v>62</v>
      </c>
      <c r="B22" s="24" t="s">
        <v>394</v>
      </c>
      <c r="C22" s="161" t="s">
        <v>594</v>
      </c>
      <c r="D22" s="158"/>
      <c r="E22" s="158"/>
      <c r="F22" s="149"/>
      <c r="G22" s="149"/>
      <c r="H22" s="149"/>
      <c r="I22" s="149"/>
      <c r="J22" s="149"/>
      <c r="K22" s="149"/>
      <c r="L22" s="149"/>
      <c r="M22" s="149"/>
      <c r="N22" s="149"/>
      <c r="O22" s="149"/>
      <c r="P22" s="149"/>
      <c r="Q22" s="150"/>
      <c r="R22" s="150"/>
      <c r="S22" s="150"/>
      <c r="T22" s="150"/>
      <c r="U22" s="150"/>
    </row>
    <row r="23" spans="1:21" ht="63" customHeight="1" x14ac:dyDescent="0.25">
      <c r="A23" s="159" t="s">
        <v>61</v>
      </c>
      <c r="B23" s="160" t="s">
        <v>58</v>
      </c>
      <c r="C23" s="161" t="s">
        <v>591</v>
      </c>
      <c r="D23" s="154"/>
      <c r="E23" s="154"/>
      <c r="F23" s="154"/>
      <c r="G23" s="154"/>
      <c r="H23" s="154"/>
      <c r="I23" s="154"/>
      <c r="J23" s="154"/>
      <c r="K23" s="154"/>
      <c r="L23" s="154"/>
      <c r="M23" s="154"/>
      <c r="N23" s="154"/>
      <c r="O23" s="154"/>
      <c r="P23" s="154"/>
      <c r="Q23" s="154"/>
      <c r="R23" s="154"/>
      <c r="S23" s="154"/>
      <c r="T23" s="154"/>
      <c r="U23" s="154"/>
    </row>
    <row r="24" spans="1:21" ht="63" customHeight="1" x14ac:dyDescent="0.25">
      <c r="A24" s="159" t="s">
        <v>60</v>
      </c>
      <c r="B24" s="160" t="s">
        <v>413</v>
      </c>
      <c r="C24" s="161" t="s">
        <v>601</v>
      </c>
      <c r="D24" s="154"/>
      <c r="E24" s="154"/>
      <c r="F24" s="154"/>
      <c r="G24" s="154"/>
      <c r="H24" s="154"/>
      <c r="I24" s="154"/>
      <c r="J24" s="154"/>
      <c r="K24" s="154"/>
      <c r="L24" s="154"/>
      <c r="M24" s="154"/>
      <c r="N24" s="154"/>
      <c r="O24" s="154"/>
      <c r="P24" s="154"/>
      <c r="Q24" s="154"/>
      <c r="R24" s="154"/>
      <c r="S24" s="154"/>
      <c r="T24" s="154"/>
      <c r="U24" s="154"/>
    </row>
    <row r="25" spans="1:21" ht="63" customHeight="1" x14ac:dyDescent="0.25">
      <c r="A25" s="159" t="s">
        <v>59</v>
      </c>
      <c r="B25" s="160" t="s">
        <v>414</v>
      </c>
      <c r="C25" s="246" t="s">
        <v>576</v>
      </c>
      <c r="D25" s="154"/>
      <c r="E25" s="154"/>
      <c r="F25" s="154"/>
      <c r="G25" s="154"/>
      <c r="H25" s="154"/>
      <c r="I25" s="154"/>
      <c r="J25" s="154"/>
      <c r="K25" s="154"/>
      <c r="L25" s="154"/>
      <c r="M25" s="154"/>
      <c r="N25" s="154"/>
      <c r="O25" s="154"/>
      <c r="P25" s="154"/>
      <c r="Q25" s="154"/>
      <c r="R25" s="154"/>
      <c r="S25" s="154"/>
      <c r="T25" s="154"/>
      <c r="U25" s="154"/>
    </row>
    <row r="26" spans="1:21" ht="42.75" customHeight="1" x14ac:dyDescent="0.25">
      <c r="A26" s="159" t="s">
        <v>57</v>
      </c>
      <c r="B26" s="160" t="s">
        <v>208</v>
      </c>
      <c r="C26" s="157" t="s">
        <v>436</v>
      </c>
      <c r="D26" s="154"/>
      <c r="E26" s="154"/>
      <c r="F26" s="154"/>
      <c r="G26" s="154"/>
      <c r="H26" s="154"/>
      <c r="I26" s="154"/>
      <c r="J26" s="154"/>
      <c r="K26" s="154"/>
      <c r="L26" s="154"/>
      <c r="M26" s="154"/>
      <c r="N26" s="154"/>
      <c r="O26" s="154"/>
      <c r="P26" s="154"/>
      <c r="Q26" s="154"/>
      <c r="R26" s="154"/>
      <c r="S26" s="154"/>
      <c r="T26" s="154"/>
      <c r="U26" s="154"/>
    </row>
    <row r="27" spans="1:21" ht="31.5" x14ac:dyDescent="0.25">
      <c r="A27" s="159" t="s">
        <v>56</v>
      </c>
      <c r="B27" s="160" t="s">
        <v>395</v>
      </c>
      <c r="C27" s="157" t="s">
        <v>592</v>
      </c>
      <c r="D27" s="154"/>
      <c r="E27" s="154"/>
      <c r="F27" s="154"/>
      <c r="G27" s="154"/>
      <c r="H27" s="154"/>
      <c r="I27" s="154"/>
      <c r="J27" s="154"/>
      <c r="K27" s="154"/>
      <c r="L27" s="154"/>
      <c r="M27" s="154"/>
      <c r="N27" s="154"/>
      <c r="O27" s="154"/>
      <c r="P27" s="154"/>
      <c r="Q27" s="154"/>
      <c r="R27" s="154"/>
      <c r="S27" s="154"/>
      <c r="T27" s="154"/>
      <c r="U27" s="154"/>
    </row>
    <row r="28" spans="1:21" ht="42.75" customHeight="1" x14ac:dyDescent="0.25">
      <c r="A28" s="159" t="s">
        <v>54</v>
      </c>
      <c r="B28" s="160" t="s">
        <v>55</v>
      </c>
      <c r="C28" s="161">
        <v>2023</v>
      </c>
      <c r="D28" s="154"/>
      <c r="E28" s="154"/>
      <c r="F28" s="154"/>
      <c r="G28" s="154"/>
      <c r="H28" s="154"/>
      <c r="I28" s="154"/>
      <c r="J28" s="154"/>
      <c r="K28" s="154"/>
      <c r="L28" s="154"/>
      <c r="M28" s="154"/>
      <c r="N28" s="154"/>
      <c r="O28" s="154"/>
      <c r="P28" s="154"/>
      <c r="Q28" s="154"/>
      <c r="R28" s="154"/>
      <c r="S28" s="154"/>
      <c r="T28" s="154"/>
      <c r="U28" s="154"/>
    </row>
    <row r="29" spans="1:21" ht="42.75" customHeight="1" x14ac:dyDescent="0.25">
      <c r="A29" s="159" t="s">
        <v>52</v>
      </c>
      <c r="B29" s="157" t="s">
        <v>53</v>
      </c>
      <c r="C29" s="161">
        <v>2024</v>
      </c>
      <c r="D29" s="154"/>
      <c r="E29" s="154"/>
      <c r="F29" s="154"/>
      <c r="G29" s="154"/>
      <c r="H29" s="154"/>
      <c r="I29" s="154"/>
      <c r="J29" s="154"/>
      <c r="K29" s="154"/>
      <c r="L29" s="154"/>
      <c r="M29" s="154"/>
      <c r="N29" s="154"/>
      <c r="O29" s="154"/>
      <c r="P29" s="154"/>
      <c r="Q29" s="154"/>
      <c r="R29" s="154"/>
      <c r="S29" s="154"/>
      <c r="T29" s="154"/>
      <c r="U29" s="154"/>
    </row>
    <row r="30" spans="1:21" ht="42.75" customHeight="1" x14ac:dyDescent="0.25">
      <c r="A30" s="159" t="s">
        <v>70</v>
      </c>
      <c r="B30" s="157" t="s">
        <v>51</v>
      </c>
      <c r="C30" s="157" t="s">
        <v>557</v>
      </c>
      <c r="D30" s="154"/>
      <c r="E30" s="154"/>
      <c r="F30" s="154"/>
      <c r="G30" s="154"/>
      <c r="H30" s="154"/>
      <c r="I30" s="154"/>
      <c r="J30" s="154"/>
      <c r="K30" s="154"/>
      <c r="L30" s="154"/>
      <c r="M30" s="154"/>
      <c r="N30" s="154"/>
      <c r="O30" s="154"/>
      <c r="P30" s="154"/>
      <c r="Q30" s="154"/>
      <c r="R30" s="154"/>
      <c r="S30" s="154"/>
      <c r="T30" s="154"/>
      <c r="U30" s="154"/>
    </row>
    <row r="31" spans="1:21" x14ac:dyDescent="0.25">
      <c r="A31" s="154"/>
      <c r="B31" s="154"/>
      <c r="C31" s="154"/>
      <c r="D31" s="154"/>
      <c r="E31" s="154"/>
      <c r="F31" s="154"/>
      <c r="G31" s="154"/>
      <c r="H31" s="154"/>
      <c r="I31" s="154"/>
      <c r="J31" s="154"/>
      <c r="K31" s="154"/>
      <c r="L31" s="154"/>
      <c r="M31" s="154"/>
      <c r="N31" s="154"/>
      <c r="O31" s="154"/>
      <c r="P31" s="154"/>
      <c r="Q31" s="154"/>
      <c r="R31" s="154"/>
      <c r="S31" s="154"/>
      <c r="T31" s="154"/>
      <c r="U31" s="154"/>
    </row>
    <row r="32" spans="1:21" x14ac:dyDescent="0.25">
      <c r="A32" s="154"/>
      <c r="B32" s="154"/>
      <c r="C32" s="154"/>
      <c r="D32" s="154"/>
      <c r="E32" s="154"/>
      <c r="F32" s="154"/>
      <c r="G32" s="154"/>
      <c r="H32" s="154"/>
      <c r="I32" s="154"/>
      <c r="J32" s="154"/>
      <c r="K32" s="154"/>
      <c r="L32" s="154"/>
      <c r="M32" s="154"/>
      <c r="N32" s="154"/>
      <c r="O32" s="154"/>
      <c r="P32" s="154"/>
      <c r="Q32" s="154"/>
      <c r="R32" s="154"/>
      <c r="S32" s="154"/>
      <c r="T32" s="154"/>
      <c r="U32" s="154"/>
    </row>
    <row r="33" spans="1:21" x14ac:dyDescent="0.25">
      <c r="A33" s="154"/>
      <c r="B33" s="154"/>
      <c r="C33" s="154"/>
      <c r="D33" s="154"/>
      <c r="E33" s="154"/>
      <c r="F33" s="154"/>
      <c r="G33" s="154"/>
      <c r="H33" s="154"/>
      <c r="I33" s="154"/>
      <c r="J33" s="154"/>
      <c r="K33" s="154"/>
      <c r="L33" s="154"/>
      <c r="M33" s="154"/>
      <c r="N33" s="154"/>
      <c r="O33" s="154"/>
      <c r="P33" s="154"/>
      <c r="Q33" s="154"/>
      <c r="R33" s="154"/>
      <c r="S33" s="154"/>
      <c r="T33" s="154"/>
      <c r="U33" s="154"/>
    </row>
    <row r="34" spans="1:21" x14ac:dyDescent="0.25">
      <c r="A34" s="154"/>
      <c r="B34" s="154"/>
      <c r="C34" s="154"/>
      <c r="D34" s="154"/>
      <c r="E34" s="154"/>
      <c r="F34" s="154"/>
      <c r="G34" s="154"/>
      <c r="H34" s="154"/>
      <c r="I34" s="154"/>
      <c r="J34" s="154"/>
      <c r="K34" s="154"/>
      <c r="L34" s="154"/>
      <c r="M34" s="154"/>
      <c r="N34" s="154"/>
      <c r="O34" s="154"/>
      <c r="P34" s="154"/>
      <c r="Q34" s="154"/>
      <c r="R34" s="154"/>
      <c r="S34" s="154"/>
      <c r="T34" s="154"/>
      <c r="U34" s="154"/>
    </row>
    <row r="35" spans="1:21" x14ac:dyDescent="0.25">
      <c r="A35" s="154"/>
      <c r="B35" s="154"/>
      <c r="C35" s="154"/>
      <c r="D35" s="154"/>
      <c r="E35" s="154"/>
      <c r="F35" s="154"/>
      <c r="G35" s="154"/>
      <c r="H35" s="154"/>
      <c r="I35" s="154"/>
      <c r="J35" s="154"/>
      <c r="K35" s="154"/>
      <c r="L35" s="154"/>
      <c r="M35" s="154"/>
      <c r="N35" s="154"/>
      <c r="O35" s="154"/>
      <c r="P35" s="154"/>
      <c r="Q35" s="154"/>
      <c r="R35" s="154"/>
      <c r="S35" s="154"/>
      <c r="T35" s="154"/>
      <c r="U35" s="154"/>
    </row>
    <row r="36" spans="1:21" x14ac:dyDescent="0.25">
      <c r="A36" s="154"/>
      <c r="B36" s="154"/>
      <c r="C36" s="154"/>
      <c r="D36" s="154"/>
      <c r="E36" s="154"/>
      <c r="F36" s="154"/>
      <c r="G36" s="154"/>
      <c r="H36" s="154"/>
      <c r="I36" s="154"/>
      <c r="J36" s="154"/>
      <c r="K36" s="154"/>
      <c r="L36" s="154"/>
      <c r="M36" s="154"/>
      <c r="N36" s="154"/>
      <c r="O36" s="154"/>
      <c r="P36" s="154"/>
      <c r="Q36" s="154"/>
      <c r="R36" s="154"/>
      <c r="S36" s="154"/>
      <c r="T36" s="154"/>
      <c r="U36" s="154"/>
    </row>
    <row r="37" spans="1:21" x14ac:dyDescent="0.25">
      <c r="A37" s="154"/>
      <c r="B37" s="154"/>
      <c r="C37" s="154"/>
      <c r="D37" s="154"/>
      <c r="E37" s="154"/>
      <c r="F37" s="154"/>
      <c r="G37" s="154"/>
      <c r="H37" s="154"/>
      <c r="I37" s="154"/>
      <c r="J37" s="154"/>
      <c r="K37" s="154"/>
      <c r="L37" s="154"/>
      <c r="M37" s="154"/>
      <c r="N37" s="154"/>
      <c r="O37" s="154"/>
      <c r="P37" s="154"/>
      <c r="Q37" s="154"/>
      <c r="R37" s="154"/>
      <c r="S37" s="154"/>
      <c r="T37" s="154"/>
      <c r="U37" s="154"/>
    </row>
    <row r="38" spans="1:21" x14ac:dyDescent="0.25">
      <c r="A38" s="154"/>
      <c r="B38" s="154"/>
      <c r="C38" s="154"/>
      <c r="D38" s="154"/>
      <c r="E38" s="154"/>
      <c r="F38" s="154"/>
      <c r="G38" s="154"/>
      <c r="H38" s="154"/>
      <c r="I38" s="154"/>
      <c r="J38" s="154"/>
      <c r="K38" s="154"/>
      <c r="L38" s="154"/>
      <c r="M38" s="154"/>
      <c r="N38" s="154"/>
      <c r="O38" s="154"/>
      <c r="P38" s="154"/>
      <c r="Q38" s="154"/>
      <c r="R38" s="154"/>
      <c r="S38" s="154"/>
      <c r="T38" s="154"/>
      <c r="U38" s="154"/>
    </row>
    <row r="39" spans="1:21" x14ac:dyDescent="0.25">
      <c r="A39" s="154"/>
      <c r="B39" s="154"/>
      <c r="C39" s="154"/>
      <c r="D39" s="154"/>
      <c r="E39" s="154"/>
      <c r="F39" s="154"/>
      <c r="G39" s="154"/>
      <c r="H39" s="154"/>
      <c r="I39" s="154"/>
      <c r="J39" s="154"/>
      <c r="K39" s="154"/>
      <c r="L39" s="154"/>
      <c r="M39" s="154"/>
      <c r="N39" s="154"/>
      <c r="O39" s="154"/>
      <c r="P39" s="154"/>
      <c r="Q39" s="154"/>
      <c r="R39" s="154"/>
      <c r="S39" s="154"/>
      <c r="T39" s="154"/>
      <c r="U39" s="154"/>
    </row>
    <row r="40" spans="1:21" x14ac:dyDescent="0.25">
      <c r="A40" s="154"/>
      <c r="B40" s="154"/>
      <c r="C40" s="154"/>
      <c r="D40" s="154"/>
      <c r="E40" s="154"/>
      <c r="F40" s="154"/>
      <c r="G40" s="154"/>
      <c r="H40" s="154"/>
      <c r="I40" s="154"/>
      <c r="J40" s="154"/>
      <c r="K40" s="154"/>
      <c r="L40" s="154"/>
      <c r="M40" s="154"/>
      <c r="N40" s="154"/>
      <c r="O40" s="154"/>
      <c r="P40" s="154"/>
      <c r="Q40" s="154"/>
      <c r="R40" s="154"/>
      <c r="S40" s="154"/>
      <c r="T40" s="154"/>
      <c r="U40" s="154"/>
    </row>
    <row r="41" spans="1:21" x14ac:dyDescent="0.25">
      <c r="A41" s="154"/>
      <c r="B41" s="154"/>
      <c r="C41" s="154"/>
      <c r="D41" s="154"/>
      <c r="E41" s="154"/>
      <c r="F41" s="154"/>
      <c r="G41" s="154"/>
      <c r="H41" s="154"/>
      <c r="I41" s="154"/>
      <c r="J41" s="154"/>
      <c r="K41" s="154"/>
      <c r="L41" s="154"/>
      <c r="M41" s="154"/>
      <c r="N41" s="154"/>
      <c r="O41" s="154"/>
      <c r="P41" s="154"/>
      <c r="Q41" s="154"/>
      <c r="R41" s="154"/>
      <c r="S41" s="154"/>
      <c r="T41" s="154"/>
      <c r="U41" s="154"/>
    </row>
    <row r="42" spans="1:21" x14ac:dyDescent="0.25">
      <c r="A42" s="154"/>
      <c r="B42" s="154"/>
      <c r="C42" s="154"/>
      <c r="D42" s="154"/>
      <c r="E42" s="154"/>
      <c r="F42" s="154"/>
      <c r="G42" s="154"/>
      <c r="H42" s="154"/>
      <c r="I42" s="154"/>
      <c r="J42" s="154"/>
      <c r="K42" s="154"/>
      <c r="L42" s="154"/>
      <c r="M42" s="154"/>
      <c r="N42" s="154"/>
      <c r="O42" s="154"/>
      <c r="P42" s="154"/>
      <c r="Q42" s="154"/>
      <c r="R42" s="154"/>
      <c r="S42" s="154"/>
      <c r="T42" s="154"/>
      <c r="U42" s="154"/>
    </row>
    <row r="43" spans="1:21" x14ac:dyDescent="0.25">
      <c r="A43" s="154"/>
      <c r="B43" s="154"/>
      <c r="C43" s="154"/>
      <c r="D43" s="154"/>
      <c r="E43" s="154"/>
      <c r="F43" s="154"/>
      <c r="G43" s="154"/>
      <c r="H43" s="154"/>
      <c r="I43" s="154"/>
      <c r="J43" s="154"/>
      <c r="K43" s="154"/>
      <c r="L43" s="154"/>
      <c r="M43" s="154"/>
      <c r="N43" s="154"/>
      <c r="O43" s="154"/>
      <c r="P43" s="154"/>
      <c r="Q43" s="154"/>
      <c r="R43" s="154"/>
      <c r="S43" s="154"/>
      <c r="T43" s="154"/>
      <c r="U43" s="154"/>
    </row>
    <row r="44" spans="1:21" x14ac:dyDescent="0.25">
      <c r="A44" s="154"/>
      <c r="B44" s="154"/>
      <c r="C44" s="154"/>
      <c r="D44" s="154"/>
      <c r="E44" s="154"/>
      <c r="F44" s="154"/>
      <c r="G44" s="154"/>
      <c r="H44" s="154"/>
      <c r="I44" s="154"/>
      <c r="J44" s="154"/>
      <c r="K44" s="154"/>
      <c r="L44" s="154"/>
      <c r="M44" s="154"/>
      <c r="N44" s="154"/>
      <c r="O44" s="154"/>
      <c r="P44" s="154"/>
      <c r="Q44" s="154"/>
      <c r="R44" s="154"/>
      <c r="S44" s="154"/>
      <c r="T44" s="154"/>
      <c r="U44" s="154"/>
    </row>
    <row r="45" spans="1:21" x14ac:dyDescent="0.25">
      <c r="A45" s="154"/>
      <c r="B45" s="154"/>
      <c r="C45" s="154"/>
      <c r="D45" s="154"/>
      <c r="E45" s="154"/>
      <c r="F45" s="154"/>
      <c r="G45" s="154"/>
      <c r="H45" s="154"/>
      <c r="I45" s="154"/>
      <c r="J45" s="154"/>
      <c r="K45" s="154"/>
      <c r="L45" s="154"/>
      <c r="M45" s="154"/>
      <c r="N45" s="154"/>
      <c r="O45" s="154"/>
      <c r="P45" s="154"/>
      <c r="Q45" s="154"/>
      <c r="R45" s="154"/>
      <c r="S45" s="154"/>
      <c r="T45" s="154"/>
      <c r="U45" s="154"/>
    </row>
    <row r="46" spans="1:21" x14ac:dyDescent="0.25">
      <c r="A46" s="154"/>
      <c r="B46" s="154"/>
      <c r="C46" s="154"/>
      <c r="D46" s="154"/>
      <c r="E46" s="154"/>
      <c r="F46" s="154"/>
      <c r="G46" s="154"/>
      <c r="H46" s="154"/>
      <c r="I46" s="154"/>
      <c r="J46" s="154"/>
      <c r="K46" s="154"/>
      <c r="L46" s="154"/>
      <c r="M46" s="154"/>
      <c r="N46" s="154"/>
      <c r="O46" s="154"/>
      <c r="P46" s="154"/>
      <c r="Q46" s="154"/>
      <c r="R46" s="154"/>
      <c r="S46" s="154"/>
      <c r="T46" s="154"/>
      <c r="U46" s="154"/>
    </row>
    <row r="47" spans="1:21" x14ac:dyDescent="0.25">
      <c r="A47" s="154"/>
      <c r="B47" s="154"/>
      <c r="C47" s="154"/>
      <c r="D47" s="154"/>
      <c r="E47" s="154"/>
      <c r="F47" s="154"/>
      <c r="G47" s="154"/>
      <c r="H47" s="154"/>
      <c r="I47" s="154"/>
      <c r="J47" s="154"/>
      <c r="K47" s="154"/>
      <c r="L47" s="154"/>
      <c r="M47" s="154"/>
      <c r="N47" s="154"/>
      <c r="O47" s="154"/>
      <c r="P47" s="154"/>
      <c r="Q47" s="154"/>
      <c r="R47" s="154"/>
      <c r="S47" s="154"/>
      <c r="T47" s="154"/>
      <c r="U47" s="154"/>
    </row>
    <row r="48" spans="1:21" x14ac:dyDescent="0.25">
      <c r="A48" s="154"/>
      <c r="B48" s="154"/>
      <c r="C48" s="154"/>
      <c r="D48" s="154"/>
      <c r="E48" s="154"/>
      <c r="F48" s="154"/>
      <c r="G48" s="154"/>
      <c r="H48" s="154"/>
      <c r="I48" s="154"/>
      <c r="J48" s="154"/>
      <c r="K48" s="154"/>
      <c r="L48" s="154"/>
      <c r="M48" s="154"/>
      <c r="N48" s="154"/>
      <c r="O48" s="154"/>
      <c r="P48" s="154"/>
      <c r="Q48" s="154"/>
      <c r="R48" s="154"/>
      <c r="S48" s="154"/>
      <c r="T48" s="154"/>
      <c r="U48" s="154"/>
    </row>
    <row r="49" spans="1:21" x14ac:dyDescent="0.25">
      <c r="A49" s="154"/>
      <c r="B49" s="154"/>
      <c r="C49" s="154"/>
      <c r="D49" s="154"/>
      <c r="E49" s="154"/>
      <c r="F49" s="154"/>
      <c r="G49" s="154"/>
      <c r="H49" s="154"/>
      <c r="I49" s="154"/>
      <c r="J49" s="154"/>
      <c r="K49" s="154"/>
      <c r="L49" s="154"/>
      <c r="M49" s="154"/>
      <c r="N49" s="154"/>
      <c r="O49" s="154"/>
      <c r="P49" s="154"/>
      <c r="Q49" s="154"/>
      <c r="R49" s="154"/>
      <c r="S49" s="154"/>
      <c r="T49" s="154"/>
      <c r="U49" s="154"/>
    </row>
    <row r="50" spans="1:21" x14ac:dyDescent="0.25">
      <c r="A50" s="154"/>
      <c r="B50" s="154"/>
      <c r="C50" s="154"/>
      <c r="D50" s="154"/>
      <c r="E50" s="154"/>
      <c r="F50" s="154"/>
      <c r="G50" s="154"/>
      <c r="H50" s="154"/>
      <c r="I50" s="154"/>
      <c r="J50" s="154"/>
      <c r="K50" s="154"/>
      <c r="L50" s="154"/>
      <c r="M50" s="154"/>
      <c r="N50" s="154"/>
      <c r="O50" s="154"/>
      <c r="P50" s="154"/>
      <c r="Q50" s="154"/>
      <c r="R50" s="154"/>
      <c r="S50" s="154"/>
      <c r="T50" s="154"/>
      <c r="U50" s="154"/>
    </row>
    <row r="51" spans="1:21" x14ac:dyDescent="0.25">
      <c r="A51" s="154"/>
      <c r="B51" s="154"/>
      <c r="C51" s="154"/>
      <c r="D51" s="154"/>
      <c r="E51" s="154"/>
      <c r="F51" s="154"/>
      <c r="G51" s="154"/>
      <c r="H51" s="154"/>
      <c r="I51" s="154"/>
      <c r="J51" s="154"/>
      <c r="K51" s="154"/>
      <c r="L51" s="154"/>
      <c r="M51" s="154"/>
      <c r="N51" s="154"/>
      <c r="O51" s="154"/>
      <c r="P51" s="154"/>
      <c r="Q51" s="154"/>
      <c r="R51" s="154"/>
      <c r="S51" s="154"/>
      <c r="T51" s="154"/>
      <c r="U51" s="154"/>
    </row>
    <row r="52" spans="1:21" x14ac:dyDescent="0.25">
      <c r="A52" s="154"/>
      <c r="B52" s="154"/>
      <c r="C52" s="154"/>
      <c r="D52" s="154"/>
      <c r="E52" s="154"/>
      <c r="F52" s="154"/>
      <c r="G52" s="154"/>
      <c r="H52" s="154"/>
      <c r="I52" s="154"/>
      <c r="J52" s="154"/>
      <c r="K52" s="154"/>
      <c r="L52" s="154"/>
      <c r="M52" s="154"/>
      <c r="N52" s="154"/>
      <c r="O52" s="154"/>
      <c r="P52" s="154"/>
      <c r="Q52" s="154"/>
      <c r="R52" s="154"/>
      <c r="S52" s="154"/>
      <c r="T52" s="154"/>
      <c r="U52" s="154"/>
    </row>
    <row r="53" spans="1:21" x14ac:dyDescent="0.25">
      <c r="A53" s="154"/>
      <c r="B53" s="154"/>
      <c r="C53" s="154"/>
      <c r="D53" s="154"/>
      <c r="E53" s="154"/>
      <c r="F53" s="154"/>
      <c r="G53" s="154"/>
      <c r="H53" s="154"/>
      <c r="I53" s="154"/>
      <c r="J53" s="154"/>
      <c r="K53" s="154"/>
      <c r="L53" s="154"/>
      <c r="M53" s="154"/>
      <c r="N53" s="154"/>
      <c r="O53" s="154"/>
      <c r="P53" s="154"/>
      <c r="Q53" s="154"/>
      <c r="R53" s="154"/>
      <c r="S53" s="154"/>
      <c r="T53" s="154"/>
      <c r="U53" s="154"/>
    </row>
    <row r="54" spans="1:21" x14ac:dyDescent="0.25">
      <c r="A54" s="154"/>
      <c r="B54" s="154"/>
      <c r="C54" s="154"/>
      <c r="D54" s="154"/>
      <c r="E54" s="154"/>
      <c r="F54" s="154"/>
      <c r="G54" s="154"/>
      <c r="H54" s="154"/>
      <c r="I54" s="154"/>
      <c r="J54" s="154"/>
      <c r="K54" s="154"/>
      <c r="L54" s="154"/>
      <c r="M54" s="154"/>
      <c r="N54" s="154"/>
      <c r="O54" s="154"/>
      <c r="P54" s="154"/>
      <c r="Q54" s="154"/>
      <c r="R54" s="154"/>
      <c r="S54" s="154"/>
      <c r="T54" s="154"/>
      <c r="U54" s="154"/>
    </row>
    <row r="55" spans="1:21" x14ac:dyDescent="0.25">
      <c r="A55" s="154"/>
      <c r="B55" s="154"/>
      <c r="C55" s="154"/>
      <c r="D55" s="154"/>
      <c r="E55" s="154"/>
      <c r="F55" s="154"/>
      <c r="G55" s="154"/>
      <c r="H55" s="154"/>
      <c r="I55" s="154"/>
      <c r="J55" s="154"/>
      <c r="K55" s="154"/>
      <c r="L55" s="154"/>
      <c r="M55" s="154"/>
      <c r="N55" s="154"/>
      <c r="O55" s="154"/>
      <c r="P55" s="154"/>
      <c r="Q55" s="154"/>
      <c r="R55" s="154"/>
      <c r="S55" s="154"/>
      <c r="T55" s="154"/>
      <c r="U55" s="154"/>
    </row>
    <row r="56" spans="1:21" x14ac:dyDescent="0.25">
      <c r="A56" s="154"/>
      <c r="B56" s="154"/>
      <c r="C56" s="154"/>
      <c r="D56" s="154"/>
      <c r="E56" s="154"/>
      <c r="F56" s="154"/>
      <c r="G56" s="154"/>
      <c r="H56" s="154"/>
      <c r="I56" s="154"/>
      <c r="J56" s="154"/>
      <c r="K56" s="154"/>
      <c r="L56" s="154"/>
      <c r="M56" s="154"/>
      <c r="N56" s="154"/>
      <c r="O56" s="154"/>
      <c r="P56" s="154"/>
      <c r="Q56" s="154"/>
      <c r="R56" s="154"/>
      <c r="S56" s="154"/>
      <c r="T56" s="154"/>
      <c r="U56" s="154"/>
    </row>
    <row r="57" spans="1:21" x14ac:dyDescent="0.25">
      <c r="A57" s="154"/>
      <c r="B57" s="154"/>
      <c r="C57" s="154"/>
      <c r="D57" s="154"/>
      <c r="E57" s="154"/>
      <c r="F57" s="154"/>
      <c r="G57" s="154"/>
      <c r="H57" s="154"/>
      <c r="I57" s="154"/>
      <c r="J57" s="154"/>
      <c r="K57" s="154"/>
      <c r="L57" s="154"/>
      <c r="M57" s="154"/>
      <c r="N57" s="154"/>
      <c r="O57" s="154"/>
      <c r="P57" s="154"/>
      <c r="Q57" s="154"/>
      <c r="R57" s="154"/>
      <c r="S57" s="154"/>
      <c r="T57" s="154"/>
      <c r="U57" s="154"/>
    </row>
    <row r="58" spans="1:21" x14ac:dyDescent="0.25">
      <c r="A58" s="154"/>
      <c r="B58" s="154"/>
      <c r="C58" s="154"/>
      <c r="D58" s="154"/>
      <c r="E58" s="154"/>
      <c r="F58" s="154"/>
      <c r="G58" s="154"/>
      <c r="H58" s="154"/>
      <c r="I58" s="154"/>
      <c r="J58" s="154"/>
      <c r="K58" s="154"/>
      <c r="L58" s="154"/>
      <c r="M58" s="154"/>
      <c r="N58" s="154"/>
      <c r="O58" s="154"/>
      <c r="P58" s="154"/>
      <c r="Q58" s="154"/>
      <c r="R58" s="154"/>
      <c r="S58" s="154"/>
      <c r="T58" s="154"/>
      <c r="U58" s="154"/>
    </row>
    <row r="59" spans="1:21" x14ac:dyDescent="0.25">
      <c r="A59" s="154"/>
      <c r="B59" s="154"/>
      <c r="C59" s="154"/>
      <c r="D59" s="154"/>
      <c r="E59" s="154"/>
      <c r="F59" s="154"/>
      <c r="G59" s="154"/>
      <c r="H59" s="154"/>
      <c r="I59" s="154"/>
      <c r="J59" s="154"/>
      <c r="K59" s="154"/>
      <c r="L59" s="154"/>
      <c r="M59" s="154"/>
      <c r="N59" s="154"/>
      <c r="O59" s="154"/>
      <c r="P59" s="154"/>
      <c r="Q59" s="154"/>
      <c r="R59" s="154"/>
      <c r="S59" s="154"/>
      <c r="T59" s="154"/>
      <c r="U59" s="154"/>
    </row>
    <row r="60" spans="1:21" x14ac:dyDescent="0.25">
      <c r="A60" s="154"/>
      <c r="B60" s="154"/>
      <c r="C60" s="154"/>
      <c r="D60" s="154"/>
      <c r="E60" s="154"/>
      <c r="F60" s="154"/>
      <c r="G60" s="154"/>
      <c r="H60" s="154"/>
      <c r="I60" s="154"/>
      <c r="J60" s="154"/>
      <c r="K60" s="154"/>
      <c r="L60" s="154"/>
      <c r="M60" s="154"/>
      <c r="N60" s="154"/>
      <c r="O60" s="154"/>
      <c r="P60" s="154"/>
      <c r="Q60" s="154"/>
      <c r="R60" s="154"/>
      <c r="S60" s="154"/>
      <c r="T60" s="154"/>
      <c r="U60" s="154"/>
    </row>
    <row r="61" spans="1:21" x14ac:dyDescent="0.25">
      <c r="A61" s="154"/>
      <c r="B61" s="154"/>
      <c r="C61" s="154"/>
      <c r="D61" s="154"/>
      <c r="E61" s="154"/>
      <c r="F61" s="154"/>
      <c r="G61" s="154"/>
      <c r="H61" s="154"/>
      <c r="I61" s="154"/>
      <c r="J61" s="154"/>
      <c r="K61" s="154"/>
      <c r="L61" s="154"/>
      <c r="M61" s="154"/>
      <c r="N61" s="154"/>
      <c r="O61" s="154"/>
      <c r="P61" s="154"/>
      <c r="Q61" s="154"/>
      <c r="R61" s="154"/>
      <c r="S61" s="154"/>
      <c r="T61" s="154"/>
      <c r="U61" s="154"/>
    </row>
    <row r="62" spans="1:21" x14ac:dyDescent="0.25">
      <c r="A62" s="154"/>
      <c r="B62" s="154"/>
      <c r="C62" s="154"/>
      <c r="D62" s="154"/>
      <c r="E62" s="154"/>
      <c r="F62" s="154"/>
      <c r="G62" s="154"/>
      <c r="H62" s="154"/>
      <c r="I62" s="154"/>
      <c r="J62" s="154"/>
      <c r="K62" s="154"/>
      <c r="L62" s="154"/>
      <c r="M62" s="154"/>
      <c r="N62" s="154"/>
      <c r="O62" s="154"/>
      <c r="P62" s="154"/>
      <c r="Q62" s="154"/>
      <c r="R62" s="154"/>
      <c r="S62" s="154"/>
      <c r="T62" s="154"/>
      <c r="U62" s="154"/>
    </row>
    <row r="63" spans="1:21" x14ac:dyDescent="0.25">
      <c r="A63" s="154"/>
      <c r="B63" s="154"/>
      <c r="C63" s="154"/>
      <c r="D63" s="154"/>
      <c r="E63" s="154"/>
      <c r="F63" s="154"/>
      <c r="G63" s="154"/>
      <c r="H63" s="154"/>
      <c r="I63" s="154"/>
      <c r="J63" s="154"/>
      <c r="K63" s="154"/>
      <c r="L63" s="154"/>
      <c r="M63" s="154"/>
      <c r="N63" s="154"/>
      <c r="O63" s="154"/>
      <c r="P63" s="154"/>
      <c r="Q63" s="154"/>
      <c r="R63" s="154"/>
      <c r="S63" s="154"/>
      <c r="T63" s="154"/>
      <c r="U63" s="154"/>
    </row>
    <row r="64" spans="1:21" x14ac:dyDescent="0.25">
      <c r="A64" s="154"/>
      <c r="B64" s="154"/>
      <c r="C64" s="154"/>
      <c r="D64" s="154"/>
      <c r="E64" s="154"/>
      <c r="F64" s="154"/>
      <c r="G64" s="154"/>
      <c r="H64" s="154"/>
      <c r="I64" s="154"/>
      <c r="J64" s="154"/>
      <c r="K64" s="154"/>
      <c r="L64" s="154"/>
      <c r="M64" s="154"/>
      <c r="N64" s="154"/>
      <c r="O64" s="154"/>
      <c r="P64" s="154"/>
      <c r="Q64" s="154"/>
      <c r="R64" s="154"/>
      <c r="S64" s="154"/>
      <c r="T64" s="154"/>
      <c r="U64" s="154"/>
    </row>
    <row r="65" spans="1:21" x14ac:dyDescent="0.25">
      <c r="A65" s="154"/>
      <c r="B65" s="154"/>
      <c r="C65" s="154"/>
      <c r="D65" s="154"/>
      <c r="E65" s="154"/>
      <c r="F65" s="154"/>
      <c r="G65" s="154"/>
      <c r="H65" s="154"/>
      <c r="I65" s="154"/>
      <c r="J65" s="154"/>
      <c r="K65" s="154"/>
      <c r="L65" s="154"/>
      <c r="M65" s="154"/>
      <c r="N65" s="154"/>
      <c r="O65" s="154"/>
      <c r="P65" s="154"/>
      <c r="Q65" s="154"/>
      <c r="R65" s="154"/>
      <c r="S65" s="154"/>
      <c r="T65" s="154"/>
      <c r="U65" s="154"/>
    </row>
    <row r="66" spans="1:21" x14ac:dyDescent="0.25">
      <c r="A66" s="154"/>
      <c r="B66" s="154"/>
      <c r="C66" s="154"/>
      <c r="D66" s="154"/>
      <c r="E66" s="154"/>
      <c r="F66" s="154"/>
      <c r="G66" s="154"/>
      <c r="H66" s="154"/>
      <c r="I66" s="154"/>
      <c r="J66" s="154"/>
      <c r="K66" s="154"/>
      <c r="L66" s="154"/>
      <c r="M66" s="154"/>
      <c r="N66" s="154"/>
      <c r="O66" s="154"/>
      <c r="P66" s="154"/>
      <c r="Q66" s="154"/>
      <c r="R66" s="154"/>
      <c r="S66" s="154"/>
      <c r="T66" s="154"/>
      <c r="U66" s="154"/>
    </row>
    <row r="67" spans="1:21" x14ac:dyDescent="0.25">
      <c r="A67" s="154"/>
      <c r="B67" s="154"/>
      <c r="C67" s="154"/>
      <c r="D67" s="154"/>
      <c r="E67" s="154"/>
      <c r="F67" s="154"/>
      <c r="G67" s="154"/>
      <c r="H67" s="154"/>
      <c r="I67" s="154"/>
      <c r="J67" s="154"/>
      <c r="K67" s="154"/>
      <c r="L67" s="154"/>
      <c r="M67" s="154"/>
      <c r="N67" s="154"/>
      <c r="O67" s="154"/>
      <c r="P67" s="154"/>
      <c r="Q67" s="154"/>
      <c r="R67" s="154"/>
      <c r="S67" s="154"/>
      <c r="T67" s="154"/>
      <c r="U67" s="154"/>
    </row>
    <row r="68" spans="1:21" x14ac:dyDescent="0.25">
      <c r="A68" s="154"/>
      <c r="B68" s="154"/>
      <c r="C68" s="154"/>
      <c r="D68" s="154"/>
      <c r="E68" s="154"/>
      <c r="F68" s="154"/>
      <c r="G68" s="154"/>
      <c r="H68" s="154"/>
      <c r="I68" s="154"/>
      <c r="J68" s="154"/>
      <c r="K68" s="154"/>
      <c r="L68" s="154"/>
      <c r="M68" s="154"/>
      <c r="N68" s="154"/>
      <c r="O68" s="154"/>
      <c r="P68" s="154"/>
      <c r="Q68" s="154"/>
      <c r="R68" s="154"/>
      <c r="S68" s="154"/>
      <c r="T68" s="154"/>
      <c r="U68" s="154"/>
    </row>
    <row r="69" spans="1:21" x14ac:dyDescent="0.25">
      <c r="A69" s="154"/>
      <c r="B69" s="154"/>
      <c r="C69" s="154"/>
      <c r="D69" s="154"/>
      <c r="E69" s="154"/>
      <c r="F69" s="154"/>
      <c r="G69" s="154"/>
      <c r="H69" s="154"/>
      <c r="I69" s="154"/>
      <c r="J69" s="154"/>
      <c r="K69" s="154"/>
      <c r="L69" s="154"/>
      <c r="M69" s="154"/>
      <c r="N69" s="154"/>
      <c r="O69" s="154"/>
      <c r="P69" s="154"/>
      <c r="Q69" s="154"/>
      <c r="R69" s="154"/>
      <c r="S69" s="154"/>
      <c r="T69" s="154"/>
      <c r="U69" s="154"/>
    </row>
    <row r="70" spans="1:21" x14ac:dyDescent="0.25">
      <c r="A70" s="154"/>
      <c r="B70" s="154"/>
      <c r="C70" s="154"/>
      <c r="D70" s="154"/>
      <c r="E70" s="154"/>
      <c r="F70" s="154"/>
      <c r="G70" s="154"/>
      <c r="H70" s="154"/>
      <c r="I70" s="154"/>
      <c r="J70" s="154"/>
      <c r="K70" s="154"/>
      <c r="L70" s="154"/>
      <c r="M70" s="154"/>
      <c r="N70" s="154"/>
      <c r="O70" s="154"/>
      <c r="P70" s="154"/>
      <c r="Q70" s="154"/>
      <c r="R70" s="154"/>
      <c r="S70" s="154"/>
      <c r="T70" s="154"/>
      <c r="U70" s="154"/>
    </row>
    <row r="71" spans="1:21" x14ac:dyDescent="0.25">
      <c r="A71" s="154"/>
      <c r="B71" s="154"/>
      <c r="C71" s="154"/>
      <c r="D71" s="154"/>
      <c r="E71" s="154"/>
      <c r="F71" s="154"/>
      <c r="G71" s="154"/>
      <c r="H71" s="154"/>
      <c r="I71" s="154"/>
      <c r="J71" s="154"/>
      <c r="K71" s="154"/>
      <c r="L71" s="154"/>
      <c r="M71" s="154"/>
      <c r="N71" s="154"/>
      <c r="O71" s="154"/>
      <c r="P71" s="154"/>
      <c r="Q71" s="154"/>
      <c r="R71" s="154"/>
      <c r="S71" s="154"/>
      <c r="T71" s="154"/>
      <c r="U71" s="154"/>
    </row>
    <row r="72" spans="1:21" x14ac:dyDescent="0.25">
      <c r="A72" s="154"/>
      <c r="B72" s="154"/>
      <c r="C72" s="154"/>
      <c r="D72" s="154"/>
      <c r="E72" s="154"/>
      <c r="F72" s="154"/>
      <c r="G72" s="154"/>
      <c r="H72" s="154"/>
      <c r="I72" s="154"/>
      <c r="J72" s="154"/>
      <c r="K72" s="154"/>
      <c r="L72" s="154"/>
      <c r="M72" s="154"/>
      <c r="N72" s="154"/>
      <c r="O72" s="154"/>
      <c r="P72" s="154"/>
      <c r="Q72" s="154"/>
      <c r="R72" s="154"/>
      <c r="S72" s="154"/>
      <c r="T72" s="154"/>
      <c r="U72" s="154"/>
    </row>
    <row r="73" spans="1:21" x14ac:dyDescent="0.25">
      <c r="A73" s="154"/>
      <c r="B73" s="154"/>
      <c r="C73" s="154"/>
      <c r="D73" s="154"/>
      <c r="E73" s="154"/>
      <c r="F73" s="154"/>
      <c r="G73" s="154"/>
      <c r="H73" s="154"/>
      <c r="I73" s="154"/>
      <c r="J73" s="154"/>
      <c r="K73" s="154"/>
      <c r="L73" s="154"/>
      <c r="M73" s="154"/>
      <c r="N73" s="154"/>
      <c r="O73" s="154"/>
      <c r="P73" s="154"/>
      <c r="Q73" s="154"/>
      <c r="R73" s="154"/>
      <c r="S73" s="154"/>
      <c r="T73" s="154"/>
      <c r="U73" s="154"/>
    </row>
    <row r="74" spans="1:21" x14ac:dyDescent="0.25">
      <c r="A74" s="154"/>
      <c r="B74" s="154"/>
      <c r="C74" s="154"/>
      <c r="D74" s="154"/>
      <c r="E74" s="154"/>
      <c r="F74" s="154"/>
      <c r="G74" s="154"/>
      <c r="H74" s="154"/>
      <c r="I74" s="154"/>
      <c r="J74" s="154"/>
      <c r="K74" s="154"/>
      <c r="L74" s="154"/>
      <c r="M74" s="154"/>
      <c r="N74" s="154"/>
      <c r="O74" s="154"/>
      <c r="P74" s="154"/>
      <c r="Q74" s="154"/>
      <c r="R74" s="154"/>
      <c r="S74" s="154"/>
      <c r="T74" s="154"/>
      <c r="U74" s="154"/>
    </row>
    <row r="75" spans="1:21" x14ac:dyDescent="0.25">
      <c r="A75" s="154"/>
      <c r="B75" s="154"/>
      <c r="C75" s="154"/>
      <c r="D75" s="154"/>
      <c r="E75" s="154"/>
      <c r="F75" s="154"/>
      <c r="G75" s="154"/>
      <c r="H75" s="154"/>
      <c r="I75" s="154"/>
      <c r="J75" s="154"/>
      <c r="K75" s="154"/>
      <c r="L75" s="154"/>
      <c r="M75" s="154"/>
      <c r="N75" s="154"/>
      <c r="O75" s="154"/>
      <c r="P75" s="154"/>
      <c r="Q75" s="154"/>
      <c r="R75" s="154"/>
      <c r="S75" s="154"/>
      <c r="T75" s="154"/>
      <c r="U75" s="154"/>
    </row>
    <row r="76" spans="1:21" x14ac:dyDescent="0.25">
      <c r="A76" s="154"/>
      <c r="B76" s="154"/>
      <c r="C76" s="154"/>
      <c r="D76" s="154"/>
      <c r="E76" s="154"/>
      <c r="F76" s="154"/>
      <c r="G76" s="154"/>
      <c r="H76" s="154"/>
      <c r="I76" s="154"/>
      <c r="J76" s="154"/>
      <c r="K76" s="154"/>
      <c r="L76" s="154"/>
      <c r="M76" s="154"/>
      <c r="N76" s="154"/>
      <c r="O76" s="154"/>
      <c r="P76" s="154"/>
      <c r="Q76" s="154"/>
      <c r="R76" s="154"/>
      <c r="S76" s="154"/>
      <c r="T76" s="154"/>
      <c r="U76" s="154"/>
    </row>
    <row r="77" spans="1:21" x14ac:dyDescent="0.25">
      <c r="A77" s="154"/>
      <c r="B77" s="154"/>
      <c r="C77" s="154"/>
      <c r="D77" s="154"/>
      <c r="E77" s="154"/>
      <c r="F77" s="154"/>
      <c r="G77" s="154"/>
      <c r="H77" s="154"/>
      <c r="I77" s="154"/>
      <c r="J77" s="154"/>
      <c r="K77" s="154"/>
      <c r="L77" s="154"/>
      <c r="M77" s="154"/>
      <c r="N77" s="154"/>
      <c r="O77" s="154"/>
      <c r="P77" s="154"/>
      <c r="Q77" s="154"/>
      <c r="R77" s="154"/>
      <c r="S77" s="154"/>
      <c r="T77" s="154"/>
      <c r="U77" s="154"/>
    </row>
    <row r="78" spans="1:21" x14ac:dyDescent="0.25">
      <c r="A78" s="154"/>
      <c r="B78" s="154"/>
      <c r="C78" s="154"/>
      <c r="D78" s="154"/>
      <c r="E78" s="154"/>
      <c r="F78" s="154"/>
      <c r="G78" s="154"/>
      <c r="H78" s="154"/>
      <c r="I78" s="154"/>
      <c r="J78" s="154"/>
      <c r="K78" s="154"/>
      <c r="L78" s="154"/>
      <c r="M78" s="154"/>
      <c r="N78" s="154"/>
      <c r="O78" s="154"/>
      <c r="P78" s="154"/>
      <c r="Q78" s="154"/>
      <c r="R78" s="154"/>
      <c r="S78" s="154"/>
      <c r="T78" s="154"/>
      <c r="U78" s="154"/>
    </row>
    <row r="79" spans="1:21" x14ac:dyDescent="0.25">
      <c r="A79" s="154"/>
      <c r="B79" s="154"/>
      <c r="C79" s="154"/>
      <c r="D79" s="154"/>
      <c r="E79" s="154"/>
      <c r="F79" s="154"/>
      <c r="G79" s="154"/>
      <c r="H79" s="154"/>
      <c r="I79" s="154"/>
      <c r="J79" s="154"/>
      <c r="K79" s="154"/>
      <c r="L79" s="154"/>
      <c r="M79" s="154"/>
      <c r="N79" s="154"/>
      <c r="O79" s="154"/>
      <c r="P79" s="154"/>
      <c r="Q79" s="154"/>
      <c r="R79" s="154"/>
      <c r="S79" s="154"/>
      <c r="T79" s="154"/>
      <c r="U79" s="154"/>
    </row>
    <row r="80" spans="1:21" x14ac:dyDescent="0.25">
      <c r="A80" s="154"/>
      <c r="B80" s="154"/>
      <c r="C80" s="154"/>
      <c r="D80" s="154"/>
      <c r="E80" s="154"/>
      <c r="F80" s="154"/>
      <c r="G80" s="154"/>
      <c r="H80" s="154"/>
      <c r="I80" s="154"/>
      <c r="J80" s="154"/>
      <c r="K80" s="154"/>
      <c r="L80" s="154"/>
      <c r="M80" s="154"/>
      <c r="N80" s="154"/>
      <c r="O80" s="154"/>
      <c r="P80" s="154"/>
      <c r="Q80" s="154"/>
      <c r="R80" s="154"/>
      <c r="S80" s="154"/>
      <c r="T80" s="154"/>
      <c r="U80" s="154"/>
    </row>
    <row r="81" spans="1:21" x14ac:dyDescent="0.25">
      <c r="A81" s="154"/>
      <c r="B81" s="154"/>
      <c r="C81" s="154"/>
      <c r="D81" s="154"/>
      <c r="E81" s="154"/>
      <c r="F81" s="154"/>
      <c r="G81" s="154"/>
      <c r="H81" s="154"/>
      <c r="I81" s="154"/>
      <c r="J81" s="154"/>
      <c r="K81" s="154"/>
      <c r="L81" s="154"/>
      <c r="M81" s="154"/>
      <c r="N81" s="154"/>
      <c r="O81" s="154"/>
      <c r="P81" s="154"/>
      <c r="Q81" s="154"/>
      <c r="R81" s="154"/>
      <c r="S81" s="154"/>
      <c r="T81" s="154"/>
      <c r="U81" s="154"/>
    </row>
    <row r="82" spans="1:21" x14ac:dyDescent="0.25">
      <c r="A82" s="154"/>
      <c r="B82" s="154"/>
      <c r="C82" s="154"/>
      <c r="D82" s="154"/>
      <c r="E82" s="154"/>
      <c r="F82" s="154"/>
      <c r="G82" s="154"/>
      <c r="H82" s="154"/>
      <c r="I82" s="154"/>
      <c r="J82" s="154"/>
      <c r="K82" s="154"/>
      <c r="L82" s="154"/>
      <c r="M82" s="154"/>
      <c r="N82" s="154"/>
      <c r="O82" s="154"/>
      <c r="P82" s="154"/>
      <c r="Q82" s="154"/>
      <c r="R82" s="154"/>
      <c r="S82" s="154"/>
      <c r="T82" s="154"/>
      <c r="U82" s="154"/>
    </row>
    <row r="83" spans="1:21" x14ac:dyDescent="0.25">
      <c r="A83" s="154"/>
      <c r="B83" s="154"/>
      <c r="C83" s="154"/>
      <c r="D83" s="154"/>
      <c r="E83" s="154"/>
      <c r="F83" s="154"/>
      <c r="G83" s="154"/>
      <c r="H83" s="154"/>
      <c r="I83" s="154"/>
      <c r="J83" s="154"/>
      <c r="K83" s="154"/>
      <c r="L83" s="154"/>
      <c r="M83" s="154"/>
      <c r="N83" s="154"/>
      <c r="O83" s="154"/>
      <c r="P83" s="154"/>
      <c r="Q83" s="154"/>
      <c r="R83" s="154"/>
      <c r="S83" s="154"/>
      <c r="T83" s="154"/>
      <c r="U83" s="154"/>
    </row>
    <row r="84" spans="1:21" x14ac:dyDescent="0.25">
      <c r="A84" s="154"/>
      <c r="B84" s="154"/>
      <c r="C84" s="154"/>
      <c r="D84" s="154"/>
      <c r="E84" s="154"/>
      <c r="F84" s="154"/>
      <c r="G84" s="154"/>
      <c r="H84" s="154"/>
      <c r="I84" s="154"/>
      <c r="J84" s="154"/>
      <c r="K84" s="154"/>
      <c r="L84" s="154"/>
      <c r="M84" s="154"/>
      <c r="N84" s="154"/>
      <c r="O84" s="154"/>
      <c r="P84" s="154"/>
      <c r="Q84" s="154"/>
      <c r="R84" s="154"/>
      <c r="S84" s="154"/>
      <c r="T84" s="154"/>
      <c r="U84" s="154"/>
    </row>
    <row r="85" spans="1:21" x14ac:dyDescent="0.25">
      <c r="A85" s="154"/>
      <c r="B85" s="154"/>
      <c r="C85" s="154"/>
      <c r="D85" s="154"/>
      <c r="E85" s="154"/>
      <c r="F85" s="154"/>
      <c r="G85" s="154"/>
      <c r="H85" s="154"/>
      <c r="I85" s="154"/>
      <c r="J85" s="154"/>
      <c r="K85" s="154"/>
      <c r="L85" s="154"/>
      <c r="M85" s="154"/>
      <c r="N85" s="154"/>
      <c r="O85" s="154"/>
      <c r="P85" s="154"/>
      <c r="Q85" s="154"/>
      <c r="R85" s="154"/>
      <c r="S85" s="154"/>
      <c r="T85" s="154"/>
      <c r="U85" s="154"/>
    </row>
    <row r="86" spans="1:21" x14ac:dyDescent="0.25">
      <c r="A86" s="154"/>
      <c r="B86" s="154"/>
      <c r="C86" s="154"/>
      <c r="D86" s="154"/>
      <c r="E86" s="154"/>
      <c r="F86" s="154"/>
      <c r="G86" s="154"/>
      <c r="H86" s="154"/>
      <c r="I86" s="154"/>
      <c r="J86" s="154"/>
      <c r="K86" s="154"/>
      <c r="L86" s="154"/>
      <c r="M86" s="154"/>
      <c r="N86" s="154"/>
      <c r="O86" s="154"/>
      <c r="P86" s="154"/>
      <c r="Q86" s="154"/>
      <c r="R86" s="154"/>
      <c r="S86" s="154"/>
      <c r="T86" s="154"/>
      <c r="U86" s="154"/>
    </row>
    <row r="87" spans="1:21" x14ac:dyDescent="0.25">
      <c r="A87" s="154"/>
      <c r="B87" s="154"/>
      <c r="C87" s="154"/>
      <c r="D87" s="154"/>
      <c r="E87" s="154"/>
      <c r="F87" s="154"/>
      <c r="G87" s="154"/>
      <c r="H87" s="154"/>
      <c r="I87" s="154"/>
      <c r="J87" s="154"/>
      <c r="K87" s="154"/>
      <c r="L87" s="154"/>
      <c r="M87" s="154"/>
      <c r="N87" s="154"/>
      <c r="O87" s="154"/>
      <c r="P87" s="154"/>
      <c r="Q87" s="154"/>
      <c r="R87" s="154"/>
      <c r="S87" s="154"/>
      <c r="T87" s="154"/>
      <c r="U87" s="154"/>
    </row>
    <row r="88" spans="1:21" x14ac:dyDescent="0.25">
      <c r="A88" s="154"/>
      <c r="B88" s="154"/>
      <c r="C88" s="154"/>
      <c r="D88" s="154"/>
      <c r="E88" s="154"/>
      <c r="F88" s="154"/>
      <c r="G88" s="154"/>
      <c r="H88" s="154"/>
      <c r="I88" s="154"/>
      <c r="J88" s="154"/>
      <c r="K88" s="154"/>
      <c r="L88" s="154"/>
      <c r="M88" s="154"/>
      <c r="N88" s="154"/>
      <c r="O88" s="154"/>
      <c r="P88" s="154"/>
      <c r="Q88" s="154"/>
      <c r="R88" s="154"/>
      <c r="S88" s="154"/>
      <c r="T88" s="154"/>
      <c r="U88" s="154"/>
    </row>
    <row r="89" spans="1:21" x14ac:dyDescent="0.25">
      <c r="A89" s="154"/>
      <c r="B89" s="154"/>
      <c r="C89" s="154"/>
      <c r="D89" s="154"/>
      <c r="E89" s="154"/>
      <c r="F89" s="154"/>
      <c r="G89" s="154"/>
      <c r="H89" s="154"/>
      <c r="I89" s="154"/>
      <c r="J89" s="154"/>
      <c r="K89" s="154"/>
      <c r="L89" s="154"/>
      <c r="M89" s="154"/>
      <c r="N89" s="154"/>
      <c r="O89" s="154"/>
      <c r="P89" s="154"/>
      <c r="Q89" s="154"/>
      <c r="R89" s="154"/>
      <c r="S89" s="154"/>
      <c r="T89" s="154"/>
      <c r="U89" s="154"/>
    </row>
    <row r="90" spans="1:21" x14ac:dyDescent="0.25">
      <c r="A90" s="154"/>
      <c r="B90" s="154"/>
      <c r="C90" s="154"/>
      <c r="D90" s="154"/>
      <c r="E90" s="154"/>
      <c r="F90" s="154"/>
      <c r="G90" s="154"/>
      <c r="H90" s="154"/>
      <c r="I90" s="154"/>
      <c r="J90" s="154"/>
      <c r="K90" s="154"/>
      <c r="L90" s="154"/>
      <c r="M90" s="154"/>
      <c r="N90" s="154"/>
      <c r="O90" s="154"/>
      <c r="P90" s="154"/>
      <c r="Q90" s="154"/>
      <c r="R90" s="154"/>
      <c r="S90" s="154"/>
      <c r="T90" s="154"/>
      <c r="U90" s="154"/>
    </row>
    <row r="91" spans="1:21" x14ac:dyDescent="0.25">
      <c r="A91" s="154"/>
      <c r="B91" s="154"/>
      <c r="C91" s="154"/>
      <c r="D91" s="154"/>
      <c r="E91" s="154"/>
      <c r="F91" s="154"/>
      <c r="G91" s="154"/>
      <c r="H91" s="154"/>
      <c r="I91" s="154"/>
      <c r="J91" s="154"/>
      <c r="K91" s="154"/>
      <c r="L91" s="154"/>
      <c r="M91" s="154"/>
      <c r="N91" s="154"/>
      <c r="O91" s="154"/>
      <c r="P91" s="154"/>
      <c r="Q91" s="154"/>
      <c r="R91" s="154"/>
      <c r="S91" s="154"/>
      <c r="T91" s="154"/>
      <c r="U91" s="154"/>
    </row>
    <row r="92" spans="1:21" x14ac:dyDescent="0.25">
      <c r="A92" s="154"/>
      <c r="B92" s="154"/>
      <c r="C92" s="154"/>
      <c r="D92" s="154"/>
      <c r="E92" s="154"/>
      <c r="F92" s="154"/>
      <c r="G92" s="154"/>
      <c r="H92" s="154"/>
      <c r="I92" s="154"/>
      <c r="J92" s="154"/>
      <c r="K92" s="154"/>
      <c r="L92" s="154"/>
      <c r="M92" s="154"/>
      <c r="N92" s="154"/>
      <c r="O92" s="154"/>
      <c r="P92" s="154"/>
      <c r="Q92" s="154"/>
      <c r="R92" s="154"/>
      <c r="S92" s="154"/>
      <c r="T92" s="154"/>
      <c r="U92" s="154"/>
    </row>
    <row r="93" spans="1:21" x14ac:dyDescent="0.25">
      <c r="A93" s="154"/>
      <c r="B93" s="154"/>
      <c r="C93" s="154"/>
      <c r="D93" s="154"/>
      <c r="E93" s="154"/>
      <c r="F93" s="154"/>
      <c r="G93" s="154"/>
      <c r="H93" s="154"/>
      <c r="I93" s="154"/>
      <c r="J93" s="154"/>
      <c r="K93" s="154"/>
      <c r="L93" s="154"/>
      <c r="M93" s="154"/>
      <c r="N93" s="154"/>
      <c r="O93" s="154"/>
      <c r="P93" s="154"/>
      <c r="Q93" s="154"/>
      <c r="R93" s="154"/>
      <c r="S93" s="154"/>
      <c r="T93" s="154"/>
      <c r="U93" s="154"/>
    </row>
    <row r="94" spans="1:21" x14ac:dyDescent="0.25">
      <c r="A94" s="154"/>
      <c r="B94" s="154"/>
      <c r="C94" s="154"/>
      <c r="D94" s="154"/>
      <c r="E94" s="154"/>
      <c r="F94" s="154"/>
      <c r="G94" s="154"/>
      <c r="H94" s="154"/>
      <c r="I94" s="154"/>
      <c r="J94" s="154"/>
      <c r="K94" s="154"/>
      <c r="L94" s="154"/>
      <c r="M94" s="154"/>
      <c r="N94" s="154"/>
      <c r="O94" s="154"/>
      <c r="P94" s="154"/>
      <c r="Q94" s="154"/>
      <c r="R94" s="154"/>
      <c r="S94" s="154"/>
      <c r="T94" s="154"/>
      <c r="U94" s="154"/>
    </row>
    <row r="95" spans="1:21" x14ac:dyDescent="0.25">
      <c r="A95" s="154"/>
      <c r="B95" s="154"/>
      <c r="C95" s="154"/>
      <c r="D95" s="154"/>
      <c r="E95" s="154"/>
      <c r="F95" s="154"/>
      <c r="G95" s="154"/>
      <c r="H95" s="154"/>
      <c r="I95" s="154"/>
      <c r="J95" s="154"/>
      <c r="K95" s="154"/>
      <c r="L95" s="154"/>
      <c r="M95" s="154"/>
      <c r="N95" s="154"/>
      <c r="O95" s="154"/>
      <c r="P95" s="154"/>
      <c r="Q95" s="154"/>
      <c r="R95" s="154"/>
      <c r="S95" s="154"/>
      <c r="T95" s="154"/>
      <c r="U95" s="154"/>
    </row>
    <row r="96" spans="1:21" x14ac:dyDescent="0.25">
      <c r="A96" s="154"/>
      <c r="B96" s="154"/>
      <c r="C96" s="154"/>
      <c r="D96" s="154"/>
      <c r="E96" s="154"/>
      <c r="F96" s="154"/>
      <c r="G96" s="154"/>
      <c r="H96" s="154"/>
      <c r="I96" s="154"/>
      <c r="J96" s="154"/>
      <c r="K96" s="154"/>
      <c r="L96" s="154"/>
      <c r="M96" s="154"/>
      <c r="N96" s="154"/>
      <c r="O96" s="154"/>
      <c r="P96" s="154"/>
      <c r="Q96" s="154"/>
      <c r="R96" s="154"/>
      <c r="S96" s="154"/>
      <c r="T96" s="154"/>
      <c r="U96" s="154"/>
    </row>
    <row r="97" spans="1:21" x14ac:dyDescent="0.25">
      <c r="A97" s="154"/>
      <c r="B97" s="154"/>
      <c r="C97" s="154"/>
      <c r="D97" s="154"/>
      <c r="E97" s="154"/>
      <c r="F97" s="154"/>
      <c r="G97" s="154"/>
      <c r="H97" s="154"/>
      <c r="I97" s="154"/>
      <c r="J97" s="154"/>
      <c r="K97" s="154"/>
      <c r="L97" s="154"/>
      <c r="M97" s="154"/>
      <c r="N97" s="154"/>
      <c r="O97" s="154"/>
      <c r="P97" s="154"/>
      <c r="Q97" s="154"/>
      <c r="R97" s="154"/>
      <c r="S97" s="154"/>
      <c r="T97" s="154"/>
      <c r="U97" s="154"/>
    </row>
    <row r="98" spans="1:21" x14ac:dyDescent="0.25">
      <c r="A98" s="154"/>
      <c r="B98" s="154"/>
      <c r="C98" s="154"/>
      <c r="D98" s="154"/>
      <c r="E98" s="154"/>
      <c r="F98" s="154"/>
      <c r="G98" s="154"/>
      <c r="H98" s="154"/>
      <c r="I98" s="154"/>
      <c r="J98" s="154"/>
      <c r="K98" s="154"/>
      <c r="L98" s="154"/>
      <c r="M98" s="154"/>
      <c r="N98" s="154"/>
      <c r="O98" s="154"/>
      <c r="P98" s="154"/>
      <c r="Q98" s="154"/>
      <c r="R98" s="154"/>
      <c r="S98" s="154"/>
      <c r="T98" s="154"/>
      <c r="U98" s="154"/>
    </row>
    <row r="99" spans="1:21" x14ac:dyDescent="0.25">
      <c r="A99" s="154"/>
      <c r="B99" s="154"/>
      <c r="C99" s="154"/>
      <c r="D99" s="154"/>
      <c r="E99" s="154"/>
      <c r="F99" s="154"/>
      <c r="G99" s="154"/>
      <c r="H99" s="154"/>
      <c r="I99" s="154"/>
      <c r="J99" s="154"/>
      <c r="K99" s="154"/>
      <c r="L99" s="154"/>
      <c r="M99" s="154"/>
      <c r="N99" s="154"/>
      <c r="O99" s="154"/>
      <c r="P99" s="154"/>
      <c r="Q99" s="154"/>
      <c r="R99" s="154"/>
      <c r="S99" s="154"/>
      <c r="T99" s="154"/>
      <c r="U99" s="154"/>
    </row>
    <row r="100" spans="1:21"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row>
    <row r="101" spans="1:21"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row>
    <row r="102" spans="1:21"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row>
    <row r="103" spans="1:21"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row>
    <row r="104" spans="1:21"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row>
    <row r="105" spans="1:21"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row>
    <row r="106" spans="1:21"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row>
    <row r="107" spans="1:21"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row>
    <row r="108" spans="1:21"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row>
    <row r="109" spans="1:21"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row>
    <row r="110" spans="1:21"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row>
    <row r="111" spans="1:21"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row>
    <row r="112" spans="1:21"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row>
    <row r="113" spans="1:21"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row>
    <row r="114" spans="1:21"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row>
    <row r="115" spans="1:21"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row>
    <row r="116" spans="1:21"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row>
    <row r="117" spans="1:21"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row>
    <row r="118" spans="1:21"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row>
    <row r="119" spans="1:21"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row>
    <row r="120" spans="1:21"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row>
    <row r="121" spans="1:21"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row>
    <row r="122" spans="1:21"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row>
    <row r="123" spans="1:21"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row>
    <row r="124" spans="1:21"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row>
    <row r="125" spans="1:21"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row>
    <row r="126" spans="1:21"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row>
    <row r="127" spans="1:21"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row>
    <row r="128" spans="1:21"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row>
    <row r="129" spans="1:21"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row>
    <row r="130" spans="1:21"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row>
    <row r="131" spans="1:21"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row>
    <row r="132" spans="1:21"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row>
    <row r="133" spans="1:21"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row>
    <row r="134" spans="1:21"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row>
    <row r="135" spans="1:21"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row>
    <row r="136" spans="1:21"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row>
    <row r="137" spans="1:21"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row>
    <row r="138" spans="1:21"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row>
    <row r="139" spans="1:21"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row>
    <row r="140" spans="1:21"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row>
    <row r="141" spans="1:21"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row>
    <row r="142" spans="1:21"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row>
    <row r="143" spans="1:21"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row>
    <row r="144" spans="1:21"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row>
    <row r="145" spans="1:21"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row>
    <row r="146" spans="1:21"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row>
    <row r="147" spans="1:21"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row>
    <row r="148" spans="1:21"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row>
    <row r="149" spans="1:21"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row>
    <row r="150" spans="1:21"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row>
    <row r="151" spans="1:21"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row>
    <row r="152" spans="1:21"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row>
    <row r="153" spans="1:21"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row>
    <row r="154" spans="1:21"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row>
    <row r="155" spans="1:21"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row>
    <row r="156" spans="1:21"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row>
    <row r="157" spans="1:21"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row>
    <row r="158" spans="1:21"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row>
    <row r="159" spans="1:21"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row>
    <row r="160" spans="1:21"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row>
    <row r="161" spans="1:21"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row>
    <row r="162" spans="1:21"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row>
    <row r="163" spans="1:21"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row>
    <row r="164" spans="1:21"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row>
    <row r="165" spans="1:21"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row>
    <row r="166" spans="1:21"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row>
    <row r="167" spans="1:21"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row>
    <row r="168" spans="1:21"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row>
    <row r="169" spans="1:21"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row>
    <row r="170" spans="1:21"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row>
    <row r="171" spans="1:21"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row>
    <row r="172" spans="1:21"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row>
    <row r="173" spans="1:21"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row>
    <row r="174" spans="1:21"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row>
    <row r="175" spans="1:21"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row>
    <row r="176" spans="1:21"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row>
    <row r="177" spans="1:21"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row>
    <row r="178" spans="1:21"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row>
    <row r="179" spans="1:21"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row>
    <row r="180" spans="1:21"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row>
    <row r="181" spans="1:21"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row>
    <row r="182" spans="1:21"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row>
    <row r="183" spans="1:21"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row>
    <row r="184" spans="1:21"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row>
    <row r="185" spans="1:21"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row>
    <row r="186" spans="1:21"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row>
    <row r="187" spans="1:21"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row>
    <row r="188" spans="1:21"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row>
    <row r="189" spans="1:21"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row>
    <row r="190" spans="1:21"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row>
    <row r="191" spans="1:21"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row>
    <row r="192" spans="1:21"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row>
    <row r="193" spans="1:21"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row>
    <row r="194" spans="1:21"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row>
    <row r="195" spans="1:21"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row>
    <row r="196" spans="1:21"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row>
    <row r="197" spans="1:21"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row>
    <row r="198" spans="1:21"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row>
    <row r="199" spans="1:21"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row>
    <row r="200" spans="1:21"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row>
    <row r="201" spans="1:21"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row>
    <row r="202" spans="1:21"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row>
    <row r="203" spans="1:21"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row>
    <row r="204" spans="1:21"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row>
    <row r="205" spans="1:21"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row>
    <row r="206" spans="1:21"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row>
    <row r="207" spans="1:21"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row>
    <row r="208" spans="1:21"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row>
    <row r="209" spans="1:21"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row>
    <row r="210" spans="1:21"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row>
    <row r="211" spans="1:21"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row>
    <row r="212" spans="1:21"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row>
    <row r="213" spans="1:21"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row>
    <row r="214" spans="1:21"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row>
    <row r="215" spans="1:21"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row>
    <row r="216" spans="1:21"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row>
    <row r="217" spans="1:21"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row>
    <row r="218" spans="1:21"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row>
    <row r="219" spans="1:21"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row>
    <row r="220" spans="1:21"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row>
    <row r="221" spans="1:21"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row>
    <row r="222" spans="1:21"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row>
    <row r="223" spans="1:21"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row>
    <row r="224" spans="1:21"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row>
    <row r="225" spans="1:21"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row>
    <row r="226" spans="1:21"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row>
    <row r="227" spans="1:21"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row>
    <row r="228" spans="1:21"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row>
    <row r="229" spans="1:21"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row>
    <row r="230" spans="1:21"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row>
    <row r="231" spans="1:21"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row>
    <row r="232" spans="1:21"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row>
    <row r="233" spans="1:21"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row>
    <row r="234" spans="1:21"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row>
    <row r="235" spans="1:21"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row>
    <row r="236" spans="1:21"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row>
    <row r="237" spans="1:21"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row>
    <row r="238" spans="1:21"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row>
    <row r="239" spans="1:21"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row>
    <row r="240" spans="1:21"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row>
    <row r="241" spans="1:21"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row>
    <row r="242" spans="1:21"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row>
    <row r="243" spans="1:21"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row>
    <row r="244" spans="1:21"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row>
    <row r="245" spans="1:21"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row>
    <row r="246" spans="1:21"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row>
    <row r="247" spans="1:21"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row>
    <row r="248" spans="1:21"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row>
    <row r="249" spans="1:21"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row>
    <row r="250" spans="1:21"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row>
    <row r="251" spans="1:21"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row>
    <row r="252" spans="1:21"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row>
    <row r="253" spans="1:21"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row>
    <row r="254" spans="1:21"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row>
    <row r="255" spans="1:21"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row>
    <row r="256" spans="1:21"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row>
    <row r="257" spans="1:21"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row>
    <row r="258" spans="1:21"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row>
    <row r="259" spans="1:21"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row>
    <row r="260" spans="1:21"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row>
    <row r="261" spans="1:21"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row>
    <row r="262" spans="1:21"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row>
    <row r="263" spans="1:21"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row>
    <row r="264" spans="1:21"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row>
    <row r="265" spans="1:21"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row>
    <row r="266" spans="1:21"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row>
    <row r="267" spans="1:21"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row>
    <row r="268" spans="1:21"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row>
    <row r="269" spans="1:21"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row>
    <row r="270" spans="1:21"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row>
    <row r="271" spans="1:21"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row>
    <row r="272" spans="1:21"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row>
    <row r="273" spans="1:21"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row>
    <row r="274" spans="1:21"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row>
    <row r="275" spans="1:21"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row>
    <row r="276" spans="1:21"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row>
    <row r="277" spans="1:21"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row>
    <row r="278" spans="1:21"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row>
    <row r="279" spans="1:21"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row>
    <row r="280" spans="1:21"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row>
    <row r="281" spans="1:21"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row>
    <row r="282" spans="1:21"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row>
    <row r="283" spans="1:21"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row>
    <row r="284" spans="1:21"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row>
    <row r="285" spans="1:21"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row>
    <row r="286" spans="1:21"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row>
    <row r="287" spans="1:21"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row>
    <row r="288" spans="1:21"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row>
    <row r="289" spans="1:21"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row>
    <row r="290" spans="1:21"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row>
    <row r="291" spans="1:21"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row>
    <row r="292" spans="1:21"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row>
    <row r="293" spans="1:21"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row>
    <row r="294" spans="1:21"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row>
    <row r="295" spans="1:21"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row>
    <row r="296" spans="1:21"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row>
    <row r="297" spans="1:21"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row>
    <row r="298" spans="1:21"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row>
    <row r="299" spans="1:21"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row>
    <row r="300" spans="1:21"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row>
    <row r="301" spans="1:21"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row>
    <row r="302" spans="1:21"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row>
    <row r="303" spans="1:21"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row>
    <row r="304" spans="1:21"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row>
    <row r="305" spans="1:21"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row>
    <row r="306" spans="1:21"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row>
    <row r="307" spans="1:21"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row>
    <row r="308" spans="1:21"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row>
    <row r="309" spans="1:21"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row>
    <row r="310" spans="1:21"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row>
    <row r="311" spans="1:21"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row>
    <row r="312" spans="1:21"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row>
    <row r="313" spans="1:21"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row>
    <row r="314" spans="1:21"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row>
    <row r="315" spans="1:21"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row>
    <row r="316" spans="1:21"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row>
    <row r="317" spans="1:21"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row>
    <row r="318" spans="1:21"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row>
    <row r="319" spans="1:21"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row>
    <row r="320" spans="1:21"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row>
    <row r="321" spans="1:21"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row>
    <row r="322" spans="1:21"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row>
    <row r="323" spans="1:21"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row>
    <row r="324" spans="1:21"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row>
    <row r="325" spans="1:21"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row>
    <row r="326" spans="1:21"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row>
    <row r="327" spans="1:21"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row>
    <row r="328" spans="1:21"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row>
    <row r="329" spans="1:21"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row>
    <row r="330" spans="1:21"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row>
    <row r="331" spans="1:21"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row>
    <row r="332" spans="1:21"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row>
    <row r="333" spans="1:21"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row>
    <row r="334" spans="1:21"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row>
    <row r="335" spans="1:21"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row>
    <row r="336" spans="1:21"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row>
    <row r="337" spans="1:21"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row>
    <row r="338" spans="1:21"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row>
    <row r="339" spans="1:21"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row>
    <row r="340" spans="1:21"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row>
    <row r="341" spans="1:21"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row>
    <row r="342" spans="1:21"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row>
    <row r="343" spans="1:21"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row>
    <row r="344" spans="1:21"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row>
    <row r="345" spans="1:21"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row>
    <row r="346" spans="1:21"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row>
    <row r="347" spans="1:21"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row>
    <row r="348" spans="1:21"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row>
    <row r="349" spans="1:21"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row>
    <row r="350" spans="1:21"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row>
    <row r="351" spans="1:21"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row>
    <row r="352" spans="1:21"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row>
    <row r="353" spans="1:21"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row>
    <row r="354" spans="1:21"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row>
    <row r="355" spans="1:21"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row>
    <row r="356" spans="1:21"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row>
    <row r="357" spans="1:21"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row>
    <row r="358" spans="1:21"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row>
    <row r="359" spans="1:21"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row>
    <row r="360" spans="1:21"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row>
    <row r="361" spans="1:21" x14ac:dyDescent="0.25">
      <c r="A361" s="154"/>
      <c r="B361" s="154"/>
      <c r="C361" s="154"/>
      <c r="D361" s="154"/>
      <c r="E361" s="154"/>
      <c r="F361" s="154"/>
      <c r="G361" s="154"/>
      <c r="H361" s="154"/>
      <c r="I361" s="154"/>
      <c r="J361" s="154"/>
      <c r="K361" s="154"/>
      <c r="L361" s="154"/>
      <c r="M361" s="154"/>
      <c r="N361" s="154"/>
      <c r="O361" s="154"/>
      <c r="P361" s="154"/>
      <c r="Q361" s="154"/>
      <c r="R361" s="154"/>
      <c r="S361" s="154"/>
      <c r="T361" s="154"/>
      <c r="U361" s="154"/>
    </row>
    <row r="362" spans="1:21" x14ac:dyDescent="0.25">
      <c r="A362" s="154"/>
      <c r="B362" s="154"/>
      <c r="C362" s="154"/>
      <c r="D362" s="154"/>
      <c r="E362" s="154"/>
      <c r="F362" s="154"/>
      <c r="G362" s="154"/>
      <c r="H362" s="154"/>
      <c r="I362" s="154"/>
      <c r="J362" s="154"/>
      <c r="K362" s="154"/>
      <c r="L362" s="154"/>
      <c r="M362" s="154"/>
      <c r="N362" s="154"/>
      <c r="O362" s="154"/>
      <c r="P362" s="154"/>
      <c r="Q362" s="154"/>
      <c r="R362" s="154"/>
      <c r="S362" s="154"/>
      <c r="T362" s="154"/>
      <c r="U362" s="154"/>
    </row>
    <row r="363" spans="1:21" x14ac:dyDescent="0.25">
      <c r="A363" s="154"/>
      <c r="B363" s="154"/>
      <c r="C363" s="154"/>
      <c r="D363" s="154"/>
      <c r="E363" s="154"/>
      <c r="F363" s="154"/>
      <c r="G363" s="154"/>
      <c r="H363" s="154"/>
      <c r="I363" s="154"/>
      <c r="J363" s="154"/>
      <c r="K363" s="154"/>
      <c r="L363" s="154"/>
      <c r="M363" s="154"/>
      <c r="N363" s="154"/>
      <c r="O363" s="154"/>
      <c r="P363" s="154"/>
      <c r="Q363" s="154"/>
      <c r="R363" s="154"/>
      <c r="S363" s="154"/>
      <c r="T363" s="154"/>
      <c r="U363" s="154"/>
    </row>
    <row r="364" spans="1:21" x14ac:dyDescent="0.25">
      <c r="A364" s="154"/>
      <c r="B364" s="154"/>
      <c r="C364" s="154"/>
      <c r="D364" s="154"/>
      <c r="E364" s="154"/>
      <c r="F364" s="154"/>
      <c r="G364" s="154"/>
      <c r="H364" s="154"/>
      <c r="I364" s="154"/>
      <c r="J364" s="154"/>
      <c r="K364" s="154"/>
      <c r="L364" s="154"/>
      <c r="M364" s="154"/>
      <c r="N364" s="154"/>
      <c r="O364" s="154"/>
      <c r="P364" s="154"/>
      <c r="Q364" s="154"/>
      <c r="R364" s="154"/>
      <c r="S364" s="154"/>
      <c r="T364" s="154"/>
      <c r="U364" s="154"/>
    </row>
    <row r="365" spans="1:21" x14ac:dyDescent="0.25">
      <c r="A365" s="154"/>
      <c r="B365" s="154"/>
      <c r="C365" s="154"/>
      <c r="D365" s="154"/>
      <c r="E365" s="154"/>
      <c r="F365" s="154"/>
      <c r="G365" s="154"/>
      <c r="H365" s="154"/>
      <c r="I365" s="154"/>
      <c r="J365" s="154"/>
      <c r="K365" s="154"/>
      <c r="L365" s="154"/>
      <c r="M365" s="154"/>
      <c r="N365" s="154"/>
      <c r="O365" s="154"/>
      <c r="P365" s="154"/>
      <c r="Q365" s="154"/>
      <c r="R365" s="154"/>
      <c r="S365" s="154"/>
      <c r="T365" s="154"/>
      <c r="U365" s="154"/>
    </row>
    <row r="366" spans="1:21" x14ac:dyDescent="0.25">
      <c r="A366" s="154"/>
      <c r="B366" s="154"/>
      <c r="C366" s="154"/>
      <c r="D366" s="154"/>
      <c r="E366" s="154"/>
      <c r="F366" s="154"/>
      <c r="G366" s="154"/>
      <c r="H366" s="154"/>
      <c r="I366" s="154"/>
      <c r="J366" s="154"/>
      <c r="K366" s="154"/>
      <c r="L366" s="154"/>
      <c r="M366" s="154"/>
      <c r="N366" s="154"/>
      <c r="O366" s="154"/>
      <c r="P366" s="154"/>
      <c r="Q366" s="154"/>
      <c r="R366" s="154"/>
      <c r="S366" s="154"/>
      <c r="T366" s="154"/>
      <c r="U366" s="154"/>
    </row>
    <row r="367" spans="1:21" x14ac:dyDescent="0.25">
      <c r="A367" s="154"/>
      <c r="B367" s="154"/>
      <c r="C367" s="154"/>
      <c r="D367" s="154"/>
      <c r="E367" s="154"/>
      <c r="F367" s="154"/>
      <c r="G367" s="154"/>
      <c r="H367" s="154"/>
      <c r="I367" s="154"/>
      <c r="J367" s="154"/>
      <c r="K367" s="154"/>
      <c r="L367" s="154"/>
      <c r="M367" s="154"/>
      <c r="N367" s="154"/>
      <c r="O367" s="154"/>
      <c r="P367" s="154"/>
      <c r="Q367" s="154"/>
      <c r="R367" s="154"/>
      <c r="S367" s="154"/>
      <c r="T367" s="154"/>
      <c r="U367" s="154"/>
    </row>
    <row r="368" spans="1:21" x14ac:dyDescent="0.25">
      <c r="A368" s="154"/>
      <c r="B368" s="154"/>
      <c r="C368" s="154"/>
      <c r="D368" s="154"/>
      <c r="E368" s="154"/>
      <c r="F368" s="154"/>
      <c r="G368" s="154"/>
      <c r="H368" s="154"/>
      <c r="I368" s="154"/>
      <c r="J368" s="154"/>
      <c r="K368" s="154"/>
      <c r="L368" s="154"/>
      <c r="M368" s="154"/>
      <c r="N368" s="154"/>
      <c r="O368" s="154"/>
      <c r="P368" s="154"/>
      <c r="Q368" s="154"/>
      <c r="R368" s="154"/>
      <c r="S368" s="154"/>
      <c r="T368" s="154"/>
      <c r="U368" s="154"/>
    </row>
    <row r="369" spans="1:21" x14ac:dyDescent="0.25">
      <c r="A369" s="154"/>
      <c r="B369" s="154"/>
      <c r="C369" s="154"/>
      <c r="D369" s="154"/>
      <c r="E369" s="154"/>
      <c r="F369" s="154"/>
      <c r="G369" s="154"/>
      <c r="H369" s="154"/>
      <c r="I369" s="154"/>
      <c r="J369" s="154"/>
      <c r="K369" s="154"/>
      <c r="L369" s="154"/>
      <c r="M369" s="154"/>
      <c r="N369" s="154"/>
      <c r="O369" s="154"/>
      <c r="P369" s="154"/>
      <c r="Q369" s="154"/>
      <c r="R369" s="154"/>
      <c r="S369" s="154"/>
      <c r="T369" s="154"/>
      <c r="U369" s="154"/>
    </row>
    <row r="370" spans="1:21" x14ac:dyDescent="0.25">
      <c r="A370" s="154"/>
      <c r="B370" s="154"/>
      <c r="C370" s="154"/>
      <c r="D370" s="154"/>
      <c r="E370" s="154"/>
      <c r="F370" s="154"/>
      <c r="G370" s="154"/>
      <c r="H370" s="154"/>
      <c r="I370" s="154"/>
      <c r="J370" s="154"/>
      <c r="K370" s="154"/>
      <c r="L370" s="154"/>
      <c r="M370" s="154"/>
      <c r="N370" s="154"/>
      <c r="O370" s="154"/>
      <c r="P370" s="154"/>
      <c r="Q370" s="154"/>
      <c r="R370" s="154"/>
      <c r="S370" s="154"/>
      <c r="T370" s="154"/>
      <c r="U370" s="154"/>
    </row>
    <row r="371" spans="1:21" x14ac:dyDescent="0.25">
      <c r="A371" s="154"/>
      <c r="B371" s="154"/>
      <c r="C371" s="154"/>
      <c r="D371" s="154"/>
      <c r="E371" s="154"/>
      <c r="F371" s="154"/>
      <c r="G371" s="154"/>
      <c r="H371" s="154"/>
      <c r="I371" s="154"/>
      <c r="J371" s="154"/>
      <c r="K371" s="154"/>
      <c r="L371" s="154"/>
      <c r="M371" s="154"/>
      <c r="N371" s="154"/>
      <c r="O371" s="154"/>
      <c r="P371" s="154"/>
      <c r="Q371" s="154"/>
      <c r="R371" s="154"/>
      <c r="S371" s="154"/>
      <c r="T371" s="154"/>
      <c r="U371" s="154"/>
    </row>
    <row r="372" spans="1:21" x14ac:dyDescent="0.25">
      <c r="A372" s="154"/>
      <c r="B372" s="154"/>
      <c r="C372" s="154"/>
      <c r="D372" s="154"/>
      <c r="E372" s="154"/>
      <c r="F372" s="154"/>
      <c r="G372" s="154"/>
      <c r="H372" s="154"/>
      <c r="I372" s="154"/>
      <c r="J372" s="154"/>
      <c r="K372" s="154"/>
      <c r="L372" s="154"/>
      <c r="M372" s="154"/>
      <c r="N372" s="154"/>
      <c r="O372" s="154"/>
      <c r="P372" s="154"/>
      <c r="Q372" s="154"/>
      <c r="R372" s="154"/>
      <c r="S372" s="154"/>
      <c r="T372" s="154"/>
      <c r="U372" s="154"/>
    </row>
    <row r="373" spans="1:21" x14ac:dyDescent="0.25">
      <c r="A373" s="154"/>
      <c r="B373" s="154"/>
      <c r="C373" s="154"/>
      <c r="D373" s="154"/>
      <c r="E373" s="154"/>
      <c r="F373" s="154"/>
      <c r="G373" s="154"/>
      <c r="H373" s="154"/>
      <c r="I373" s="154"/>
      <c r="J373" s="154"/>
      <c r="K373" s="154"/>
      <c r="L373" s="154"/>
      <c r="M373" s="154"/>
      <c r="N373" s="154"/>
      <c r="O373" s="154"/>
      <c r="P373" s="154"/>
      <c r="Q373" s="154"/>
      <c r="R373" s="154"/>
      <c r="S373" s="154"/>
      <c r="T373" s="154"/>
      <c r="U373" s="154"/>
    </row>
    <row r="374" spans="1:21" x14ac:dyDescent="0.25">
      <c r="A374" s="154"/>
      <c r="B374" s="154"/>
      <c r="C374" s="154"/>
      <c r="D374" s="154"/>
      <c r="E374" s="154"/>
      <c r="F374" s="154"/>
      <c r="G374" s="154"/>
      <c r="H374" s="154"/>
      <c r="I374" s="154"/>
      <c r="J374" s="154"/>
      <c r="K374" s="154"/>
      <c r="L374" s="154"/>
      <c r="M374" s="154"/>
      <c r="N374" s="154"/>
      <c r="O374" s="154"/>
      <c r="P374" s="154"/>
      <c r="Q374" s="154"/>
      <c r="R374" s="154"/>
      <c r="S374" s="154"/>
      <c r="T374" s="154"/>
      <c r="U374" s="154"/>
    </row>
    <row r="375" spans="1:21" x14ac:dyDescent="0.25">
      <c r="A375" s="154"/>
      <c r="B375" s="154"/>
      <c r="C375" s="154"/>
      <c r="D375" s="154"/>
      <c r="E375" s="154"/>
      <c r="F375" s="154"/>
      <c r="G375" s="154"/>
      <c r="H375" s="154"/>
      <c r="I375" s="154"/>
      <c r="J375" s="154"/>
      <c r="K375" s="154"/>
      <c r="L375" s="154"/>
      <c r="M375" s="154"/>
      <c r="N375" s="154"/>
      <c r="O375" s="154"/>
      <c r="P375" s="154"/>
      <c r="Q375" s="154"/>
      <c r="R375" s="154"/>
      <c r="S375" s="154"/>
      <c r="T375" s="154"/>
      <c r="U375" s="154"/>
    </row>
    <row r="376" spans="1:21" x14ac:dyDescent="0.25">
      <c r="A376" s="154"/>
      <c r="B376" s="154"/>
      <c r="C376" s="154"/>
      <c r="D376" s="154"/>
      <c r="E376" s="154"/>
      <c r="F376" s="154"/>
      <c r="G376" s="154"/>
      <c r="H376" s="154"/>
      <c r="I376" s="154"/>
      <c r="J376" s="154"/>
      <c r="K376" s="154"/>
      <c r="L376" s="154"/>
      <c r="M376" s="154"/>
      <c r="N376" s="154"/>
      <c r="O376" s="154"/>
      <c r="P376" s="154"/>
      <c r="Q376" s="154"/>
      <c r="R376" s="154"/>
      <c r="S376" s="154"/>
      <c r="T376" s="154"/>
      <c r="U376" s="154"/>
    </row>
    <row r="377" spans="1:21" x14ac:dyDescent="0.25">
      <c r="A377" s="154"/>
      <c r="B377" s="154"/>
      <c r="C377" s="154"/>
      <c r="D377" s="154"/>
      <c r="E377" s="154"/>
      <c r="F377" s="154"/>
      <c r="G377" s="154"/>
      <c r="H377" s="154"/>
      <c r="I377" s="154"/>
      <c r="J377" s="154"/>
      <c r="K377" s="154"/>
      <c r="L377" s="154"/>
      <c r="M377" s="154"/>
      <c r="N377" s="154"/>
      <c r="O377" s="154"/>
      <c r="P377" s="154"/>
      <c r="Q377" s="154"/>
      <c r="R377" s="154"/>
      <c r="S377" s="154"/>
      <c r="T377" s="154"/>
      <c r="U377" s="154"/>
    </row>
    <row r="378" spans="1:21" x14ac:dyDescent="0.25">
      <c r="A378" s="154"/>
      <c r="B378" s="154"/>
      <c r="C378" s="154"/>
      <c r="D378" s="154"/>
      <c r="E378" s="154"/>
      <c r="F378" s="154"/>
      <c r="G378" s="154"/>
      <c r="H378" s="154"/>
      <c r="I378" s="154"/>
      <c r="J378" s="154"/>
      <c r="K378" s="154"/>
      <c r="L378" s="154"/>
      <c r="M378" s="154"/>
      <c r="N378" s="154"/>
      <c r="O378" s="154"/>
      <c r="P378" s="154"/>
      <c r="Q378" s="154"/>
      <c r="R378" s="154"/>
      <c r="S378" s="154"/>
      <c r="T378" s="154"/>
      <c r="U378" s="154"/>
    </row>
    <row r="379" spans="1:21" x14ac:dyDescent="0.25">
      <c r="A379" s="154"/>
      <c r="B379" s="154"/>
      <c r="C379" s="154"/>
      <c r="D379" s="154"/>
      <c r="E379" s="154"/>
      <c r="F379" s="154"/>
      <c r="G379" s="154"/>
      <c r="H379" s="154"/>
      <c r="I379" s="154"/>
      <c r="J379" s="154"/>
      <c r="K379" s="154"/>
      <c r="L379" s="154"/>
      <c r="M379" s="154"/>
      <c r="N379" s="154"/>
      <c r="O379" s="154"/>
      <c r="P379" s="154"/>
      <c r="Q379" s="154"/>
      <c r="R379" s="154"/>
      <c r="S379" s="154"/>
      <c r="T379" s="154"/>
      <c r="U379" s="154"/>
    </row>
    <row r="380" spans="1:21" x14ac:dyDescent="0.25">
      <c r="A380" s="154"/>
      <c r="B380" s="154"/>
      <c r="C380" s="154"/>
      <c r="D380" s="154"/>
      <c r="E380" s="154"/>
      <c r="F380" s="154"/>
      <c r="G380" s="154"/>
      <c r="H380" s="154"/>
      <c r="I380" s="154"/>
      <c r="J380" s="154"/>
      <c r="K380" s="154"/>
      <c r="L380" s="154"/>
      <c r="M380" s="154"/>
      <c r="N380" s="154"/>
      <c r="O380" s="154"/>
      <c r="P380" s="154"/>
      <c r="Q380" s="154"/>
      <c r="R380" s="154"/>
      <c r="S380" s="154"/>
      <c r="T380" s="154"/>
      <c r="U380" s="154"/>
    </row>
    <row r="381" spans="1:21" x14ac:dyDescent="0.25">
      <c r="A381" s="154"/>
      <c r="B381" s="154"/>
      <c r="C381" s="154"/>
      <c r="D381" s="154"/>
      <c r="E381" s="154"/>
      <c r="F381" s="154"/>
      <c r="G381" s="154"/>
      <c r="H381" s="154"/>
      <c r="I381" s="154"/>
      <c r="J381" s="154"/>
      <c r="K381" s="154"/>
      <c r="L381" s="154"/>
      <c r="M381" s="154"/>
      <c r="N381" s="154"/>
      <c r="O381" s="154"/>
      <c r="P381" s="154"/>
      <c r="Q381" s="154"/>
      <c r="R381" s="154"/>
      <c r="S381" s="154"/>
      <c r="T381" s="154"/>
      <c r="U381" s="154"/>
    </row>
    <row r="382" spans="1:21" x14ac:dyDescent="0.25">
      <c r="A382" s="154"/>
      <c r="B382" s="154"/>
      <c r="C382" s="154"/>
      <c r="D382" s="154"/>
      <c r="E382" s="154"/>
      <c r="F382" s="154"/>
      <c r="G382" s="154"/>
      <c r="H382" s="154"/>
      <c r="I382" s="154"/>
      <c r="J382" s="154"/>
      <c r="K382" s="154"/>
      <c r="L382" s="154"/>
      <c r="M382" s="154"/>
      <c r="N382" s="154"/>
      <c r="O382" s="154"/>
      <c r="P382" s="154"/>
      <c r="Q382" s="154"/>
      <c r="R382" s="154"/>
      <c r="S382" s="154"/>
      <c r="T382" s="154"/>
      <c r="U382" s="15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2" customWidth="1"/>
    <col min="2" max="2" width="30.140625" style="162" customWidth="1"/>
    <col min="3" max="3" width="12.28515625" style="162" customWidth="1"/>
    <col min="4" max="5" width="15" style="162" customWidth="1"/>
    <col min="6" max="7" width="13.28515625" style="162" customWidth="1"/>
    <col min="8" max="8" width="12.28515625" style="162" customWidth="1"/>
    <col min="9" max="9" width="17.85546875" style="162" customWidth="1"/>
    <col min="10" max="10" width="16.7109375" style="162" customWidth="1"/>
    <col min="11" max="11" width="24.5703125" style="162" customWidth="1"/>
    <col min="12" max="12" width="30.85546875" style="162" customWidth="1"/>
    <col min="13" max="13" width="27.140625" style="162" customWidth="1"/>
    <col min="14" max="14" width="32.42578125" style="162" customWidth="1"/>
    <col min="15" max="15" width="13.28515625" style="162" customWidth="1"/>
    <col min="16" max="16" width="8.7109375" style="162" customWidth="1"/>
    <col min="17" max="17" width="12.7109375" style="162" customWidth="1"/>
    <col min="18" max="18" width="9.140625" style="162"/>
    <col min="19" max="19" width="17" style="162" customWidth="1"/>
    <col min="20" max="21" width="12" style="162" customWidth="1"/>
    <col min="22" max="22" width="11" style="162" customWidth="1"/>
    <col min="23" max="25" width="17.7109375" style="162" customWidth="1"/>
    <col min="26" max="26" width="46.5703125" style="162" customWidth="1"/>
    <col min="27" max="28" width="12.28515625" style="162" customWidth="1"/>
    <col min="29" max="16384" width="9.140625" style="162"/>
  </cols>
  <sheetData>
    <row r="1" spans="1:28" ht="18.75" x14ac:dyDescent="0.25">
      <c r="Z1" s="29" t="s">
        <v>66</v>
      </c>
    </row>
    <row r="2" spans="1:28" ht="18.75" x14ac:dyDescent="0.3">
      <c r="Z2" s="14" t="s">
        <v>8</v>
      </c>
    </row>
    <row r="3" spans="1:28" ht="18.75" x14ac:dyDescent="0.3">
      <c r="Z3" s="14" t="s">
        <v>65</v>
      </c>
    </row>
    <row r="4" spans="1:28" ht="18.75" customHeight="1" x14ac:dyDescent="0.25">
      <c r="A4" s="352" t="str">
        <f>'1. паспорт местоположение'!A5:C5</f>
        <v>Год раскрытия информации: 2022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row>
    <row r="6" spans="1:28"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141"/>
      <c r="AB6" s="141"/>
    </row>
    <row r="7" spans="1:28" ht="18.75" x14ac:dyDescent="0.25">
      <c r="A7" s="363"/>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141"/>
      <c r="AB7" s="141"/>
    </row>
    <row r="8" spans="1:28" ht="15.75" x14ac:dyDescent="0.25">
      <c r="A8" s="358" t="str">
        <f>'1. паспорт местоположение'!A9:C9</f>
        <v xml:space="preserve">Акционерное общество "Западная энергетическая компания" </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143"/>
      <c r="AB8" s="143"/>
    </row>
    <row r="9" spans="1:28" ht="15.75"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144"/>
      <c r="AB9" s="144"/>
    </row>
    <row r="10" spans="1:28" ht="18.75" x14ac:dyDescent="0.25">
      <c r="A10" s="363"/>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141"/>
      <c r="AB10" s="141"/>
    </row>
    <row r="11" spans="1:28" ht="15.75" x14ac:dyDescent="0.25">
      <c r="A11" s="358" t="str">
        <f>'1. паспорт местоположение'!A12:C12</f>
        <v>J 19-10</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143"/>
      <c r="AB11" s="143"/>
    </row>
    <row r="12" spans="1:28" ht="15.75"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144"/>
      <c r="AB12" s="144"/>
    </row>
    <row r="13" spans="1:28" ht="18.75" x14ac:dyDescent="0.25">
      <c r="A13" s="364"/>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163"/>
      <c r="AB13" s="163"/>
    </row>
    <row r="14" spans="1:28" ht="15.75" x14ac:dyDescent="0.25">
      <c r="A14" s="358" t="str">
        <f>'1. паспорт местоположение'!A15:C15</f>
        <v>Реконструкция ТП-12 15/0,4кВ п.Южный, Багратионовского р-на</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143"/>
      <c r="AB14" s="143"/>
    </row>
    <row r="15" spans="1:28" ht="15.75"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144"/>
      <c r="AB15" s="144"/>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164"/>
      <c r="AB16" s="164"/>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164"/>
      <c r="AB17" s="164"/>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164"/>
      <c r="AB18" s="164"/>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164"/>
      <c r="AB19" s="164"/>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165"/>
      <c r="AB20" s="165"/>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165"/>
      <c r="AB21" s="165"/>
    </row>
    <row r="22" spans="1:28" x14ac:dyDescent="0.25">
      <c r="A22" s="395" t="s">
        <v>412</v>
      </c>
      <c r="B22" s="395"/>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166"/>
      <c r="AB22" s="166"/>
    </row>
    <row r="23" spans="1:28" ht="32.25" customHeight="1" x14ac:dyDescent="0.25">
      <c r="A23" s="397" t="s">
        <v>295</v>
      </c>
      <c r="B23" s="398"/>
      <c r="C23" s="398"/>
      <c r="D23" s="398"/>
      <c r="E23" s="398"/>
      <c r="F23" s="398"/>
      <c r="G23" s="398"/>
      <c r="H23" s="398"/>
      <c r="I23" s="398"/>
      <c r="J23" s="398"/>
      <c r="K23" s="398"/>
      <c r="L23" s="399"/>
      <c r="M23" s="396" t="s">
        <v>296</v>
      </c>
      <c r="N23" s="396"/>
      <c r="O23" s="396"/>
      <c r="P23" s="396"/>
      <c r="Q23" s="396"/>
      <c r="R23" s="396"/>
      <c r="S23" s="396"/>
      <c r="T23" s="396"/>
      <c r="U23" s="396"/>
      <c r="V23" s="396"/>
      <c r="W23" s="396"/>
      <c r="X23" s="396"/>
      <c r="Y23" s="396"/>
      <c r="Z23" s="396"/>
    </row>
    <row r="24" spans="1:28" ht="151.5" customHeight="1" x14ac:dyDescent="0.25">
      <c r="A24" s="167" t="s">
        <v>210</v>
      </c>
      <c r="B24" s="168" t="s">
        <v>230</v>
      </c>
      <c r="C24" s="167" t="s">
        <v>293</v>
      </c>
      <c r="D24" s="167" t="s">
        <v>211</v>
      </c>
      <c r="E24" s="167" t="s">
        <v>294</v>
      </c>
      <c r="F24" s="167" t="s">
        <v>443</v>
      </c>
      <c r="G24" s="167" t="s">
        <v>444</v>
      </c>
      <c r="H24" s="167" t="s">
        <v>212</v>
      </c>
      <c r="I24" s="167" t="s">
        <v>445</v>
      </c>
      <c r="J24" s="167" t="s">
        <v>235</v>
      </c>
      <c r="K24" s="168" t="s">
        <v>229</v>
      </c>
      <c r="L24" s="168" t="s">
        <v>213</v>
      </c>
      <c r="M24" s="169" t="s">
        <v>242</v>
      </c>
      <c r="N24" s="168" t="s">
        <v>446</v>
      </c>
      <c r="O24" s="167" t="s">
        <v>447</v>
      </c>
      <c r="P24" s="167" t="s">
        <v>448</v>
      </c>
      <c r="Q24" s="167" t="s">
        <v>449</v>
      </c>
      <c r="R24" s="167" t="s">
        <v>212</v>
      </c>
      <c r="S24" s="167" t="s">
        <v>450</v>
      </c>
      <c r="T24" s="167" t="s">
        <v>451</v>
      </c>
      <c r="U24" s="167" t="s">
        <v>452</v>
      </c>
      <c r="V24" s="167" t="s">
        <v>449</v>
      </c>
      <c r="W24" s="170" t="s">
        <v>453</v>
      </c>
      <c r="X24" s="170" t="s">
        <v>454</v>
      </c>
      <c r="Y24" s="170" t="s">
        <v>455</v>
      </c>
      <c r="Z24" s="171" t="s">
        <v>247</v>
      </c>
    </row>
    <row r="25" spans="1:28" ht="16.5" customHeight="1" x14ac:dyDescent="0.25">
      <c r="A25" s="167">
        <v>1</v>
      </c>
      <c r="B25" s="168">
        <v>2</v>
      </c>
      <c r="C25" s="167">
        <v>3</v>
      </c>
      <c r="D25" s="168">
        <v>4</v>
      </c>
      <c r="E25" s="167">
        <v>5</v>
      </c>
      <c r="F25" s="168">
        <v>6</v>
      </c>
      <c r="G25" s="167">
        <v>7</v>
      </c>
      <c r="H25" s="168">
        <v>8</v>
      </c>
      <c r="I25" s="167">
        <v>9</v>
      </c>
      <c r="J25" s="168">
        <v>10</v>
      </c>
      <c r="K25" s="167">
        <v>11</v>
      </c>
      <c r="L25" s="168">
        <v>12</v>
      </c>
      <c r="M25" s="167">
        <v>13</v>
      </c>
      <c r="N25" s="168">
        <v>14</v>
      </c>
      <c r="O25" s="167">
        <v>15</v>
      </c>
      <c r="P25" s="168">
        <v>16</v>
      </c>
      <c r="Q25" s="167">
        <v>17</v>
      </c>
      <c r="R25" s="168">
        <v>18</v>
      </c>
      <c r="S25" s="167">
        <v>19</v>
      </c>
      <c r="T25" s="168">
        <v>20</v>
      </c>
      <c r="U25" s="167">
        <v>21</v>
      </c>
      <c r="V25" s="168">
        <v>22</v>
      </c>
      <c r="W25" s="167">
        <v>23</v>
      </c>
      <c r="X25" s="168">
        <v>24</v>
      </c>
      <c r="Y25" s="167">
        <v>25</v>
      </c>
      <c r="Z25" s="168">
        <v>26</v>
      </c>
    </row>
    <row r="26" spans="1:28" ht="45.75" customHeight="1" x14ac:dyDescent="0.25">
      <c r="A26" s="172" t="s">
        <v>291</v>
      </c>
      <c r="B26" s="173"/>
      <c r="C26" s="174" t="s">
        <v>456</v>
      </c>
      <c r="D26" s="174" t="s">
        <v>457</v>
      </c>
      <c r="E26" s="174" t="s">
        <v>458</v>
      </c>
      <c r="F26" s="174" t="s">
        <v>459</v>
      </c>
      <c r="G26" s="174" t="s">
        <v>460</v>
      </c>
      <c r="H26" s="174" t="s">
        <v>212</v>
      </c>
      <c r="I26" s="174" t="s">
        <v>461</v>
      </c>
      <c r="J26" s="174" t="s">
        <v>462</v>
      </c>
      <c r="K26" s="175"/>
      <c r="L26" s="176" t="s">
        <v>227</v>
      </c>
      <c r="M26" s="177" t="s">
        <v>240</v>
      </c>
      <c r="N26" s="175"/>
      <c r="O26" s="175"/>
      <c r="P26" s="175"/>
      <c r="Q26" s="175"/>
      <c r="R26" s="175"/>
      <c r="S26" s="175"/>
      <c r="T26" s="175"/>
      <c r="U26" s="175"/>
      <c r="V26" s="175"/>
      <c r="W26" s="175"/>
      <c r="X26" s="175"/>
      <c r="Y26" s="175"/>
      <c r="Z26" s="178" t="s">
        <v>248</v>
      </c>
    </row>
    <row r="27" spans="1:28" x14ac:dyDescent="0.25">
      <c r="A27" s="175" t="s">
        <v>214</v>
      </c>
      <c r="B27" s="175" t="s">
        <v>231</v>
      </c>
      <c r="C27" s="175" t="s">
        <v>215</v>
      </c>
      <c r="D27" s="175" t="s">
        <v>216</v>
      </c>
      <c r="E27" s="175" t="s">
        <v>243</v>
      </c>
      <c r="F27" s="174" t="s">
        <v>463</v>
      </c>
      <c r="G27" s="174" t="s">
        <v>464</v>
      </c>
      <c r="H27" s="175" t="s">
        <v>212</v>
      </c>
      <c r="I27" s="174" t="s">
        <v>465</v>
      </c>
      <c r="J27" s="174" t="s">
        <v>466</v>
      </c>
      <c r="K27" s="176" t="s">
        <v>223</v>
      </c>
      <c r="L27" s="175"/>
      <c r="M27" s="176" t="s">
        <v>241</v>
      </c>
      <c r="N27" s="175"/>
      <c r="O27" s="175"/>
      <c r="P27" s="175"/>
      <c r="Q27" s="175"/>
      <c r="R27" s="175"/>
      <c r="S27" s="175"/>
      <c r="T27" s="175"/>
      <c r="U27" s="175"/>
      <c r="V27" s="175"/>
      <c r="W27" s="175"/>
      <c r="X27" s="175"/>
      <c r="Y27" s="175"/>
      <c r="Z27" s="175"/>
    </row>
    <row r="28" spans="1:28" x14ac:dyDescent="0.25">
      <c r="A28" s="175" t="s">
        <v>214</v>
      </c>
      <c r="B28" s="175" t="s">
        <v>232</v>
      </c>
      <c r="C28" s="175" t="s">
        <v>217</v>
      </c>
      <c r="D28" s="175" t="s">
        <v>218</v>
      </c>
      <c r="E28" s="175" t="s">
        <v>244</v>
      </c>
      <c r="F28" s="174" t="s">
        <v>467</v>
      </c>
      <c r="G28" s="174" t="s">
        <v>468</v>
      </c>
      <c r="H28" s="175" t="s">
        <v>212</v>
      </c>
      <c r="I28" s="174" t="s">
        <v>236</v>
      </c>
      <c r="J28" s="174" t="s">
        <v>469</v>
      </c>
      <c r="K28" s="176" t="s">
        <v>224</v>
      </c>
      <c r="L28" s="179"/>
      <c r="M28" s="176" t="s">
        <v>0</v>
      </c>
      <c r="N28" s="176"/>
      <c r="O28" s="176"/>
      <c r="P28" s="176"/>
      <c r="Q28" s="176"/>
      <c r="R28" s="176"/>
      <c r="S28" s="176"/>
      <c r="T28" s="176"/>
      <c r="U28" s="176"/>
      <c r="V28" s="176"/>
      <c r="W28" s="176"/>
      <c r="X28" s="176"/>
      <c r="Y28" s="176"/>
      <c r="Z28" s="176"/>
    </row>
    <row r="29" spans="1:28" x14ac:dyDescent="0.25">
      <c r="A29" s="175" t="s">
        <v>214</v>
      </c>
      <c r="B29" s="175" t="s">
        <v>233</v>
      </c>
      <c r="C29" s="175" t="s">
        <v>219</v>
      </c>
      <c r="D29" s="175" t="s">
        <v>220</v>
      </c>
      <c r="E29" s="175" t="s">
        <v>245</v>
      </c>
      <c r="F29" s="174" t="s">
        <v>470</v>
      </c>
      <c r="G29" s="174" t="s">
        <v>471</v>
      </c>
      <c r="H29" s="175" t="s">
        <v>212</v>
      </c>
      <c r="I29" s="174" t="s">
        <v>237</v>
      </c>
      <c r="J29" s="174" t="s">
        <v>472</v>
      </c>
      <c r="K29" s="176" t="s">
        <v>225</v>
      </c>
      <c r="L29" s="179"/>
      <c r="M29" s="175"/>
      <c r="N29" s="175"/>
      <c r="O29" s="175"/>
      <c r="P29" s="175"/>
      <c r="Q29" s="175"/>
      <c r="R29" s="175"/>
      <c r="S29" s="175"/>
      <c r="T29" s="175"/>
      <c r="U29" s="175"/>
      <c r="V29" s="175"/>
      <c r="W29" s="175"/>
      <c r="X29" s="175"/>
      <c r="Y29" s="175"/>
      <c r="Z29" s="175"/>
    </row>
    <row r="30" spans="1:28" x14ac:dyDescent="0.25">
      <c r="A30" s="175" t="s">
        <v>214</v>
      </c>
      <c r="B30" s="175" t="s">
        <v>234</v>
      </c>
      <c r="C30" s="175" t="s">
        <v>221</v>
      </c>
      <c r="D30" s="175" t="s">
        <v>222</v>
      </c>
      <c r="E30" s="175" t="s">
        <v>246</v>
      </c>
      <c r="F30" s="174" t="s">
        <v>473</v>
      </c>
      <c r="G30" s="174" t="s">
        <v>474</v>
      </c>
      <c r="H30" s="175" t="s">
        <v>212</v>
      </c>
      <c r="I30" s="174" t="s">
        <v>238</v>
      </c>
      <c r="J30" s="174" t="s">
        <v>475</v>
      </c>
      <c r="K30" s="176" t="s">
        <v>226</v>
      </c>
      <c r="L30" s="179"/>
      <c r="M30" s="175"/>
      <c r="N30" s="175"/>
      <c r="O30" s="175"/>
      <c r="P30" s="175"/>
      <c r="Q30" s="175"/>
      <c r="R30" s="175"/>
      <c r="S30" s="175"/>
      <c r="T30" s="175"/>
      <c r="U30" s="175"/>
      <c r="V30" s="175"/>
      <c r="W30" s="175"/>
      <c r="X30" s="175"/>
      <c r="Y30" s="175"/>
      <c r="Z30" s="175"/>
    </row>
    <row r="31" spans="1:28" x14ac:dyDescent="0.25">
      <c r="A31" s="175" t="s">
        <v>0</v>
      </c>
      <c r="B31" s="175" t="s">
        <v>0</v>
      </c>
      <c r="C31" s="175" t="s">
        <v>0</v>
      </c>
      <c r="D31" s="175" t="s">
        <v>0</v>
      </c>
      <c r="E31" s="175" t="s">
        <v>0</v>
      </c>
      <c r="F31" s="175" t="s">
        <v>0</v>
      </c>
      <c r="G31" s="175" t="s">
        <v>0</v>
      </c>
      <c r="H31" s="175" t="s">
        <v>0</v>
      </c>
      <c r="I31" s="175" t="s">
        <v>0</v>
      </c>
      <c r="J31" s="175" t="s">
        <v>0</v>
      </c>
      <c r="K31" s="175" t="s">
        <v>0</v>
      </c>
      <c r="L31" s="179"/>
      <c r="M31" s="175"/>
      <c r="N31" s="175"/>
      <c r="O31" s="175"/>
      <c r="P31" s="175"/>
      <c r="Q31" s="175"/>
      <c r="R31" s="175"/>
      <c r="S31" s="175"/>
      <c r="T31" s="175"/>
      <c r="U31" s="175"/>
      <c r="V31" s="175"/>
      <c r="W31" s="175"/>
      <c r="X31" s="175"/>
      <c r="Y31" s="175"/>
      <c r="Z31" s="175"/>
    </row>
    <row r="32" spans="1:28" ht="30" x14ac:dyDescent="0.25">
      <c r="A32" s="173" t="s">
        <v>292</v>
      </c>
      <c r="B32" s="173"/>
      <c r="C32" s="174" t="s">
        <v>476</v>
      </c>
      <c r="D32" s="174" t="s">
        <v>477</v>
      </c>
      <c r="E32" s="174" t="s">
        <v>478</v>
      </c>
      <c r="F32" s="174" t="s">
        <v>479</v>
      </c>
      <c r="G32" s="174" t="s">
        <v>480</v>
      </c>
      <c r="H32" s="174" t="s">
        <v>212</v>
      </c>
      <c r="I32" s="174" t="s">
        <v>481</v>
      </c>
      <c r="J32" s="174" t="s">
        <v>482</v>
      </c>
      <c r="K32" s="175"/>
      <c r="L32" s="175"/>
      <c r="M32" s="175"/>
      <c r="N32" s="175"/>
      <c r="O32" s="175"/>
      <c r="P32" s="175"/>
      <c r="Q32" s="175"/>
      <c r="R32" s="175"/>
      <c r="S32" s="175"/>
      <c r="T32" s="175"/>
      <c r="U32" s="175"/>
      <c r="V32" s="175"/>
      <c r="W32" s="175"/>
      <c r="X32" s="175"/>
      <c r="Y32" s="175"/>
      <c r="Z32" s="175"/>
    </row>
    <row r="33" spans="1:26" x14ac:dyDescent="0.25">
      <c r="A33" s="175" t="s">
        <v>0</v>
      </c>
      <c r="B33" s="175" t="s">
        <v>0</v>
      </c>
      <c r="C33" s="175" t="s">
        <v>0</v>
      </c>
      <c r="D33" s="175" t="s">
        <v>0</v>
      </c>
      <c r="E33" s="175" t="s">
        <v>0</v>
      </c>
      <c r="F33" s="175" t="s">
        <v>0</v>
      </c>
      <c r="G33" s="175" t="s">
        <v>0</v>
      </c>
      <c r="H33" s="175" t="s">
        <v>0</v>
      </c>
      <c r="I33" s="175" t="s">
        <v>0</v>
      </c>
      <c r="J33" s="175" t="s">
        <v>0</v>
      </c>
      <c r="K33" s="175" t="s">
        <v>0</v>
      </c>
      <c r="L33" s="175"/>
      <c r="M33" s="175"/>
      <c r="N33" s="175"/>
      <c r="O33" s="175"/>
      <c r="P33" s="175"/>
      <c r="Q33" s="175"/>
      <c r="R33" s="175"/>
      <c r="S33" s="175"/>
      <c r="T33" s="175"/>
      <c r="U33" s="175"/>
      <c r="V33" s="175"/>
      <c r="W33" s="175"/>
      <c r="X33" s="175"/>
      <c r="Y33" s="175"/>
      <c r="Z33" s="175"/>
    </row>
    <row r="37" spans="1:26" x14ac:dyDescent="0.25">
      <c r="A37" s="18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5" customWidth="1"/>
    <col min="2" max="2" width="25.5703125" style="155" customWidth="1"/>
    <col min="3" max="3" width="71.28515625" style="155" customWidth="1"/>
    <col min="4" max="4" width="16.140625" style="155" customWidth="1"/>
    <col min="5" max="5" width="9.42578125" style="155" customWidth="1"/>
    <col min="6" max="6" width="8.7109375" style="155" customWidth="1"/>
    <col min="7" max="7" width="9" style="155" customWidth="1"/>
    <col min="8" max="8" width="8.42578125" style="155" customWidth="1"/>
    <col min="9" max="9" width="33.85546875" style="155" customWidth="1"/>
    <col min="10" max="11" width="19.140625" style="155" customWidth="1"/>
    <col min="12" max="12" width="16" style="155" customWidth="1"/>
    <col min="13" max="13" width="14.85546875" style="155" customWidth="1"/>
    <col min="14" max="14" width="16.28515625" style="155" customWidth="1"/>
    <col min="15" max="16384" width="9.140625" style="155"/>
  </cols>
  <sheetData>
    <row r="1" spans="1:28" s="17" customFormat="1" ht="18.75" customHeight="1" x14ac:dyDescent="0.2">
      <c r="O1" s="29" t="s">
        <v>66</v>
      </c>
    </row>
    <row r="2" spans="1:28" s="17" customFormat="1" ht="18.75" customHeight="1" x14ac:dyDescent="0.3">
      <c r="O2" s="14" t="s">
        <v>8</v>
      </c>
    </row>
    <row r="3" spans="1:28" s="17" customFormat="1" ht="18.75" x14ac:dyDescent="0.3">
      <c r="A3" s="138"/>
      <c r="B3" s="138"/>
      <c r="O3" s="14" t="s">
        <v>65</v>
      </c>
    </row>
    <row r="4" spans="1:28" s="17" customFormat="1" ht="18.75" x14ac:dyDescent="0.3">
      <c r="A4" s="138"/>
      <c r="B4" s="138"/>
      <c r="L4" s="14"/>
    </row>
    <row r="5" spans="1:28" s="17" customFormat="1" ht="15.75" x14ac:dyDescent="0.2">
      <c r="A5" s="352" t="str">
        <f>'1. паспорт местоположение'!A5:C5</f>
        <v>Год раскрытия информации: 2022 год</v>
      </c>
      <c r="B5" s="352"/>
      <c r="C5" s="352"/>
      <c r="D5" s="352"/>
      <c r="E5" s="352"/>
      <c r="F5" s="352"/>
      <c r="G5" s="352"/>
      <c r="H5" s="352"/>
      <c r="I5" s="352"/>
      <c r="J5" s="352"/>
      <c r="K5" s="352"/>
      <c r="L5" s="352"/>
      <c r="M5" s="352"/>
      <c r="N5" s="352"/>
      <c r="O5" s="352"/>
      <c r="P5" s="108"/>
      <c r="Q5" s="108"/>
      <c r="R5" s="108"/>
      <c r="S5" s="108"/>
      <c r="T5" s="108"/>
      <c r="U5" s="108"/>
      <c r="V5" s="108"/>
      <c r="W5" s="108"/>
      <c r="X5" s="108"/>
      <c r="Y5" s="108"/>
      <c r="Z5" s="108"/>
      <c r="AA5" s="108"/>
      <c r="AB5" s="108"/>
    </row>
    <row r="6" spans="1:28" s="17" customFormat="1" ht="18.75" x14ac:dyDescent="0.3">
      <c r="A6" s="138"/>
      <c r="B6" s="138"/>
      <c r="L6" s="14"/>
    </row>
    <row r="7" spans="1:28" s="17" customFormat="1" ht="18.75" x14ac:dyDescent="0.2">
      <c r="A7" s="363" t="s">
        <v>7</v>
      </c>
      <c r="B7" s="363"/>
      <c r="C7" s="363"/>
      <c r="D7" s="363"/>
      <c r="E7" s="363"/>
      <c r="F7" s="363"/>
      <c r="G7" s="363"/>
      <c r="H7" s="363"/>
      <c r="I7" s="363"/>
      <c r="J7" s="363"/>
      <c r="K7" s="363"/>
      <c r="L7" s="363"/>
      <c r="M7" s="363"/>
      <c r="N7" s="363"/>
      <c r="O7" s="363"/>
      <c r="P7" s="141"/>
      <c r="Q7" s="141"/>
      <c r="R7" s="141"/>
      <c r="S7" s="141"/>
      <c r="T7" s="141"/>
      <c r="U7" s="141"/>
      <c r="V7" s="141"/>
      <c r="W7" s="141"/>
      <c r="X7" s="141"/>
      <c r="Y7" s="141"/>
      <c r="Z7" s="141"/>
    </row>
    <row r="8" spans="1:28" s="17" customFormat="1" ht="18.75" x14ac:dyDescent="0.2">
      <c r="A8" s="363"/>
      <c r="B8" s="363"/>
      <c r="C8" s="363"/>
      <c r="D8" s="363"/>
      <c r="E8" s="363"/>
      <c r="F8" s="363"/>
      <c r="G8" s="363"/>
      <c r="H8" s="363"/>
      <c r="I8" s="363"/>
      <c r="J8" s="363"/>
      <c r="K8" s="363"/>
      <c r="L8" s="363"/>
      <c r="M8" s="363"/>
      <c r="N8" s="363"/>
      <c r="O8" s="363"/>
      <c r="P8" s="141"/>
      <c r="Q8" s="141"/>
      <c r="R8" s="141"/>
      <c r="S8" s="141"/>
      <c r="T8" s="141"/>
      <c r="U8" s="141"/>
      <c r="V8" s="141"/>
      <c r="W8" s="141"/>
      <c r="X8" s="141"/>
      <c r="Y8" s="141"/>
      <c r="Z8" s="141"/>
    </row>
    <row r="9" spans="1:28" s="17" customFormat="1" ht="18.75" x14ac:dyDescent="0.2">
      <c r="A9" s="358" t="str">
        <f>'1. паспорт местоположение'!A9:C9</f>
        <v xml:space="preserve">Акционерное общество "Западная энергетическая компания" </v>
      </c>
      <c r="B9" s="358"/>
      <c r="C9" s="358"/>
      <c r="D9" s="358"/>
      <c r="E9" s="358"/>
      <c r="F9" s="358"/>
      <c r="G9" s="358"/>
      <c r="H9" s="358"/>
      <c r="I9" s="358"/>
      <c r="J9" s="358"/>
      <c r="K9" s="358"/>
      <c r="L9" s="358"/>
      <c r="M9" s="358"/>
      <c r="N9" s="358"/>
      <c r="O9" s="358"/>
      <c r="P9" s="141"/>
      <c r="Q9" s="141"/>
      <c r="R9" s="141"/>
      <c r="S9" s="141"/>
      <c r="T9" s="141"/>
      <c r="U9" s="141"/>
      <c r="V9" s="141"/>
      <c r="W9" s="141"/>
      <c r="X9" s="141"/>
      <c r="Y9" s="141"/>
      <c r="Z9" s="141"/>
    </row>
    <row r="10" spans="1:28" s="17" customFormat="1" ht="18.75" x14ac:dyDescent="0.2">
      <c r="A10" s="359" t="s">
        <v>6</v>
      </c>
      <c r="B10" s="359"/>
      <c r="C10" s="359"/>
      <c r="D10" s="359"/>
      <c r="E10" s="359"/>
      <c r="F10" s="359"/>
      <c r="G10" s="359"/>
      <c r="H10" s="359"/>
      <c r="I10" s="359"/>
      <c r="J10" s="359"/>
      <c r="K10" s="359"/>
      <c r="L10" s="359"/>
      <c r="M10" s="359"/>
      <c r="N10" s="359"/>
      <c r="O10" s="359"/>
      <c r="P10" s="141"/>
      <c r="Q10" s="141"/>
      <c r="R10" s="141"/>
      <c r="S10" s="141"/>
      <c r="T10" s="141"/>
      <c r="U10" s="141"/>
      <c r="V10" s="141"/>
      <c r="W10" s="141"/>
      <c r="X10" s="141"/>
      <c r="Y10" s="141"/>
      <c r="Z10" s="141"/>
    </row>
    <row r="11" spans="1:28" s="17" customFormat="1" ht="18.75" x14ac:dyDescent="0.2">
      <c r="A11" s="363"/>
      <c r="B11" s="363"/>
      <c r="C11" s="363"/>
      <c r="D11" s="363"/>
      <c r="E11" s="363"/>
      <c r="F11" s="363"/>
      <c r="G11" s="363"/>
      <c r="H11" s="363"/>
      <c r="I11" s="363"/>
      <c r="J11" s="363"/>
      <c r="K11" s="363"/>
      <c r="L11" s="363"/>
      <c r="M11" s="363"/>
      <c r="N11" s="363"/>
      <c r="O11" s="363"/>
      <c r="P11" s="141"/>
      <c r="Q11" s="141"/>
      <c r="R11" s="141"/>
      <c r="S11" s="141"/>
      <c r="T11" s="141"/>
      <c r="U11" s="141"/>
      <c r="V11" s="141"/>
      <c r="W11" s="141"/>
      <c r="X11" s="141"/>
      <c r="Y11" s="141"/>
      <c r="Z11" s="141"/>
    </row>
    <row r="12" spans="1:28" s="17" customFormat="1" ht="18.75" x14ac:dyDescent="0.2">
      <c r="A12" s="358" t="str">
        <f>'1. паспорт местоположение'!A12:C12</f>
        <v>J 19-10</v>
      </c>
      <c r="B12" s="358"/>
      <c r="C12" s="358"/>
      <c r="D12" s="358"/>
      <c r="E12" s="358"/>
      <c r="F12" s="358"/>
      <c r="G12" s="358"/>
      <c r="H12" s="358"/>
      <c r="I12" s="358"/>
      <c r="J12" s="358"/>
      <c r="K12" s="358"/>
      <c r="L12" s="358"/>
      <c r="M12" s="358"/>
      <c r="N12" s="358"/>
      <c r="O12" s="358"/>
      <c r="P12" s="141"/>
      <c r="Q12" s="141"/>
      <c r="R12" s="141"/>
      <c r="S12" s="141"/>
      <c r="T12" s="141"/>
      <c r="U12" s="141"/>
      <c r="V12" s="141"/>
      <c r="W12" s="141"/>
      <c r="X12" s="141"/>
      <c r="Y12" s="141"/>
      <c r="Z12" s="141"/>
    </row>
    <row r="13" spans="1:28" s="17" customFormat="1" ht="18.75" x14ac:dyDescent="0.2">
      <c r="A13" s="359" t="s">
        <v>5</v>
      </c>
      <c r="B13" s="359"/>
      <c r="C13" s="359"/>
      <c r="D13" s="359"/>
      <c r="E13" s="359"/>
      <c r="F13" s="359"/>
      <c r="G13" s="359"/>
      <c r="H13" s="359"/>
      <c r="I13" s="359"/>
      <c r="J13" s="359"/>
      <c r="K13" s="359"/>
      <c r="L13" s="359"/>
      <c r="M13" s="359"/>
      <c r="N13" s="359"/>
      <c r="O13" s="359"/>
      <c r="P13" s="141"/>
      <c r="Q13" s="141"/>
      <c r="R13" s="141"/>
      <c r="S13" s="141"/>
      <c r="T13" s="141"/>
      <c r="U13" s="141"/>
      <c r="V13" s="141"/>
      <c r="W13" s="141"/>
      <c r="X13" s="141"/>
      <c r="Y13" s="141"/>
      <c r="Z13" s="141"/>
    </row>
    <row r="14" spans="1:28" s="139" customFormat="1" ht="15.75" customHeight="1" x14ac:dyDescent="0.2">
      <c r="A14" s="364"/>
      <c r="B14" s="364"/>
      <c r="C14" s="364"/>
      <c r="D14" s="364"/>
      <c r="E14" s="364"/>
      <c r="F14" s="364"/>
      <c r="G14" s="364"/>
      <c r="H14" s="364"/>
      <c r="I14" s="364"/>
      <c r="J14" s="364"/>
      <c r="K14" s="364"/>
      <c r="L14" s="364"/>
      <c r="M14" s="364"/>
      <c r="N14" s="364"/>
      <c r="O14" s="364"/>
      <c r="P14" s="142"/>
      <c r="Q14" s="142"/>
      <c r="R14" s="142"/>
      <c r="S14" s="142"/>
      <c r="T14" s="142"/>
      <c r="U14" s="142"/>
      <c r="V14" s="142"/>
      <c r="W14" s="142"/>
      <c r="X14" s="142"/>
      <c r="Y14" s="142"/>
      <c r="Z14" s="142"/>
    </row>
    <row r="15" spans="1:28" s="140" customFormat="1" ht="15.75" x14ac:dyDescent="0.2">
      <c r="A15" s="358" t="str">
        <f>'1. паспорт местоположение'!A15:C15</f>
        <v>Реконструкция ТП-12 15/0,4кВ п.Южный, Багратионовского р-на</v>
      </c>
      <c r="B15" s="358"/>
      <c r="C15" s="358"/>
      <c r="D15" s="358"/>
      <c r="E15" s="358"/>
      <c r="F15" s="358"/>
      <c r="G15" s="358"/>
      <c r="H15" s="358"/>
      <c r="I15" s="358"/>
      <c r="J15" s="358"/>
      <c r="K15" s="358"/>
      <c r="L15" s="358"/>
      <c r="M15" s="358"/>
      <c r="N15" s="358"/>
      <c r="O15" s="358"/>
      <c r="P15" s="143"/>
      <c r="Q15" s="143"/>
      <c r="R15" s="143"/>
      <c r="S15" s="143"/>
      <c r="T15" s="143"/>
      <c r="U15" s="143"/>
      <c r="V15" s="143"/>
      <c r="W15" s="143"/>
      <c r="X15" s="143"/>
      <c r="Y15" s="143"/>
      <c r="Z15" s="143"/>
    </row>
    <row r="16" spans="1:28" s="140" customFormat="1" ht="15" customHeight="1" x14ac:dyDescent="0.2">
      <c r="A16" s="359" t="s">
        <v>4</v>
      </c>
      <c r="B16" s="359"/>
      <c r="C16" s="359"/>
      <c r="D16" s="359"/>
      <c r="E16" s="359"/>
      <c r="F16" s="359"/>
      <c r="G16" s="359"/>
      <c r="H16" s="359"/>
      <c r="I16" s="359"/>
      <c r="J16" s="359"/>
      <c r="K16" s="359"/>
      <c r="L16" s="359"/>
      <c r="M16" s="359"/>
      <c r="N16" s="359"/>
      <c r="O16" s="359"/>
      <c r="P16" s="144"/>
      <c r="Q16" s="144"/>
      <c r="R16" s="144"/>
      <c r="S16" s="144"/>
      <c r="T16" s="144"/>
      <c r="U16" s="144"/>
      <c r="V16" s="144"/>
      <c r="W16" s="144"/>
      <c r="X16" s="144"/>
      <c r="Y16" s="144"/>
      <c r="Z16" s="144"/>
    </row>
    <row r="17" spans="1:26" s="140" customFormat="1" ht="15" customHeight="1" x14ac:dyDescent="0.2">
      <c r="A17" s="360"/>
      <c r="B17" s="360"/>
      <c r="C17" s="360"/>
      <c r="D17" s="360"/>
      <c r="E17" s="360"/>
      <c r="F17" s="360"/>
      <c r="G17" s="360"/>
      <c r="H17" s="360"/>
      <c r="I17" s="360"/>
      <c r="J17" s="360"/>
      <c r="K17" s="360"/>
      <c r="L17" s="360"/>
      <c r="M17" s="360"/>
      <c r="N17" s="360"/>
      <c r="O17" s="360"/>
      <c r="P17" s="145"/>
      <c r="Q17" s="145"/>
      <c r="R17" s="145"/>
      <c r="S17" s="145"/>
      <c r="T17" s="145"/>
      <c r="U17" s="145"/>
      <c r="V17" s="145"/>
      <c r="W17" s="145"/>
    </row>
    <row r="18" spans="1:26" s="140" customFormat="1" ht="91.5" customHeight="1" x14ac:dyDescent="0.2">
      <c r="A18" s="404" t="s">
        <v>390</v>
      </c>
      <c r="B18" s="404"/>
      <c r="C18" s="404"/>
      <c r="D18" s="404"/>
      <c r="E18" s="404"/>
      <c r="F18" s="404"/>
      <c r="G18" s="404"/>
      <c r="H18" s="404"/>
      <c r="I18" s="404"/>
      <c r="J18" s="404"/>
      <c r="K18" s="404"/>
      <c r="L18" s="404"/>
      <c r="M18" s="404"/>
      <c r="N18" s="404"/>
      <c r="O18" s="404"/>
      <c r="P18" s="146"/>
      <c r="Q18" s="146"/>
      <c r="R18" s="146"/>
      <c r="S18" s="146"/>
      <c r="T18" s="146"/>
      <c r="U18" s="146"/>
      <c r="V18" s="146"/>
      <c r="W18" s="146"/>
      <c r="X18" s="146"/>
      <c r="Y18" s="146"/>
      <c r="Z18" s="146"/>
    </row>
    <row r="19" spans="1:26" s="140" customFormat="1" ht="78" customHeight="1" x14ac:dyDescent="0.2">
      <c r="A19" s="400" t="s">
        <v>3</v>
      </c>
      <c r="B19" s="400" t="s">
        <v>82</v>
      </c>
      <c r="C19" s="400" t="s">
        <v>81</v>
      </c>
      <c r="D19" s="400" t="s">
        <v>73</v>
      </c>
      <c r="E19" s="401" t="s">
        <v>80</v>
      </c>
      <c r="F19" s="402"/>
      <c r="G19" s="402"/>
      <c r="H19" s="402"/>
      <c r="I19" s="403"/>
      <c r="J19" s="400" t="s">
        <v>79</v>
      </c>
      <c r="K19" s="400"/>
      <c r="L19" s="400"/>
      <c r="M19" s="400"/>
      <c r="N19" s="400"/>
      <c r="O19" s="400"/>
      <c r="P19" s="145"/>
      <c r="Q19" s="145"/>
      <c r="R19" s="145"/>
      <c r="S19" s="145"/>
      <c r="T19" s="145"/>
      <c r="U19" s="145"/>
      <c r="V19" s="145"/>
      <c r="W19" s="145"/>
    </row>
    <row r="20" spans="1:26" s="140" customFormat="1" ht="51" customHeight="1" x14ac:dyDescent="0.2">
      <c r="A20" s="400"/>
      <c r="B20" s="400"/>
      <c r="C20" s="400"/>
      <c r="D20" s="400"/>
      <c r="E20" s="223" t="s">
        <v>78</v>
      </c>
      <c r="F20" s="223" t="s">
        <v>77</v>
      </c>
      <c r="G20" s="223" t="s">
        <v>76</v>
      </c>
      <c r="H20" s="223" t="s">
        <v>75</v>
      </c>
      <c r="I20" s="223" t="s">
        <v>74</v>
      </c>
      <c r="J20" s="223">
        <v>2018</v>
      </c>
      <c r="K20" s="223">
        <v>2019</v>
      </c>
      <c r="L20" s="223">
        <v>2020</v>
      </c>
      <c r="M20" s="223">
        <v>2021</v>
      </c>
      <c r="N20" s="223">
        <v>2022</v>
      </c>
      <c r="O20" s="223">
        <v>2023</v>
      </c>
      <c r="P20" s="149"/>
      <c r="Q20" s="149"/>
      <c r="R20" s="149"/>
      <c r="S20" s="149"/>
      <c r="T20" s="149"/>
      <c r="U20" s="149"/>
      <c r="V20" s="149"/>
      <c r="W20" s="149"/>
      <c r="X20" s="150"/>
      <c r="Y20" s="150"/>
      <c r="Z20" s="150"/>
    </row>
    <row r="21" spans="1:26" s="140"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9"/>
      <c r="Q21" s="149"/>
      <c r="R21" s="149"/>
      <c r="S21" s="149"/>
      <c r="T21" s="149"/>
      <c r="U21" s="149"/>
      <c r="V21" s="149"/>
      <c r="W21" s="149"/>
      <c r="X21" s="150"/>
      <c r="Y21" s="150"/>
      <c r="Z21" s="150"/>
    </row>
    <row r="22" spans="1:26" s="140" customFormat="1" ht="18.75" x14ac:dyDescent="0.2">
      <c r="A22" s="224" t="s">
        <v>62</v>
      </c>
      <c r="B22" s="225" t="s">
        <v>543</v>
      </c>
      <c r="C22" s="226">
        <v>0</v>
      </c>
      <c r="D22" s="226">
        <v>0</v>
      </c>
      <c r="E22" s="226">
        <v>0</v>
      </c>
      <c r="F22" s="226">
        <v>0</v>
      </c>
      <c r="G22" s="226">
        <v>0</v>
      </c>
      <c r="H22" s="226">
        <v>0</v>
      </c>
      <c r="I22" s="226">
        <v>0</v>
      </c>
      <c r="J22" s="227">
        <v>0</v>
      </c>
      <c r="K22" s="227">
        <v>0</v>
      </c>
      <c r="L22" s="228">
        <v>0</v>
      </c>
      <c r="M22" s="228">
        <v>0</v>
      </c>
      <c r="N22" s="228">
        <v>0</v>
      </c>
      <c r="O22" s="228">
        <v>0</v>
      </c>
      <c r="P22" s="149"/>
      <c r="Q22" s="149"/>
      <c r="R22" s="149"/>
      <c r="S22" s="149"/>
      <c r="T22" s="149"/>
      <c r="U22" s="149"/>
      <c r="V22" s="150"/>
      <c r="W22" s="150"/>
      <c r="X22" s="150"/>
      <c r="Y22" s="150"/>
      <c r="Z22" s="150"/>
    </row>
    <row r="23" spans="1:26"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row>
    <row r="24" spans="1:26" x14ac:dyDescent="0.25">
      <c r="A24" s="154"/>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row>
    <row r="25" spans="1:26" x14ac:dyDescent="0.25">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row>
    <row r="26" spans="1:26" x14ac:dyDescent="0.25">
      <c r="A26" s="154"/>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row>
    <row r="27" spans="1:26" x14ac:dyDescent="0.25">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row>
    <row r="28" spans="1:26" x14ac:dyDescent="0.25">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row>
    <row r="29" spans="1:26" x14ac:dyDescent="0.25">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row>
    <row r="30" spans="1:26"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row>
    <row r="31" spans="1:26"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row>
    <row r="32" spans="1:26"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row>
    <row r="33" spans="1:26"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row>
    <row r="34" spans="1:26"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row>
    <row r="35" spans="1:26"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row>
    <row r="36" spans="1:26"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row>
    <row r="37" spans="1:26"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row>
    <row r="38" spans="1:26"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row>
    <row r="39" spans="1:26"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row>
    <row r="40" spans="1:26"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row>
    <row r="41" spans="1:26"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row>
    <row r="42" spans="1:26"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row>
    <row r="43" spans="1:26"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row>
    <row r="44" spans="1:26"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row>
    <row r="45" spans="1:26"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row>
    <row r="46" spans="1:26"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row>
    <row r="47" spans="1:26"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row>
    <row r="48" spans="1:26"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row>
    <row r="49" spans="1:26"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row>
    <row r="50" spans="1:26"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row>
    <row r="51" spans="1:26"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row>
    <row r="52" spans="1:26"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row>
    <row r="53" spans="1:26"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row>
    <row r="54" spans="1:26"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row>
    <row r="55" spans="1:26"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row>
    <row r="56" spans="1:26"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row>
    <row r="57" spans="1:26"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row>
    <row r="58" spans="1:26"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row>
    <row r="59" spans="1:26"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row>
    <row r="60" spans="1:26"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row>
    <row r="61" spans="1:26"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row>
    <row r="62" spans="1:26"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row>
    <row r="63" spans="1:26"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row>
    <row r="64" spans="1:26"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row>
    <row r="65" spans="1:26"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row>
    <row r="66" spans="1:26"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row>
    <row r="67" spans="1:26"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row>
    <row r="68" spans="1:26"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row>
    <row r="69" spans="1:26"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row>
    <row r="70" spans="1:26"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row>
    <row r="71" spans="1:26"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row>
    <row r="72" spans="1:26"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row>
    <row r="73" spans="1:26"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row>
    <row r="74" spans="1:26"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row>
    <row r="75" spans="1:26"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row>
    <row r="76" spans="1:26"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row>
    <row r="77" spans="1:26"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row>
    <row r="78" spans="1:26"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row>
    <row r="79" spans="1:26"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row>
    <row r="80" spans="1:26"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row>
    <row r="81" spans="1:26"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row>
    <row r="82" spans="1:26"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row>
    <row r="83" spans="1:26"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row>
    <row r="84" spans="1:26"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row>
    <row r="85" spans="1:26"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row>
    <row r="86" spans="1:26"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row>
    <row r="87" spans="1:26"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row>
    <row r="88" spans="1:26"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row>
    <row r="89" spans="1:26"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row>
    <row r="90" spans="1:26"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row>
    <row r="91" spans="1:26"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row>
    <row r="92" spans="1:26"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row>
    <row r="93" spans="1:26"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row>
    <row r="94" spans="1:26"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row>
    <row r="95" spans="1:26"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row>
    <row r="96" spans="1:26"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row>
    <row r="97" spans="1:26"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row>
    <row r="98" spans="1:26"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row>
    <row r="99" spans="1:26"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row>
    <row r="100" spans="1:26"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row>
    <row r="101" spans="1:26"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row>
    <row r="102" spans="1:26"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row>
    <row r="103" spans="1:26"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row>
    <row r="104" spans="1:26"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row>
    <row r="105" spans="1:26"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row>
    <row r="106" spans="1:26"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row>
    <row r="107" spans="1:26"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row>
    <row r="108" spans="1:26"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row>
    <row r="109" spans="1:26"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row>
    <row r="110" spans="1:26"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row>
    <row r="111" spans="1:26"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row>
    <row r="112" spans="1:26"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row>
    <row r="113" spans="1:26"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row>
    <row r="114" spans="1:26"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row>
    <row r="115" spans="1:26"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row>
    <row r="116" spans="1:26"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row>
    <row r="117" spans="1:26"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row>
    <row r="118" spans="1:26"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row>
    <row r="119" spans="1:26"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row>
    <row r="120" spans="1:26"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row>
    <row r="121" spans="1:26"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row>
    <row r="122" spans="1:26"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row>
    <row r="123" spans="1:26"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row>
    <row r="124" spans="1:26"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row>
    <row r="125" spans="1:26"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row>
    <row r="126" spans="1:26"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row>
    <row r="127" spans="1:26"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row>
    <row r="128" spans="1:26"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row>
    <row r="129" spans="1:26"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row>
    <row r="130" spans="1:26"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row>
    <row r="131" spans="1:26"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row>
    <row r="132" spans="1:26"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row>
    <row r="133" spans="1:26"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row>
    <row r="134" spans="1:26"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row>
    <row r="135" spans="1:26"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row>
    <row r="136" spans="1:26"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row>
    <row r="137" spans="1:26"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row>
    <row r="138" spans="1:26"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row>
    <row r="139" spans="1:26"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row>
    <row r="140" spans="1:26"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row>
    <row r="141" spans="1:26"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row>
    <row r="142" spans="1:26"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row>
    <row r="143" spans="1:26"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row>
    <row r="144" spans="1:26"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row>
    <row r="145" spans="1:26"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row>
    <row r="146" spans="1:26"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row>
    <row r="147" spans="1:26"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row>
    <row r="148" spans="1:26"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row>
    <row r="149" spans="1:26"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row>
    <row r="150" spans="1:26"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row>
    <row r="151" spans="1:26"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row>
    <row r="152" spans="1:26"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row>
    <row r="153" spans="1:26"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row>
    <row r="154" spans="1:26"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row>
    <row r="155" spans="1:26"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row>
    <row r="156" spans="1:26"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row>
    <row r="157" spans="1:26"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row>
    <row r="158" spans="1:26"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row>
    <row r="159" spans="1:26"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row>
    <row r="160" spans="1:26"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row>
    <row r="161" spans="1:26"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row>
    <row r="162" spans="1:26"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row>
    <row r="163" spans="1:26"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row>
    <row r="164" spans="1:26"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row>
    <row r="165" spans="1:26"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row>
    <row r="166" spans="1:26"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row>
    <row r="167" spans="1:26"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row>
    <row r="168" spans="1:26"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row>
    <row r="169" spans="1:26"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row>
    <row r="170" spans="1:26"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row>
    <row r="171" spans="1:26"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row>
    <row r="172" spans="1:26"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row>
    <row r="173" spans="1:26"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row>
    <row r="174" spans="1:26"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row>
    <row r="175" spans="1:26"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row>
    <row r="176" spans="1:26"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row>
    <row r="177" spans="1:26"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row>
    <row r="178" spans="1:26"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row>
    <row r="179" spans="1:26"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row>
    <row r="180" spans="1:26"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row>
    <row r="181" spans="1:26"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row>
    <row r="182" spans="1:26"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row>
    <row r="183" spans="1:26"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row>
    <row r="184" spans="1:26"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row>
    <row r="185" spans="1:26"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row>
    <row r="186" spans="1:26"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row>
    <row r="187" spans="1:26"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row>
    <row r="188" spans="1:26"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row>
    <row r="189" spans="1:26"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row>
    <row r="190" spans="1:26"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row>
    <row r="191" spans="1:26"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row>
    <row r="192" spans="1:26"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row>
    <row r="193" spans="1:26"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row>
    <row r="194" spans="1:26"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row>
    <row r="195" spans="1:26"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row>
    <row r="196" spans="1:26"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row>
    <row r="197" spans="1:26"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row>
    <row r="198" spans="1:26"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row>
    <row r="199" spans="1:26"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row>
    <row r="200" spans="1:26"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row>
    <row r="201" spans="1:26"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row>
    <row r="202" spans="1:26"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row>
    <row r="203" spans="1:26"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row>
    <row r="204" spans="1:26"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row>
    <row r="205" spans="1:26"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row>
    <row r="206" spans="1:26"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row>
    <row r="207" spans="1:26"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row>
    <row r="208" spans="1:26"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row>
    <row r="209" spans="1:26"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row>
    <row r="210" spans="1:26"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row>
    <row r="211" spans="1:26"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row>
    <row r="212" spans="1:26"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row>
    <row r="213" spans="1:26"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row>
    <row r="214" spans="1:26"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row>
    <row r="215" spans="1:26"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row>
    <row r="216" spans="1:26"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row>
    <row r="217" spans="1:26"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row>
    <row r="218" spans="1:26"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row>
    <row r="219" spans="1:26"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row>
    <row r="220" spans="1:26"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row>
    <row r="221" spans="1:26"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row>
    <row r="222" spans="1:26"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row>
    <row r="223" spans="1:26"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row>
    <row r="224" spans="1:26"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row>
    <row r="225" spans="1:26"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row>
    <row r="226" spans="1:26"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row>
    <row r="227" spans="1:26"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row>
    <row r="228" spans="1:26"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row>
    <row r="229" spans="1:26"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row>
    <row r="230" spans="1:26"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row>
    <row r="231" spans="1:26"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row>
    <row r="232" spans="1:26"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row>
    <row r="233" spans="1:26"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row>
    <row r="234" spans="1:26"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row>
    <row r="235" spans="1:26"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row>
    <row r="236" spans="1:26"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row>
    <row r="237" spans="1:26"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row>
    <row r="238" spans="1:26"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row>
    <row r="239" spans="1:26"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row>
    <row r="240" spans="1:26"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row>
    <row r="241" spans="1:26"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row>
    <row r="242" spans="1:26"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row>
    <row r="243" spans="1:26"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row>
    <row r="244" spans="1:26"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row>
    <row r="245" spans="1:26"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row>
    <row r="246" spans="1:26"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row>
    <row r="247" spans="1:26"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row>
    <row r="248" spans="1:26"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row>
    <row r="249" spans="1:26"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row>
    <row r="250" spans="1:26"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row>
    <row r="251" spans="1:26"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row>
    <row r="252" spans="1:26"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row>
    <row r="253" spans="1:26"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row>
    <row r="254" spans="1:26"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row>
    <row r="255" spans="1:26"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row>
    <row r="256" spans="1:26"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row>
    <row r="257" spans="1:26"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row>
    <row r="258" spans="1:26"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row>
    <row r="259" spans="1:26"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row>
    <row r="260" spans="1:26"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row>
    <row r="261" spans="1:26"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row>
    <row r="262" spans="1:26"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row>
    <row r="263" spans="1:26"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row>
    <row r="264" spans="1:26"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row>
    <row r="265" spans="1:26"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row>
    <row r="266" spans="1:26"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row>
    <row r="267" spans="1:26"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row>
    <row r="268" spans="1:26"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row>
    <row r="269" spans="1:26"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row>
    <row r="270" spans="1:26"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row>
    <row r="271" spans="1:26"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row>
    <row r="272" spans="1:26"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row>
    <row r="273" spans="1:26"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row>
    <row r="274" spans="1:26"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row>
    <row r="275" spans="1:26"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row>
    <row r="276" spans="1:26"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row>
    <row r="277" spans="1:26"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row>
    <row r="278" spans="1:26"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row>
    <row r="279" spans="1:26"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row>
    <row r="280" spans="1:26"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row>
    <row r="281" spans="1:26"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row>
    <row r="282" spans="1:26"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row>
    <row r="283" spans="1:26"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row>
    <row r="284" spans="1:26"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row>
    <row r="285" spans="1:26"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row>
    <row r="286" spans="1:26"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row>
    <row r="287" spans="1:26"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row>
    <row r="288" spans="1:26"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row>
    <row r="289" spans="1:26"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row>
    <row r="290" spans="1:26"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row>
    <row r="291" spans="1:26"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row>
    <row r="292" spans="1:26"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row>
    <row r="293" spans="1:26"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row>
    <row r="294" spans="1:26"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row>
    <row r="295" spans="1:26"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row>
    <row r="296" spans="1:26"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row>
    <row r="297" spans="1:26"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row>
    <row r="298" spans="1:26"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row>
    <row r="299" spans="1:26"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row>
    <row r="300" spans="1:26"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row>
    <row r="301" spans="1:26"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row>
    <row r="302" spans="1:26"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row>
    <row r="303" spans="1:26"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row>
    <row r="304" spans="1:26"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row>
    <row r="305" spans="1:26"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row>
    <row r="306" spans="1:26"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row>
    <row r="307" spans="1:26"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row>
    <row r="308" spans="1:26"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row>
    <row r="309" spans="1:26"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row>
    <row r="310" spans="1:26"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row>
    <row r="311" spans="1:26"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row>
    <row r="312" spans="1:26"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row>
    <row r="313" spans="1:26"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row>
    <row r="314" spans="1:26"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row>
    <row r="315" spans="1:26"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row>
    <row r="316" spans="1:26"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row>
    <row r="317" spans="1:26"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row>
    <row r="318" spans="1:26"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row>
    <row r="319" spans="1:26"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row>
    <row r="320" spans="1:26"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row>
    <row r="321" spans="1:26"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row>
    <row r="322" spans="1:26"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row>
    <row r="323" spans="1:26"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row>
    <row r="324" spans="1:26"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row>
    <row r="325" spans="1:26"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row>
    <row r="326" spans="1:26"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row>
    <row r="327" spans="1:26"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row>
    <row r="328" spans="1:26"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row>
    <row r="329" spans="1:26"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row>
    <row r="330" spans="1:26"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row>
    <row r="331" spans="1:26"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row>
    <row r="332" spans="1:26"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row>
    <row r="333" spans="1:26"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row>
    <row r="334" spans="1:26"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row>
    <row r="335" spans="1:26"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row>
    <row r="336" spans="1:26"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row>
    <row r="337" spans="1:26"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row>
    <row r="338" spans="1:26"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row>
    <row r="339" spans="1:26"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row>
    <row r="340" spans="1:26"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row>
    <row r="341" spans="1:26"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row>
    <row r="342" spans="1:26"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row>
    <row r="343" spans="1:26"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row>
    <row r="344" spans="1:26"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row>
    <row r="345" spans="1:26"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row>
    <row r="346" spans="1:26"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row>
    <row r="347" spans="1:26"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row>
    <row r="348" spans="1:26"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row>
    <row r="349" spans="1:26"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row>
    <row r="350" spans="1:26"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row>
    <row r="351" spans="1:26"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row>
    <row r="352" spans="1:26"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row>
    <row r="353" spans="1:26"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row>
    <row r="354" spans="1:26"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row>
    <row r="355" spans="1:26"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row>
    <row r="356" spans="1:26"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row>
    <row r="357" spans="1:26"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row>
    <row r="358" spans="1:26"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row>
    <row r="359" spans="1:26"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row>
    <row r="360" spans="1:26"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56" workbookViewId="0">
      <selection activeCell="E56" sqref="E56"/>
    </sheetView>
  </sheetViews>
  <sheetFormatPr defaultRowHeight="12.75" x14ac:dyDescent="0.2"/>
  <cols>
    <col min="1" max="1" width="66.140625" style="262" customWidth="1"/>
    <col min="2" max="2" width="17.140625" style="262" customWidth="1"/>
    <col min="3" max="3" width="13.85546875" style="262" customWidth="1"/>
    <col min="4" max="5" width="13.5703125" style="262" customWidth="1"/>
    <col min="6" max="6" width="14.5703125" style="262" customWidth="1"/>
    <col min="7" max="7" width="13.42578125" style="262" customWidth="1"/>
    <col min="8" max="12" width="15.42578125" style="262" customWidth="1"/>
    <col min="13" max="13" width="15.42578125" style="262" hidden="1" customWidth="1"/>
    <col min="14" max="14" width="15.42578125" style="335" hidden="1" customWidth="1"/>
    <col min="15" max="19" width="15.42578125" style="262" hidden="1" customWidth="1"/>
    <col min="20" max="29" width="17.28515625" style="262" hidden="1" customWidth="1"/>
    <col min="30" max="31" width="17.28515625" style="252" hidden="1" customWidth="1"/>
    <col min="32" max="32" width="0" style="252" hidden="1" customWidth="1"/>
    <col min="33" max="16384" width="9.140625" style="252"/>
  </cols>
  <sheetData>
    <row r="1" spans="1:45" x14ac:dyDescent="0.2">
      <c r="A1" s="249"/>
      <c r="B1" s="250"/>
      <c r="C1" s="250"/>
      <c r="D1" s="250"/>
      <c r="E1" s="250"/>
      <c r="F1" s="250"/>
      <c r="G1" s="250"/>
      <c r="H1" s="250"/>
      <c r="I1" s="250"/>
      <c r="J1" s="250"/>
      <c r="K1" s="251"/>
      <c r="L1" s="250"/>
      <c r="M1" s="250"/>
      <c r="N1" s="250"/>
      <c r="O1" s="250"/>
      <c r="P1" s="251" t="s">
        <v>66</v>
      </c>
      <c r="Q1" s="250"/>
      <c r="R1" s="250"/>
      <c r="S1" s="250"/>
      <c r="T1" s="250"/>
      <c r="U1" s="250"/>
      <c r="V1" s="250"/>
      <c r="W1" s="250"/>
      <c r="X1" s="250"/>
      <c r="Y1" s="250"/>
      <c r="Z1" s="250"/>
      <c r="AA1" s="250"/>
      <c r="AB1" s="250"/>
      <c r="AC1" s="250"/>
      <c r="AD1" s="250"/>
      <c r="AE1" s="250"/>
      <c r="AF1" s="250"/>
      <c r="AG1" s="250"/>
      <c r="AH1" s="250"/>
      <c r="AI1" s="250"/>
      <c r="AJ1" s="250"/>
      <c r="AK1" s="250"/>
      <c r="AL1" s="250"/>
      <c r="AM1" s="250"/>
      <c r="AN1" s="250"/>
      <c r="AP1" s="253"/>
      <c r="AQ1" s="253"/>
      <c r="AR1" s="254"/>
      <c r="AS1" s="254"/>
    </row>
    <row r="2" spans="1:45" x14ac:dyDescent="0.2">
      <c r="A2" s="249"/>
      <c r="B2" s="250"/>
      <c r="C2" s="250"/>
      <c r="D2" s="250"/>
      <c r="E2" s="250"/>
      <c r="F2" s="250"/>
      <c r="G2" s="250"/>
      <c r="H2" s="250"/>
      <c r="I2" s="250"/>
      <c r="J2" s="250"/>
      <c r="K2" s="255"/>
      <c r="L2" s="250"/>
      <c r="M2" s="250"/>
      <c r="N2" s="250"/>
      <c r="O2" s="250"/>
      <c r="P2" s="255" t="s">
        <v>8</v>
      </c>
      <c r="Q2" s="250"/>
      <c r="R2" s="250"/>
      <c r="S2" s="250"/>
      <c r="T2" s="250"/>
      <c r="U2" s="250"/>
      <c r="V2" s="250"/>
      <c r="W2" s="250"/>
      <c r="X2" s="250"/>
      <c r="Y2" s="250"/>
      <c r="Z2" s="250"/>
      <c r="AA2" s="250"/>
      <c r="AB2" s="250"/>
      <c r="AC2" s="250"/>
      <c r="AD2" s="250"/>
      <c r="AE2" s="250"/>
      <c r="AF2" s="250"/>
      <c r="AG2" s="250"/>
      <c r="AH2" s="250"/>
      <c r="AI2" s="250"/>
      <c r="AJ2" s="250"/>
      <c r="AK2" s="250"/>
      <c r="AL2" s="250"/>
      <c r="AM2" s="250"/>
      <c r="AN2" s="250"/>
      <c r="AP2" s="253"/>
      <c r="AQ2" s="253"/>
      <c r="AR2" s="254"/>
      <c r="AS2" s="254"/>
    </row>
    <row r="3" spans="1:45" x14ac:dyDescent="0.2">
      <c r="A3" s="256"/>
      <c r="B3" s="250"/>
      <c r="C3" s="250"/>
      <c r="D3" s="250"/>
      <c r="E3" s="250"/>
      <c r="F3" s="250"/>
      <c r="G3" s="250"/>
      <c r="H3" s="250"/>
      <c r="I3" s="250"/>
      <c r="J3" s="250"/>
      <c r="K3" s="255"/>
      <c r="L3" s="250"/>
      <c r="M3" s="250"/>
      <c r="N3" s="250"/>
      <c r="O3" s="250"/>
      <c r="P3" s="255" t="s">
        <v>441</v>
      </c>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P3" s="253"/>
      <c r="AQ3" s="253"/>
      <c r="AR3" s="254"/>
      <c r="AS3" s="254"/>
    </row>
    <row r="4" spans="1:45" x14ac:dyDescent="0.2">
      <c r="A4" s="257"/>
      <c r="B4" s="249"/>
      <c r="C4" s="249"/>
      <c r="D4" s="249"/>
      <c r="E4" s="249"/>
      <c r="F4" s="249"/>
      <c r="G4" s="249"/>
      <c r="H4" s="249"/>
      <c r="I4" s="249"/>
      <c r="J4" s="249"/>
      <c r="K4" s="255"/>
      <c r="L4" s="249"/>
      <c r="M4" s="249"/>
      <c r="N4" s="249"/>
      <c r="O4" s="249"/>
      <c r="P4" s="249"/>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250"/>
      <c r="AP4" s="253"/>
      <c r="AQ4" s="253"/>
      <c r="AR4" s="254"/>
      <c r="AS4" s="254"/>
    </row>
    <row r="5" spans="1:45" x14ac:dyDescent="0.2">
      <c r="A5" s="413" t="str">
        <f>'1. паспорт местоположение'!A5:C5</f>
        <v>Год раскрытия информации: 2022 год</v>
      </c>
      <c r="B5" s="413"/>
      <c r="C5" s="413"/>
      <c r="D5" s="413"/>
      <c r="E5" s="413"/>
      <c r="F5" s="413"/>
      <c r="G5" s="413"/>
      <c r="H5" s="413"/>
      <c r="I5" s="413"/>
      <c r="J5" s="413"/>
      <c r="K5" s="413"/>
      <c r="L5" s="413"/>
      <c r="M5" s="413"/>
      <c r="N5" s="413"/>
      <c r="O5" s="413"/>
      <c r="P5" s="413"/>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3"/>
      <c r="AQ5" s="253"/>
      <c r="AR5" s="254"/>
      <c r="AS5" s="254"/>
    </row>
    <row r="6" spans="1:45" x14ac:dyDescent="0.2">
      <c r="A6" s="257"/>
      <c r="B6" s="249"/>
      <c r="C6" s="249"/>
      <c r="D6" s="249"/>
      <c r="E6" s="249"/>
      <c r="F6" s="249"/>
      <c r="G6" s="249"/>
      <c r="H6" s="249"/>
      <c r="I6" s="249"/>
      <c r="J6" s="249"/>
      <c r="K6" s="255"/>
      <c r="L6" s="249"/>
      <c r="M6" s="249"/>
      <c r="N6" s="249"/>
      <c r="O6" s="249"/>
      <c r="P6" s="249"/>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3"/>
      <c r="AQ6" s="253"/>
      <c r="AR6" s="254"/>
      <c r="AS6" s="254"/>
    </row>
    <row r="7" spans="1:45" x14ac:dyDescent="0.2">
      <c r="A7" s="413" t="s">
        <v>7</v>
      </c>
      <c r="B7" s="413"/>
      <c r="C7" s="413"/>
      <c r="D7" s="413"/>
      <c r="E7" s="413"/>
      <c r="F7" s="413"/>
      <c r="G7" s="413"/>
      <c r="H7" s="413"/>
      <c r="I7" s="413"/>
      <c r="J7" s="413"/>
      <c r="K7" s="413"/>
      <c r="L7" s="413"/>
      <c r="M7" s="413"/>
      <c r="N7" s="413"/>
      <c r="O7" s="413"/>
      <c r="P7" s="413"/>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3"/>
      <c r="AQ7" s="253"/>
      <c r="AR7" s="254"/>
      <c r="AS7" s="254"/>
    </row>
    <row r="8" spans="1:45" x14ac:dyDescent="0.2">
      <c r="A8" s="260"/>
      <c r="B8" s="260"/>
      <c r="C8" s="260"/>
      <c r="D8" s="260"/>
      <c r="E8" s="260"/>
      <c r="F8" s="260"/>
      <c r="G8" s="260"/>
      <c r="H8" s="260"/>
      <c r="I8" s="260"/>
      <c r="J8" s="260"/>
      <c r="K8" s="260"/>
      <c r="L8" s="258"/>
      <c r="M8" s="258"/>
      <c r="N8" s="258"/>
      <c r="O8" s="258"/>
      <c r="P8" s="258"/>
      <c r="Q8" s="259"/>
      <c r="R8" s="259"/>
      <c r="S8" s="259"/>
      <c r="T8" s="259"/>
      <c r="U8" s="259"/>
      <c r="V8" s="259"/>
      <c r="W8" s="259"/>
      <c r="X8" s="259"/>
      <c r="Y8" s="259"/>
      <c r="Z8" s="250"/>
      <c r="AA8" s="250"/>
      <c r="AB8" s="250"/>
      <c r="AC8" s="250"/>
      <c r="AD8" s="250"/>
      <c r="AE8" s="250"/>
      <c r="AF8" s="250"/>
      <c r="AG8" s="250"/>
      <c r="AH8" s="250"/>
      <c r="AI8" s="250"/>
      <c r="AJ8" s="250"/>
      <c r="AK8" s="250"/>
      <c r="AL8" s="250"/>
      <c r="AM8" s="250"/>
      <c r="AN8" s="250"/>
      <c r="AO8" s="250"/>
      <c r="AP8" s="253"/>
      <c r="AQ8" s="253"/>
      <c r="AR8" s="254"/>
      <c r="AS8" s="254"/>
    </row>
    <row r="9" spans="1:45" x14ac:dyDescent="0.2">
      <c r="A9" s="414" t="str">
        <f>'1. паспорт местоположение'!A9:C9</f>
        <v xml:space="preserve">Акционерное общество "Западная энергетическая компания" </v>
      </c>
      <c r="B9" s="414"/>
      <c r="C9" s="414"/>
      <c r="D9" s="414"/>
      <c r="E9" s="414"/>
      <c r="F9" s="414"/>
      <c r="G9" s="414"/>
      <c r="H9" s="414"/>
      <c r="I9" s="414"/>
      <c r="J9" s="414"/>
      <c r="K9" s="414"/>
      <c r="L9" s="414"/>
      <c r="M9" s="414"/>
      <c r="N9" s="414"/>
      <c r="O9" s="414"/>
      <c r="P9" s="414"/>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53"/>
      <c r="AQ9" s="253"/>
      <c r="AR9" s="254"/>
      <c r="AS9" s="254"/>
    </row>
    <row r="10" spans="1:45" x14ac:dyDescent="0.2">
      <c r="A10" s="412" t="s">
        <v>6</v>
      </c>
      <c r="B10" s="412"/>
      <c r="C10" s="412"/>
      <c r="D10" s="412"/>
      <c r="E10" s="412"/>
      <c r="F10" s="412"/>
      <c r="G10" s="412"/>
      <c r="H10" s="412"/>
      <c r="I10" s="412"/>
      <c r="J10" s="412"/>
      <c r="K10" s="412"/>
      <c r="L10" s="412"/>
      <c r="M10" s="412"/>
      <c r="N10" s="412"/>
      <c r="O10" s="412"/>
      <c r="P10" s="412"/>
      <c r="AD10" s="262"/>
      <c r="AE10" s="262"/>
      <c r="AF10" s="262"/>
      <c r="AG10" s="262"/>
      <c r="AH10" s="262"/>
      <c r="AI10" s="262"/>
      <c r="AJ10" s="262"/>
      <c r="AK10" s="262"/>
      <c r="AL10" s="262"/>
      <c r="AM10" s="262"/>
      <c r="AN10" s="262"/>
      <c r="AO10" s="262"/>
      <c r="AP10" s="253"/>
      <c r="AQ10" s="253"/>
      <c r="AR10" s="254"/>
      <c r="AS10" s="254"/>
    </row>
    <row r="11" spans="1:45" x14ac:dyDescent="0.2">
      <c r="A11" s="260"/>
      <c r="B11" s="260"/>
      <c r="C11" s="260"/>
      <c r="D11" s="260"/>
      <c r="E11" s="260"/>
      <c r="F11" s="260"/>
      <c r="G11" s="260"/>
      <c r="H11" s="260"/>
      <c r="I11" s="260"/>
      <c r="J11" s="260"/>
      <c r="K11" s="260"/>
      <c r="L11" s="258"/>
      <c r="M11" s="258"/>
      <c r="N11" s="258"/>
      <c r="O11" s="258"/>
      <c r="P11" s="258"/>
      <c r="Q11" s="259"/>
      <c r="R11" s="259"/>
      <c r="S11" s="259"/>
      <c r="T11" s="259"/>
      <c r="U11" s="259"/>
      <c r="V11" s="259"/>
      <c r="W11" s="259"/>
      <c r="X11" s="259"/>
      <c r="Y11" s="259"/>
      <c r="Z11" s="250"/>
      <c r="AA11" s="250"/>
      <c r="AB11" s="250"/>
      <c r="AC11" s="250"/>
      <c r="AD11" s="250"/>
      <c r="AE11" s="250"/>
      <c r="AF11" s="250"/>
      <c r="AG11" s="250"/>
      <c r="AH11" s="250"/>
      <c r="AI11" s="250"/>
      <c r="AJ11" s="250"/>
      <c r="AK11" s="250"/>
      <c r="AL11" s="250"/>
      <c r="AM11" s="250"/>
      <c r="AN11" s="250"/>
      <c r="AO11" s="250"/>
      <c r="AP11" s="253"/>
      <c r="AQ11" s="253"/>
      <c r="AR11" s="254"/>
      <c r="AS11" s="254"/>
    </row>
    <row r="12" spans="1:45" x14ac:dyDescent="0.2">
      <c r="A12" s="414" t="str">
        <f>'1. паспорт местоположение'!A12:C12</f>
        <v>J 19-10</v>
      </c>
      <c r="B12" s="414"/>
      <c r="C12" s="414"/>
      <c r="D12" s="414"/>
      <c r="E12" s="414"/>
      <c r="F12" s="414"/>
      <c r="G12" s="414"/>
      <c r="H12" s="414"/>
      <c r="I12" s="414"/>
      <c r="J12" s="414"/>
      <c r="K12" s="414"/>
      <c r="L12" s="414"/>
      <c r="M12" s="414"/>
      <c r="N12" s="414"/>
      <c r="O12" s="414"/>
      <c r="P12" s="414"/>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53"/>
      <c r="AQ12" s="253"/>
      <c r="AR12" s="254"/>
      <c r="AS12" s="254"/>
    </row>
    <row r="13" spans="1:45" x14ac:dyDescent="0.2">
      <c r="A13" s="412" t="s">
        <v>5</v>
      </c>
      <c r="B13" s="412"/>
      <c r="C13" s="412"/>
      <c r="D13" s="412"/>
      <c r="E13" s="412"/>
      <c r="F13" s="412"/>
      <c r="G13" s="412"/>
      <c r="H13" s="412"/>
      <c r="I13" s="412"/>
      <c r="J13" s="412"/>
      <c r="K13" s="412"/>
      <c r="L13" s="412"/>
      <c r="M13" s="412"/>
      <c r="N13" s="412"/>
      <c r="O13" s="412"/>
      <c r="P13" s="412"/>
      <c r="AD13" s="262"/>
      <c r="AE13" s="262"/>
      <c r="AF13" s="262"/>
      <c r="AG13" s="262"/>
      <c r="AH13" s="262"/>
      <c r="AI13" s="262"/>
      <c r="AJ13" s="262"/>
      <c r="AK13" s="262"/>
      <c r="AL13" s="262"/>
      <c r="AM13" s="262"/>
      <c r="AN13" s="262"/>
      <c r="AO13" s="262"/>
      <c r="AP13" s="253"/>
      <c r="AQ13" s="253"/>
      <c r="AR13" s="254"/>
      <c r="AS13" s="254"/>
    </row>
    <row r="14" spans="1:45" x14ac:dyDescent="0.2">
      <c r="A14" s="263"/>
      <c r="B14" s="263"/>
      <c r="C14" s="263"/>
      <c r="D14" s="263"/>
      <c r="E14" s="263"/>
      <c r="F14" s="263"/>
      <c r="G14" s="263"/>
      <c r="H14" s="263"/>
      <c r="I14" s="263"/>
      <c r="J14" s="263"/>
      <c r="K14" s="263"/>
      <c r="L14" s="263"/>
      <c r="M14" s="263"/>
      <c r="N14" s="263"/>
      <c r="O14" s="263"/>
      <c r="P14" s="263"/>
      <c r="Q14" s="264"/>
      <c r="R14" s="264"/>
      <c r="S14" s="264"/>
      <c r="T14" s="264"/>
      <c r="U14" s="264"/>
      <c r="V14" s="264"/>
      <c r="W14" s="264"/>
      <c r="X14" s="264"/>
      <c r="Y14" s="264"/>
      <c r="Z14" s="250"/>
      <c r="AA14" s="250"/>
      <c r="AB14" s="250"/>
      <c r="AC14" s="250"/>
      <c r="AD14" s="250"/>
      <c r="AE14" s="250"/>
      <c r="AF14" s="250"/>
      <c r="AG14" s="250"/>
      <c r="AH14" s="250"/>
      <c r="AI14" s="250"/>
      <c r="AJ14" s="250"/>
      <c r="AK14" s="250"/>
      <c r="AL14" s="250"/>
      <c r="AM14" s="250"/>
      <c r="AN14" s="250"/>
      <c r="AO14" s="250"/>
      <c r="AP14" s="253"/>
      <c r="AQ14" s="253"/>
      <c r="AR14" s="254"/>
      <c r="AS14" s="254"/>
    </row>
    <row r="15" spans="1:45" x14ac:dyDescent="0.2">
      <c r="A15" s="409" t="str">
        <f>'1. паспорт местоположение'!A15:C15</f>
        <v>Реконструкция ТП-12 15/0,4кВ п.Южный, Багратионовского р-на</v>
      </c>
      <c r="B15" s="409"/>
      <c r="C15" s="409"/>
      <c r="D15" s="409"/>
      <c r="E15" s="409"/>
      <c r="F15" s="409"/>
      <c r="G15" s="409"/>
      <c r="H15" s="409"/>
      <c r="I15" s="409"/>
      <c r="J15" s="409"/>
      <c r="K15" s="409"/>
      <c r="L15" s="409"/>
      <c r="M15" s="409"/>
      <c r="N15" s="409"/>
      <c r="O15" s="409"/>
      <c r="P15" s="409"/>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53"/>
      <c r="AQ15" s="253"/>
      <c r="AR15" s="254"/>
      <c r="AS15" s="254"/>
    </row>
    <row r="16" spans="1:45" x14ac:dyDescent="0.2">
      <c r="A16" s="410" t="s">
        <v>4</v>
      </c>
      <c r="B16" s="410"/>
      <c r="C16" s="410"/>
      <c r="D16" s="410"/>
      <c r="E16" s="410"/>
      <c r="F16" s="410"/>
      <c r="G16" s="410"/>
      <c r="H16" s="410"/>
      <c r="I16" s="410"/>
      <c r="J16" s="410"/>
      <c r="K16" s="410"/>
      <c r="L16" s="410"/>
      <c r="M16" s="410"/>
      <c r="N16" s="410"/>
      <c r="O16" s="410"/>
      <c r="P16" s="410"/>
      <c r="AD16" s="262"/>
      <c r="AE16" s="262"/>
      <c r="AF16" s="262"/>
      <c r="AG16" s="262"/>
      <c r="AH16" s="262"/>
      <c r="AI16" s="262"/>
      <c r="AJ16" s="262"/>
      <c r="AK16" s="262"/>
      <c r="AL16" s="262"/>
      <c r="AM16" s="262"/>
      <c r="AN16" s="262"/>
      <c r="AO16" s="262"/>
      <c r="AP16" s="253"/>
      <c r="AQ16" s="253"/>
      <c r="AR16" s="254"/>
      <c r="AS16" s="254"/>
    </row>
    <row r="17" spans="1:45" x14ac:dyDescent="0.2">
      <c r="A17" s="264"/>
      <c r="B17" s="264"/>
      <c r="C17" s="264"/>
      <c r="D17" s="264"/>
      <c r="E17" s="264"/>
      <c r="F17" s="264"/>
      <c r="G17" s="264"/>
      <c r="H17" s="264"/>
      <c r="I17" s="264"/>
      <c r="J17" s="264"/>
      <c r="K17" s="264"/>
      <c r="L17" s="264"/>
      <c r="M17" s="264"/>
      <c r="N17" s="264"/>
      <c r="O17" s="264"/>
      <c r="P17" s="264"/>
      <c r="Q17" s="264"/>
      <c r="R17" s="264"/>
      <c r="S17" s="264"/>
      <c r="T17" s="264"/>
      <c r="U17" s="264"/>
      <c r="V17" s="264"/>
      <c r="W17" s="266"/>
      <c r="X17" s="266"/>
      <c r="Y17" s="266"/>
      <c r="Z17" s="266"/>
      <c r="AA17" s="266"/>
      <c r="AB17" s="266"/>
      <c r="AC17" s="266"/>
      <c r="AD17" s="266"/>
      <c r="AE17" s="266"/>
      <c r="AF17" s="266"/>
      <c r="AG17" s="266"/>
      <c r="AH17" s="266"/>
      <c r="AI17" s="266"/>
      <c r="AJ17" s="266"/>
      <c r="AK17" s="266"/>
      <c r="AL17" s="266"/>
      <c r="AM17" s="266"/>
      <c r="AN17" s="266"/>
      <c r="AO17" s="266"/>
      <c r="AP17" s="253"/>
      <c r="AQ17" s="253"/>
      <c r="AR17" s="254"/>
      <c r="AS17" s="254"/>
    </row>
    <row r="18" spans="1:45" x14ac:dyDescent="0.2">
      <c r="A18" s="411" t="s">
        <v>391</v>
      </c>
      <c r="B18" s="411"/>
      <c r="C18" s="411"/>
      <c r="D18" s="411"/>
      <c r="E18" s="411"/>
      <c r="F18" s="411"/>
      <c r="G18" s="411"/>
      <c r="H18" s="411"/>
      <c r="I18" s="411"/>
      <c r="J18" s="411"/>
      <c r="K18" s="411"/>
      <c r="L18" s="411"/>
      <c r="M18" s="411"/>
      <c r="N18" s="411"/>
      <c r="O18" s="411"/>
      <c r="P18" s="41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53"/>
      <c r="AQ18" s="253"/>
      <c r="AR18" s="254"/>
      <c r="AS18" s="254"/>
    </row>
    <row r="19" spans="1:45" x14ac:dyDescent="0.2">
      <c r="A19" s="267"/>
      <c r="B19" s="267"/>
      <c r="C19" s="267"/>
      <c r="D19" s="267"/>
      <c r="E19" s="267"/>
      <c r="F19" s="267"/>
      <c r="G19" s="267"/>
      <c r="H19" s="267"/>
      <c r="I19" s="267"/>
      <c r="J19" s="267"/>
      <c r="K19" s="267"/>
      <c r="L19" s="267"/>
      <c r="M19" s="267"/>
      <c r="N19" s="267"/>
      <c r="O19" s="267"/>
      <c r="P19" s="267"/>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53"/>
      <c r="AQ19" s="253"/>
      <c r="AR19" s="254"/>
      <c r="AS19" s="254"/>
    </row>
    <row r="20" spans="1:45" x14ac:dyDescent="0.2">
      <c r="A20" s="267"/>
      <c r="B20" s="267"/>
      <c r="C20" s="267"/>
      <c r="D20" s="267"/>
      <c r="E20" s="267"/>
      <c r="F20" s="267"/>
      <c r="G20" s="267"/>
      <c r="H20" s="267"/>
      <c r="I20" s="267"/>
      <c r="J20" s="267"/>
      <c r="K20" s="267"/>
      <c r="L20" s="267"/>
      <c r="M20" s="267"/>
      <c r="N20" s="267"/>
      <c r="O20" s="267"/>
      <c r="P20" s="267"/>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53"/>
      <c r="AQ20" s="253"/>
      <c r="AR20" s="254"/>
      <c r="AS20" s="254"/>
    </row>
    <row r="21" spans="1:45" x14ac:dyDescent="0.2">
      <c r="A21" s="268"/>
      <c r="N21" s="262"/>
      <c r="AP21" s="253"/>
      <c r="AQ21" s="253"/>
      <c r="AR21" s="254"/>
      <c r="AS21" s="254"/>
    </row>
    <row r="22" spans="1:45" x14ac:dyDescent="0.2">
      <c r="A22" s="259"/>
      <c r="N22" s="262"/>
      <c r="AP22" s="253"/>
      <c r="AQ22" s="253"/>
      <c r="AR22" s="254"/>
      <c r="AS22" s="254"/>
    </row>
    <row r="23" spans="1:45" ht="13.5" thickBot="1" x14ac:dyDescent="0.25">
      <c r="A23" s="269" t="s">
        <v>288</v>
      </c>
      <c r="B23" s="269" t="s">
        <v>1</v>
      </c>
      <c r="D23" s="270"/>
      <c r="N23" s="262"/>
    </row>
    <row r="24" spans="1:45" ht="15" x14ac:dyDescent="0.2">
      <c r="A24" s="271" t="s">
        <v>427</v>
      </c>
      <c r="B24" s="233">
        <f>'6.2. Паспорт фин осв ввод'!D30*1000000</f>
        <v>6464574.2592519866</v>
      </c>
      <c r="N24" s="262"/>
    </row>
    <row r="25" spans="1:45" x14ac:dyDescent="0.2">
      <c r="A25" s="272" t="s">
        <v>286</v>
      </c>
      <c r="B25" s="273">
        <v>0</v>
      </c>
      <c r="N25" s="262"/>
    </row>
    <row r="26" spans="1:45" x14ac:dyDescent="0.2">
      <c r="A26" s="274" t="s">
        <v>284</v>
      </c>
      <c r="B26" s="273">
        <v>30</v>
      </c>
      <c r="D26" s="259" t="s">
        <v>287</v>
      </c>
      <c r="N26" s="262"/>
    </row>
    <row r="27" spans="1:45" ht="13.5" thickBot="1" x14ac:dyDescent="0.25">
      <c r="A27" s="275" t="s">
        <v>282</v>
      </c>
      <c r="B27" s="276">
        <v>1</v>
      </c>
      <c r="D27" s="405" t="s">
        <v>285</v>
      </c>
      <c r="E27" s="406"/>
      <c r="F27" s="407"/>
      <c r="G27" s="277" t="str">
        <f>IF(SUM(B89:AG89)=0,"не окупается",SUM(B89:AG89))</f>
        <v>не окупается</v>
      </c>
      <c r="H27" s="278"/>
      <c r="N27" s="262"/>
    </row>
    <row r="28" spans="1:45" ht="15" x14ac:dyDescent="0.2">
      <c r="A28" s="271" t="s">
        <v>281</v>
      </c>
      <c r="B28" s="233">
        <f>B24*0.001</f>
        <v>6464.5742592519864</v>
      </c>
      <c r="D28" s="405" t="s">
        <v>283</v>
      </c>
      <c r="E28" s="406"/>
      <c r="F28" s="407"/>
      <c r="G28" s="277" t="str">
        <f>IF(SUM(B90:AG90)=0,"не окупается",SUM(B90:AG90))</f>
        <v>не окупается</v>
      </c>
      <c r="H28" s="278"/>
      <c r="N28" s="262"/>
    </row>
    <row r="29" spans="1:45" x14ac:dyDescent="0.2">
      <c r="A29" s="274" t="s">
        <v>428</v>
      </c>
      <c r="B29" s="273">
        <v>6</v>
      </c>
      <c r="D29" s="405" t="s">
        <v>603</v>
      </c>
      <c r="E29" s="406"/>
      <c r="F29" s="407"/>
      <c r="G29" s="279">
        <f>L87</f>
        <v>-9030198.1515517551</v>
      </c>
      <c r="H29" s="280"/>
      <c r="N29" s="262"/>
    </row>
    <row r="30" spans="1:45" x14ac:dyDescent="0.2">
      <c r="A30" s="274" t="s">
        <v>280</v>
      </c>
      <c r="B30" s="273">
        <v>6</v>
      </c>
      <c r="D30" s="405"/>
      <c r="E30" s="406"/>
      <c r="F30" s="407"/>
      <c r="G30" s="281"/>
      <c r="H30" s="282"/>
      <c r="N30" s="262"/>
    </row>
    <row r="31" spans="1:45" x14ac:dyDescent="0.2">
      <c r="A31" s="274" t="s">
        <v>259</v>
      </c>
      <c r="B31" s="273">
        <v>0</v>
      </c>
      <c r="N31" s="262"/>
    </row>
    <row r="32" spans="1:45" x14ac:dyDescent="0.2">
      <c r="A32" s="274" t="s">
        <v>279</v>
      </c>
      <c r="B32" s="273">
        <v>1</v>
      </c>
      <c r="N32" s="262"/>
    </row>
    <row r="33" spans="1:31" x14ac:dyDescent="0.2">
      <c r="A33" s="274" t="s">
        <v>278</v>
      </c>
      <c r="B33" s="273">
        <v>1</v>
      </c>
      <c r="N33" s="262"/>
    </row>
    <row r="34" spans="1:31" x14ac:dyDescent="0.2">
      <c r="A34" s="283" t="s">
        <v>604</v>
      </c>
      <c r="B34" s="273">
        <f>B24*0.03</f>
        <v>193937.2277775596</v>
      </c>
      <c r="N34" s="262"/>
    </row>
    <row r="35" spans="1:31" ht="13.5" thickBot="1" x14ac:dyDescent="0.25">
      <c r="A35" s="284" t="s">
        <v>253</v>
      </c>
      <c r="B35" s="285">
        <v>0.2</v>
      </c>
      <c r="N35" s="262"/>
    </row>
    <row r="36" spans="1:31" x14ac:dyDescent="0.2">
      <c r="A36" s="271" t="s">
        <v>429</v>
      </c>
      <c r="B36" s="286">
        <v>0</v>
      </c>
      <c r="N36" s="262"/>
    </row>
    <row r="37" spans="1:31" x14ac:dyDescent="0.2">
      <c r="A37" s="272" t="s">
        <v>277</v>
      </c>
      <c r="B37" s="273"/>
      <c r="N37" s="262"/>
    </row>
    <row r="38" spans="1:31" ht="13.5" thickBot="1" x14ac:dyDescent="0.25">
      <c r="A38" s="283" t="s">
        <v>276</v>
      </c>
      <c r="B38" s="287"/>
      <c r="N38" s="262"/>
    </row>
    <row r="39" spans="1:31" x14ac:dyDescent="0.2">
      <c r="A39" s="288" t="s">
        <v>430</v>
      </c>
      <c r="B39" s="289">
        <v>1</v>
      </c>
      <c r="N39" s="262"/>
    </row>
    <row r="40" spans="1:31" x14ac:dyDescent="0.2">
      <c r="A40" s="290" t="s">
        <v>275</v>
      </c>
      <c r="B40" s="291"/>
      <c r="N40" s="262"/>
    </row>
    <row r="41" spans="1:31" x14ac:dyDescent="0.2">
      <c r="A41" s="290" t="s">
        <v>274</v>
      </c>
      <c r="B41" s="292"/>
      <c r="N41" s="262"/>
    </row>
    <row r="42" spans="1:31" x14ac:dyDescent="0.2">
      <c r="A42" s="290" t="s">
        <v>273</v>
      </c>
      <c r="B42" s="292">
        <v>0</v>
      </c>
      <c r="N42" s="262"/>
    </row>
    <row r="43" spans="1:31" x14ac:dyDescent="0.2">
      <c r="A43" s="290" t="s">
        <v>272</v>
      </c>
      <c r="B43" s="293">
        <v>9.8699999999999996E-2</v>
      </c>
      <c r="N43" s="262"/>
    </row>
    <row r="44" spans="1:31" x14ac:dyDescent="0.2">
      <c r="A44" s="290" t="s">
        <v>271</v>
      </c>
      <c r="B44" s="294">
        <v>1</v>
      </c>
      <c r="N44" s="262"/>
    </row>
    <row r="45" spans="1:31" ht="13.5" thickBot="1" x14ac:dyDescent="0.25">
      <c r="A45" s="295" t="s">
        <v>605</v>
      </c>
      <c r="B45" s="294">
        <f>B44*B43+B42*B41*(1-B35)</f>
        <v>9.8699999999999996E-2</v>
      </c>
      <c r="C45" s="296"/>
      <c r="N45" s="262"/>
    </row>
    <row r="46" spans="1:31" x14ac:dyDescent="0.2">
      <c r="A46" s="297" t="s">
        <v>270</v>
      </c>
      <c r="B46" s="298">
        <v>1</v>
      </c>
      <c r="C46" s="298">
        <v>2</v>
      </c>
      <c r="D46" s="298">
        <v>3</v>
      </c>
      <c r="E46" s="298">
        <v>4</v>
      </c>
      <c r="F46" s="298">
        <v>5</v>
      </c>
      <c r="G46" s="298">
        <v>6</v>
      </c>
      <c r="H46" s="298">
        <v>7</v>
      </c>
      <c r="I46" s="298">
        <v>8</v>
      </c>
      <c r="J46" s="298">
        <v>9</v>
      </c>
      <c r="K46" s="298">
        <v>10</v>
      </c>
      <c r="L46" s="298">
        <v>11</v>
      </c>
      <c r="M46" s="298">
        <v>12</v>
      </c>
      <c r="N46" s="298">
        <v>13</v>
      </c>
      <c r="O46" s="298">
        <v>14</v>
      </c>
      <c r="P46" s="298">
        <v>15</v>
      </c>
      <c r="Q46" s="298">
        <v>16</v>
      </c>
      <c r="R46" s="298">
        <v>17</v>
      </c>
      <c r="S46" s="298">
        <v>18</v>
      </c>
      <c r="T46" s="298">
        <v>19</v>
      </c>
      <c r="U46" s="298">
        <v>20</v>
      </c>
      <c r="V46" s="298">
        <v>21</v>
      </c>
      <c r="W46" s="298">
        <v>22</v>
      </c>
      <c r="X46" s="298">
        <v>23</v>
      </c>
      <c r="Y46" s="298">
        <v>24</v>
      </c>
      <c r="Z46" s="298">
        <v>25</v>
      </c>
      <c r="AA46" s="298">
        <v>26</v>
      </c>
      <c r="AB46" s="298">
        <v>27</v>
      </c>
      <c r="AC46" s="299">
        <v>28</v>
      </c>
      <c r="AD46" s="299">
        <v>29</v>
      </c>
      <c r="AE46" s="299">
        <v>30</v>
      </c>
    </row>
    <row r="47" spans="1:31" x14ac:dyDescent="0.2">
      <c r="A47" s="300" t="s">
        <v>269</v>
      </c>
      <c r="B47" s="301">
        <v>4.9000000000000002E-2</v>
      </c>
      <c r="C47" s="301">
        <v>4.7E-2</v>
      </c>
      <c r="D47" s="301">
        <v>4.7E-2</v>
      </c>
      <c r="E47" s="301">
        <v>4.7E-2</v>
      </c>
      <c r="F47" s="302">
        <v>4.7E-2</v>
      </c>
      <c r="G47" s="302">
        <v>4.7E-2</v>
      </c>
      <c r="H47" s="302">
        <v>4.7E-2</v>
      </c>
      <c r="I47" s="302">
        <v>4.7E-2</v>
      </c>
      <c r="J47" s="302">
        <v>4.7E-2</v>
      </c>
      <c r="K47" s="302">
        <v>4.7E-2</v>
      </c>
      <c r="L47" s="302">
        <v>4.7E-2</v>
      </c>
      <c r="M47" s="302">
        <v>4.7E-2</v>
      </c>
      <c r="N47" s="302">
        <v>4.7E-2</v>
      </c>
      <c r="O47" s="302">
        <v>4.7E-2</v>
      </c>
      <c r="P47" s="302">
        <v>4.7E-2</v>
      </c>
      <c r="Q47" s="302">
        <v>4.7E-2</v>
      </c>
      <c r="R47" s="302">
        <v>4.7E-2</v>
      </c>
      <c r="S47" s="302">
        <v>4.7E-2</v>
      </c>
      <c r="T47" s="302">
        <v>4.7E-2</v>
      </c>
      <c r="U47" s="302">
        <v>4.7E-2</v>
      </c>
      <c r="V47" s="302">
        <v>4.7E-2</v>
      </c>
      <c r="W47" s="302">
        <v>4.7E-2</v>
      </c>
      <c r="X47" s="302">
        <v>4.7E-2</v>
      </c>
      <c r="Y47" s="302">
        <v>4.7E-2</v>
      </c>
      <c r="Z47" s="302">
        <v>4.7E-2</v>
      </c>
      <c r="AA47" s="302">
        <v>4.7E-2</v>
      </c>
      <c r="AB47" s="302">
        <v>4.7E-2</v>
      </c>
      <c r="AC47" s="302">
        <v>4.7E-2</v>
      </c>
      <c r="AD47" s="302">
        <v>4.7E-2</v>
      </c>
      <c r="AE47" s="302">
        <v>4.7E-2</v>
      </c>
    </row>
    <row r="48" spans="1:31" x14ac:dyDescent="0.2">
      <c r="A48" s="300" t="s">
        <v>268</v>
      </c>
      <c r="B48" s="302">
        <f>B47</f>
        <v>4.9000000000000002E-2</v>
      </c>
      <c r="C48" s="302">
        <f t="shared" ref="C48:AE48" si="0">(1+B48)*(1+C47)-1</f>
        <v>9.8302999999999807E-2</v>
      </c>
      <c r="D48" s="302">
        <f t="shared" si="0"/>
        <v>0.14992324099999976</v>
      </c>
      <c r="E48" s="302">
        <f t="shared" si="0"/>
        <v>0.20396963332699958</v>
      </c>
      <c r="F48" s="302">
        <f t="shared" si="0"/>
        <v>0.26055620609336838</v>
      </c>
      <c r="G48" s="302">
        <f t="shared" si="0"/>
        <v>0.31980234777975669</v>
      </c>
      <c r="H48" s="302">
        <f t="shared" si="0"/>
        <v>0.38183305812540524</v>
      </c>
      <c r="I48" s="302">
        <f t="shared" si="0"/>
        <v>0.4467792118572993</v>
      </c>
      <c r="J48" s="302">
        <f t="shared" si="0"/>
        <v>0.51477783481459216</v>
      </c>
      <c r="K48" s="302">
        <f t="shared" si="0"/>
        <v>0.58597239305087778</v>
      </c>
      <c r="L48" s="302">
        <f t="shared" si="0"/>
        <v>0.66051309552426885</v>
      </c>
      <c r="M48" s="302">
        <f t="shared" si="0"/>
        <v>0.73855721101390936</v>
      </c>
      <c r="N48" s="302">
        <f t="shared" si="0"/>
        <v>0.82026939993156289</v>
      </c>
      <c r="O48" s="302">
        <f t="shared" si="0"/>
        <v>0.90582206172834612</v>
      </c>
      <c r="P48" s="302">
        <f t="shared" si="0"/>
        <v>0.99539569862957822</v>
      </c>
      <c r="Q48" s="302">
        <f t="shared" si="0"/>
        <v>1.0891792964651681</v>
      </c>
      <c r="R48" s="302">
        <f t="shared" si="0"/>
        <v>1.1873707233990309</v>
      </c>
      <c r="S48" s="302">
        <f t="shared" si="0"/>
        <v>1.2901771473987851</v>
      </c>
      <c r="T48" s="302">
        <f t="shared" si="0"/>
        <v>1.3978154733265278</v>
      </c>
      <c r="U48" s="302">
        <f t="shared" si="0"/>
        <v>1.5105128005728745</v>
      </c>
      <c r="V48" s="302">
        <f t="shared" si="0"/>
        <v>1.6285069021997995</v>
      </c>
      <c r="W48" s="302">
        <f t="shared" si="0"/>
        <v>1.7520467266031901</v>
      </c>
      <c r="X48" s="302">
        <f t="shared" si="0"/>
        <v>1.8813929227535398</v>
      </c>
      <c r="Y48" s="302">
        <f t="shared" si="0"/>
        <v>2.0168183901229559</v>
      </c>
      <c r="Z48" s="302">
        <f t="shared" si="0"/>
        <v>2.1586088544587345</v>
      </c>
      <c r="AA48" s="302">
        <f t="shared" si="0"/>
        <v>2.3070634706182949</v>
      </c>
      <c r="AB48" s="302">
        <f t="shared" si="0"/>
        <v>2.4624954537373545</v>
      </c>
      <c r="AC48" s="302">
        <f t="shared" si="0"/>
        <v>2.62523274006301</v>
      </c>
      <c r="AD48" s="302">
        <f t="shared" si="0"/>
        <v>2.7956186788459712</v>
      </c>
      <c r="AE48" s="302">
        <f t="shared" si="0"/>
        <v>2.9740127567517316</v>
      </c>
    </row>
    <row r="49" spans="1:31" ht="13.5" thickBot="1" x14ac:dyDescent="0.25">
      <c r="A49" s="303" t="s">
        <v>431</v>
      </c>
      <c r="B49" s="304">
        <f>B24*1.2/2*0</f>
        <v>0</v>
      </c>
      <c r="C49" s="304">
        <v>0</v>
      </c>
      <c r="D49" s="304">
        <v>0</v>
      </c>
      <c r="E49" s="304">
        <v>0</v>
      </c>
      <c r="F49" s="304">
        <v>0</v>
      </c>
      <c r="G49" s="304">
        <v>0</v>
      </c>
      <c r="H49" s="304">
        <v>0</v>
      </c>
      <c r="I49" s="304">
        <v>0</v>
      </c>
      <c r="J49" s="304">
        <v>0</v>
      </c>
      <c r="K49" s="304">
        <v>0</v>
      </c>
      <c r="L49" s="304">
        <v>0</v>
      </c>
      <c r="M49" s="304">
        <v>0</v>
      </c>
      <c r="N49" s="304">
        <v>0</v>
      </c>
      <c r="O49" s="304">
        <v>0</v>
      </c>
      <c r="P49" s="304">
        <v>0</v>
      </c>
      <c r="Q49" s="304">
        <v>0</v>
      </c>
      <c r="R49" s="304">
        <v>0</v>
      </c>
      <c r="S49" s="304">
        <v>0</v>
      </c>
      <c r="T49" s="304">
        <v>0</v>
      </c>
      <c r="U49" s="304">
        <v>0</v>
      </c>
      <c r="V49" s="304">
        <v>0</v>
      </c>
      <c r="W49" s="304">
        <v>0</v>
      </c>
      <c r="X49" s="304">
        <v>0</v>
      </c>
      <c r="Y49" s="304">
        <v>0</v>
      </c>
      <c r="Z49" s="304">
        <v>0</v>
      </c>
      <c r="AA49" s="304">
        <v>0</v>
      </c>
      <c r="AB49" s="304">
        <v>0</v>
      </c>
      <c r="AC49" s="304">
        <v>0</v>
      </c>
      <c r="AD49" s="304">
        <v>0</v>
      </c>
      <c r="AE49" s="304">
        <v>0</v>
      </c>
    </row>
    <row r="50" spans="1:31" ht="13.5" thickBot="1" x14ac:dyDescent="0.25">
      <c r="A50" s="305"/>
      <c r="N50" s="262"/>
      <c r="AC50" s="306"/>
      <c r="AD50" s="306"/>
      <c r="AE50" s="306"/>
    </row>
    <row r="51" spans="1:31" x14ac:dyDescent="0.2">
      <c r="A51" s="307" t="s">
        <v>267</v>
      </c>
      <c r="B51" s="298">
        <v>1</v>
      </c>
      <c r="C51" s="298">
        <v>2</v>
      </c>
      <c r="D51" s="298">
        <v>3</v>
      </c>
      <c r="E51" s="298">
        <v>4</v>
      </c>
      <c r="F51" s="298">
        <v>5</v>
      </c>
      <c r="G51" s="298">
        <v>6</v>
      </c>
      <c r="H51" s="298">
        <v>7</v>
      </c>
      <c r="I51" s="298">
        <v>8</v>
      </c>
      <c r="J51" s="298">
        <v>9</v>
      </c>
      <c r="K51" s="298">
        <v>10</v>
      </c>
      <c r="L51" s="298">
        <v>11</v>
      </c>
      <c r="M51" s="298">
        <v>12</v>
      </c>
      <c r="N51" s="298">
        <v>13</v>
      </c>
      <c r="O51" s="298">
        <v>14</v>
      </c>
      <c r="P51" s="298">
        <v>15</v>
      </c>
      <c r="Q51" s="298">
        <v>16</v>
      </c>
      <c r="R51" s="298">
        <v>17</v>
      </c>
      <c r="S51" s="298">
        <v>18</v>
      </c>
      <c r="T51" s="298">
        <v>19</v>
      </c>
      <c r="U51" s="298">
        <v>20</v>
      </c>
      <c r="V51" s="298">
        <v>21</v>
      </c>
      <c r="W51" s="298">
        <v>22</v>
      </c>
      <c r="X51" s="298">
        <v>23</v>
      </c>
      <c r="Y51" s="298">
        <v>24</v>
      </c>
      <c r="Z51" s="298">
        <v>25</v>
      </c>
      <c r="AA51" s="298">
        <v>26</v>
      </c>
      <c r="AB51" s="298">
        <v>27</v>
      </c>
      <c r="AC51" s="298">
        <v>28</v>
      </c>
      <c r="AD51" s="298">
        <v>29</v>
      </c>
      <c r="AE51" s="298">
        <v>30</v>
      </c>
    </row>
    <row r="52" spans="1:31" x14ac:dyDescent="0.2">
      <c r="A52" s="300" t="s">
        <v>266</v>
      </c>
      <c r="B52" s="308">
        <v>0</v>
      </c>
      <c r="C52" s="308">
        <v>0</v>
      </c>
      <c r="D52" s="308">
        <v>0</v>
      </c>
      <c r="E52" s="308">
        <v>0</v>
      </c>
      <c r="F52" s="308">
        <v>0</v>
      </c>
      <c r="G52" s="308">
        <v>0</v>
      </c>
      <c r="H52" s="308">
        <v>0</v>
      </c>
      <c r="I52" s="308">
        <v>0</v>
      </c>
      <c r="J52" s="308">
        <v>0</v>
      </c>
      <c r="K52" s="308">
        <v>0</v>
      </c>
      <c r="L52" s="308">
        <v>0</v>
      </c>
      <c r="M52" s="308">
        <v>0</v>
      </c>
      <c r="N52" s="308">
        <v>0</v>
      </c>
      <c r="O52" s="308">
        <v>0</v>
      </c>
      <c r="P52" s="308">
        <v>0</v>
      </c>
      <c r="Q52" s="308">
        <v>0</v>
      </c>
      <c r="R52" s="308">
        <v>0</v>
      </c>
      <c r="S52" s="308">
        <v>0</v>
      </c>
      <c r="T52" s="308">
        <v>0</v>
      </c>
      <c r="U52" s="308">
        <v>0</v>
      </c>
      <c r="V52" s="308">
        <v>0</v>
      </c>
      <c r="W52" s="308">
        <v>0</v>
      </c>
      <c r="X52" s="308">
        <v>0</v>
      </c>
      <c r="Y52" s="308">
        <v>0</v>
      </c>
      <c r="Z52" s="308">
        <v>0</v>
      </c>
      <c r="AA52" s="308">
        <v>0</v>
      </c>
      <c r="AB52" s="308">
        <v>0</v>
      </c>
      <c r="AC52" s="309">
        <v>0</v>
      </c>
      <c r="AD52" s="309">
        <v>0</v>
      </c>
      <c r="AE52" s="309">
        <v>0</v>
      </c>
    </row>
    <row r="53" spans="1:31" x14ac:dyDescent="0.2">
      <c r="A53" s="300" t="s">
        <v>265</v>
      </c>
      <c r="B53" s="308">
        <v>0</v>
      </c>
      <c r="C53" s="308">
        <v>0</v>
      </c>
      <c r="D53" s="308">
        <v>0</v>
      </c>
      <c r="E53" s="308">
        <v>0</v>
      </c>
      <c r="F53" s="308">
        <v>0</v>
      </c>
      <c r="G53" s="308">
        <v>0</v>
      </c>
      <c r="H53" s="308">
        <v>0</v>
      </c>
      <c r="I53" s="308">
        <v>0</v>
      </c>
      <c r="J53" s="308">
        <v>0</v>
      </c>
      <c r="K53" s="308">
        <v>0</v>
      </c>
      <c r="L53" s="308">
        <v>0</v>
      </c>
      <c r="M53" s="308">
        <v>0</v>
      </c>
      <c r="N53" s="308">
        <v>0</v>
      </c>
      <c r="O53" s="308">
        <v>0</v>
      </c>
      <c r="P53" s="308">
        <v>0</v>
      </c>
      <c r="Q53" s="308">
        <v>0</v>
      </c>
      <c r="R53" s="308">
        <v>0</v>
      </c>
      <c r="S53" s="308">
        <v>0</v>
      </c>
      <c r="T53" s="308">
        <v>0</v>
      </c>
      <c r="U53" s="308">
        <v>0</v>
      </c>
      <c r="V53" s="308">
        <v>0</v>
      </c>
      <c r="W53" s="308">
        <v>0</v>
      </c>
      <c r="X53" s="308">
        <v>0</v>
      </c>
      <c r="Y53" s="308">
        <v>0</v>
      </c>
      <c r="Z53" s="308">
        <v>0</v>
      </c>
      <c r="AA53" s="308">
        <v>0</v>
      </c>
      <c r="AB53" s="308">
        <v>0</v>
      </c>
      <c r="AC53" s="309">
        <v>0</v>
      </c>
      <c r="AD53" s="309">
        <v>0</v>
      </c>
      <c r="AE53" s="309">
        <v>0</v>
      </c>
    </row>
    <row r="54" spans="1:31" x14ac:dyDescent="0.2">
      <c r="A54" s="300" t="s">
        <v>264</v>
      </c>
      <c r="B54" s="308">
        <v>0</v>
      </c>
      <c r="C54" s="308">
        <v>0</v>
      </c>
      <c r="D54" s="308">
        <v>0</v>
      </c>
      <c r="E54" s="308">
        <v>0</v>
      </c>
      <c r="F54" s="308">
        <v>0</v>
      </c>
      <c r="G54" s="308">
        <v>0</v>
      </c>
      <c r="H54" s="308">
        <v>0</v>
      </c>
      <c r="I54" s="308">
        <v>0</v>
      </c>
      <c r="J54" s="308">
        <v>0</v>
      </c>
      <c r="K54" s="308">
        <v>0</v>
      </c>
      <c r="L54" s="308">
        <v>0</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08">
        <v>0</v>
      </c>
      <c r="AC54" s="309">
        <v>0</v>
      </c>
      <c r="AD54" s="309">
        <v>0</v>
      </c>
      <c r="AE54" s="309">
        <v>0</v>
      </c>
    </row>
    <row r="55" spans="1:31" ht="13.5" thickBot="1" x14ac:dyDescent="0.25">
      <c r="A55" s="303" t="s">
        <v>263</v>
      </c>
      <c r="B55" s="310">
        <v>0</v>
      </c>
      <c r="C55" s="310">
        <v>0</v>
      </c>
      <c r="D55" s="310">
        <v>0</v>
      </c>
      <c r="E55" s="310">
        <v>0</v>
      </c>
      <c r="F55" s="310">
        <v>0</v>
      </c>
      <c r="G55" s="310">
        <v>0</v>
      </c>
      <c r="H55" s="310">
        <v>0</v>
      </c>
      <c r="I55" s="310">
        <v>0</v>
      </c>
      <c r="J55" s="310">
        <v>0</v>
      </c>
      <c r="K55" s="310">
        <v>0</v>
      </c>
      <c r="L55" s="310">
        <v>0</v>
      </c>
      <c r="M55" s="310">
        <v>0</v>
      </c>
      <c r="N55" s="310">
        <v>0</v>
      </c>
      <c r="O55" s="310">
        <v>0</v>
      </c>
      <c r="P55" s="310">
        <v>0</v>
      </c>
      <c r="Q55" s="310">
        <v>0</v>
      </c>
      <c r="R55" s="310">
        <v>0</v>
      </c>
      <c r="S55" s="310">
        <v>0</v>
      </c>
      <c r="T55" s="310">
        <v>0</v>
      </c>
      <c r="U55" s="310">
        <v>0</v>
      </c>
      <c r="V55" s="310">
        <v>0</v>
      </c>
      <c r="W55" s="310">
        <v>0</v>
      </c>
      <c r="X55" s="310">
        <v>0</v>
      </c>
      <c r="Y55" s="310">
        <v>0</v>
      </c>
      <c r="Z55" s="310">
        <v>0</v>
      </c>
      <c r="AA55" s="310">
        <v>0</v>
      </c>
      <c r="AB55" s="310">
        <v>0</v>
      </c>
      <c r="AC55" s="311">
        <v>0</v>
      </c>
      <c r="AD55" s="311">
        <v>0</v>
      </c>
      <c r="AE55" s="311">
        <v>0</v>
      </c>
    </row>
    <row r="56" spans="1:31" ht="13.5" thickBot="1" x14ac:dyDescent="0.25">
      <c r="A56" s="305"/>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3"/>
      <c r="AD56" s="313"/>
      <c r="AE56" s="313"/>
    </row>
    <row r="57" spans="1:31" ht="13.5" thickBot="1" x14ac:dyDescent="0.25">
      <c r="A57" s="307" t="s">
        <v>432</v>
      </c>
      <c r="B57" s="298">
        <v>1</v>
      </c>
      <c r="C57" s="298">
        <v>2</v>
      </c>
      <c r="D57" s="298">
        <v>3</v>
      </c>
      <c r="E57" s="298">
        <v>4</v>
      </c>
      <c r="F57" s="298">
        <v>5</v>
      </c>
      <c r="G57" s="298">
        <v>6</v>
      </c>
      <c r="H57" s="298">
        <v>7</v>
      </c>
      <c r="I57" s="298">
        <v>8</v>
      </c>
      <c r="J57" s="298">
        <v>9</v>
      </c>
      <c r="K57" s="298">
        <v>10</v>
      </c>
      <c r="L57" s="298">
        <v>11</v>
      </c>
      <c r="M57" s="298">
        <v>12</v>
      </c>
      <c r="N57" s="298">
        <v>13</v>
      </c>
      <c r="O57" s="298">
        <v>14</v>
      </c>
      <c r="P57" s="298">
        <v>15</v>
      </c>
      <c r="Q57" s="298">
        <v>16</v>
      </c>
      <c r="R57" s="298">
        <v>17</v>
      </c>
      <c r="S57" s="298">
        <v>18</v>
      </c>
      <c r="T57" s="298">
        <v>19</v>
      </c>
      <c r="U57" s="298">
        <v>20</v>
      </c>
      <c r="V57" s="298">
        <v>21</v>
      </c>
      <c r="W57" s="298">
        <v>22</v>
      </c>
      <c r="X57" s="298">
        <v>23</v>
      </c>
      <c r="Y57" s="298">
        <v>24</v>
      </c>
      <c r="Z57" s="298">
        <v>25</v>
      </c>
      <c r="AA57" s="298">
        <v>26</v>
      </c>
      <c r="AB57" s="298">
        <v>27</v>
      </c>
      <c r="AC57" s="298">
        <v>28</v>
      </c>
      <c r="AD57" s="298">
        <v>29</v>
      </c>
      <c r="AE57" s="298">
        <v>30</v>
      </c>
    </row>
    <row r="58" spans="1:31" x14ac:dyDescent="0.2">
      <c r="A58" s="307" t="s">
        <v>262</v>
      </c>
      <c r="B58" s="298">
        <f t="shared" ref="B58:AE58" si="1">B49*$B$27</f>
        <v>0</v>
      </c>
      <c r="C58" s="298">
        <f t="shared" si="1"/>
        <v>0</v>
      </c>
      <c r="D58" s="298">
        <f t="shared" si="1"/>
        <v>0</v>
      </c>
      <c r="E58" s="298">
        <f t="shared" si="1"/>
        <v>0</v>
      </c>
      <c r="F58" s="298">
        <f t="shared" si="1"/>
        <v>0</v>
      </c>
      <c r="G58" s="298">
        <f t="shared" si="1"/>
        <v>0</v>
      </c>
      <c r="H58" s="298">
        <f t="shared" si="1"/>
        <v>0</v>
      </c>
      <c r="I58" s="298">
        <f t="shared" si="1"/>
        <v>0</v>
      </c>
      <c r="J58" s="298">
        <f t="shared" si="1"/>
        <v>0</v>
      </c>
      <c r="K58" s="298">
        <f t="shared" si="1"/>
        <v>0</v>
      </c>
      <c r="L58" s="298">
        <f t="shared" si="1"/>
        <v>0</v>
      </c>
      <c r="M58" s="298">
        <f t="shared" si="1"/>
        <v>0</v>
      </c>
      <c r="N58" s="298">
        <f t="shared" si="1"/>
        <v>0</v>
      </c>
      <c r="O58" s="298">
        <f t="shared" si="1"/>
        <v>0</v>
      </c>
      <c r="P58" s="298">
        <f t="shared" si="1"/>
        <v>0</v>
      </c>
      <c r="Q58" s="298">
        <f t="shared" si="1"/>
        <v>0</v>
      </c>
      <c r="R58" s="298">
        <f t="shared" si="1"/>
        <v>0</v>
      </c>
      <c r="S58" s="298">
        <f t="shared" si="1"/>
        <v>0</v>
      </c>
      <c r="T58" s="298">
        <f t="shared" si="1"/>
        <v>0</v>
      </c>
      <c r="U58" s="298">
        <f t="shared" si="1"/>
        <v>0</v>
      </c>
      <c r="V58" s="298">
        <f t="shared" si="1"/>
        <v>0</v>
      </c>
      <c r="W58" s="298">
        <f t="shared" si="1"/>
        <v>0</v>
      </c>
      <c r="X58" s="298">
        <f t="shared" si="1"/>
        <v>0</v>
      </c>
      <c r="Y58" s="298">
        <f t="shared" si="1"/>
        <v>0</v>
      </c>
      <c r="Z58" s="298">
        <f t="shared" si="1"/>
        <v>0</v>
      </c>
      <c r="AA58" s="298">
        <f t="shared" si="1"/>
        <v>0</v>
      </c>
      <c r="AB58" s="298">
        <f t="shared" si="1"/>
        <v>0</v>
      </c>
      <c r="AC58" s="298">
        <f t="shared" si="1"/>
        <v>0</v>
      </c>
      <c r="AD58" s="298">
        <f t="shared" si="1"/>
        <v>0</v>
      </c>
      <c r="AE58" s="298">
        <f t="shared" si="1"/>
        <v>0</v>
      </c>
    </row>
    <row r="59" spans="1:31" x14ac:dyDescent="0.2">
      <c r="A59" s="300" t="s">
        <v>261</v>
      </c>
      <c r="B59" s="314">
        <f t="shared" ref="B59:AE59" si="2">SUM(B60:B65)</f>
        <v>0</v>
      </c>
      <c r="C59" s="314">
        <f t="shared" si="2"/>
        <v>0</v>
      </c>
      <c r="D59" s="314">
        <f t="shared" si="2"/>
        <v>-137479.94591342559</v>
      </c>
      <c r="E59" s="314">
        <f t="shared" si="2"/>
        <v>-132739.25812330746</v>
      </c>
      <c r="F59" s="314">
        <f t="shared" si="2"/>
        <v>-127998.57033318935</v>
      </c>
      <c r="G59" s="314">
        <f t="shared" si="2"/>
        <v>-123257.88254307122</v>
      </c>
      <c r="H59" s="314">
        <f t="shared" si="2"/>
        <v>-118517.1947529531</v>
      </c>
      <c r="I59" s="314">
        <f t="shared" si="2"/>
        <v>-120241.08122208697</v>
      </c>
      <c r="J59" s="314">
        <f t="shared" si="2"/>
        <v>-109035.81917271687</v>
      </c>
      <c r="K59" s="314">
        <f t="shared" si="2"/>
        <v>-337019.8047156703</v>
      </c>
      <c r="L59" s="314">
        <f t="shared" si="2"/>
        <v>-99554.443592480631</v>
      </c>
      <c r="M59" s="314">
        <f t="shared" si="2"/>
        <v>-94813.755802362517</v>
      </c>
      <c r="N59" s="314">
        <f t="shared" si="2"/>
        <v>-194368.19939484305</v>
      </c>
      <c r="O59" s="314">
        <f t="shared" si="2"/>
        <v>-91796.954481378256</v>
      </c>
      <c r="P59" s="314">
        <f t="shared" si="2"/>
        <v>-80591.69243200816</v>
      </c>
      <c r="Q59" s="314">
        <f t="shared" si="2"/>
        <v>-75851.004641890046</v>
      </c>
      <c r="R59" s="314">
        <f t="shared" si="2"/>
        <v>-71110.316851771917</v>
      </c>
      <c r="S59" s="314">
        <f t="shared" si="2"/>
        <v>-299094.30239472532</v>
      </c>
      <c r="T59" s="314">
        <f t="shared" si="2"/>
        <v>-61628.941271535681</v>
      </c>
      <c r="U59" s="314">
        <f t="shared" si="2"/>
        <v>-63352.827740669556</v>
      </c>
      <c r="V59" s="314">
        <f t="shared" si="2"/>
        <v>-52147.565691299445</v>
      </c>
      <c r="W59" s="314">
        <f t="shared" si="2"/>
        <v>-47406.877901181331</v>
      </c>
      <c r="X59" s="314">
        <f t="shared" si="2"/>
        <v>-42666.190111063202</v>
      </c>
      <c r="Y59" s="314">
        <f t="shared" si="2"/>
        <v>-37925.502320945081</v>
      </c>
      <c r="Z59" s="314">
        <f t="shared" si="2"/>
        <v>-33184.81453082696</v>
      </c>
      <c r="AA59" s="314">
        <f t="shared" si="2"/>
        <v>-261168.80007378035</v>
      </c>
      <c r="AB59" s="314">
        <f t="shared" si="2"/>
        <v>-23703.438950590709</v>
      </c>
      <c r="AC59" s="314">
        <f t="shared" si="2"/>
        <v>-18962.751160472588</v>
      </c>
      <c r="AD59" s="314">
        <f t="shared" si="2"/>
        <v>-14222.063370354463</v>
      </c>
      <c r="AE59" s="314">
        <f t="shared" si="2"/>
        <v>-9481.3755802363394</v>
      </c>
    </row>
    <row r="60" spans="1:31" x14ac:dyDescent="0.2">
      <c r="A60" s="315" t="s">
        <v>260</v>
      </c>
      <c r="B60" s="308"/>
      <c r="C60" s="308"/>
      <c r="D60" s="308"/>
      <c r="E60" s="308"/>
      <c r="F60" s="308"/>
      <c r="G60" s="308"/>
      <c r="H60" s="308"/>
      <c r="I60" s="308">
        <f>-B28</f>
        <v>-6464.5742592519864</v>
      </c>
      <c r="J60" s="308"/>
      <c r="K60" s="308"/>
      <c r="L60" s="308"/>
      <c r="M60" s="308"/>
      <c r="N60" s="308"/>
      <c r="O60" s="308">
        <f>I60</f>
        <v>-6464.5742592519864</v>
      </c>
      <c r="P60" s="308"/>
      <c r="Q60" s="308"/>
      <c r="R60" s="308"/>
      <c r="S60" s="308"/>
      <c r="T60" s="308"/>
      <c r="U60" s="308">
        <f>O60</f>
        <v>-6464.5742592519864</v>
      </c>
      <c r="V60" s="308"/>
      <c r="W60" s="308"/>
      <c r="X60" s="308"/>
      <c r="Y60" s="308"/>
      <c r="Z60" s="308"/>
      <c r="AA60" s="308"/>
      <c r="AB60" s="308"/>
      <c r="AC60" s="308"/>
      <c r="AD60" s="308"/>
      <c r="AE60" s="308"/>
    </row>
    <row r="61" spans="1:31" x14ac:dyDescent="0.2">
      <c r="A61" s="315" t="s">
        <v>259</v>
      </c>
      <c r="B61" s="308"/>
      <c r="C61" s="308"/>
      <c r="D61" s="308"/>
      <c r="E61" s="308"/>
      <c r="F61" s="308"/>
      <c r="G61" s="308"/>
      <c r="H61" s="308"/>
      <c r="I61" s="308"/>
      <c r="J61" s="308"/>
      <c r="K61" s="308">
        <f>-B34*1.2</f>
        <v>-232724.67333307152</v>
      </c>
      <c r="L61" s="308"/>
      <c r="M61" s="308"/>
      <c r="N61" s="308"/>
      <c r="O61" s="308"/>
      <c r="P61" s="308"/>
      <c r="Q61" s="308"/>
      <c r="R61" s="308"/>
      <c r="S61" s="308">
        <f>K61</f>
        <v>-232724.67333307152</v>
      </c>
      <c r="T61" s="308"/>
      <c r="U61" s="308"/>
      <c r="V61" s="308"/>
      <c r="W61" s="308"/>
      <c r="X61" s="308"/>
      <c r="Y61" s="308"/>
      <c r="Z61" s="308"/>
      <c r="AA61" s="316">
        <f>S61</f>
        <v>-232724.67333307152</v>
      </c>
      <c r="AB61" s="308"/>
      <c r="AC61" s="308"/>
      <c r="AD61" s="308"/>
      <c r="AE61" s="308"/>
    </row>
    <row r="62" spans="1:31" x14ac:dyDescent="0.2">
      <c r="A62" s="315" t="s">
        <v>604</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row>
    <row r="63" spans="1:31" x14ac:dyDescent="0.2">
      <c r="A63" s="315" t="s">
        <v>429</v>
      </c>
      <c r="B63" s="317">
        <v>0</v>
      </c>
      <c r="C63" s="317">
        <v>0</v>
      </c>
      <c r="D63" s="317">
        <v>0</v>
      </c>
      <c r="E63" s="317">
        <v>0</v>
      </c>
      <c r="F63" s="317">
        <v>0</v>
      </c>
      <c r="G63" s="317">
        <v>0</v>
      </c>
      <c r="H63" s="317">
        <v>0</v>
      </c>
      <c r="I63" s="317">
        <v>0</v>
      </c>
      <c r="J63" s="317">
        <v>0</v>
      </c>
      <c r="K63" s="317">
        <v>0</v>
      </c>
      <c r="L63" s="317">
        <v>0</v>
      </c>
      <c r="M63" s="317">
        <v>0</v>
      </c>
      <c r="N63" s="317">
        <v>0</v>
      </c>
      <c r="O63" s="317">
        <v>0</v>
      </c>
      <c r="P63" s="317">
        <v>0</v>
      </c>
      <c r="Q63" s="317">
        <v>0</v>
      </c>
      <c r="R63" s="317">
        <v>0</v>
      </c>
      <c r="S63" s="317">
        <v>0</v>
      </c>
      <c r="T63" s="317">
        <v>0</v>
      </c>
      <c r="U63" s="317">
        <v>0</v>
      </c>
      <c r="V63" s="317">
        <v>0</v>
      </c>
      <c r="W63" s="317">
        <v>0</v>
      </c>
      <c r="X63" s="317">
        <v>0</v>
      </c>
      <c r="Y63" s="317">
        <v>0</v>
      </c>
      <c r="Z63" s="317">
        <v>0</v>
      </c>
      <c r="AA63" s="317">
        <v>0</v>
      </c>
      <c r="AB63" s="317">
        <v>0</v>
      </c>
      <c r="AC63" s="317">
        <v>0</v>
      </c>
      <c r="AD63" s="317">
        <v>0</v>
      </c>
      <c r="AE63" s="317">
        <v>0</v>
      </c>
    </row>
    <row r="64" spans="1:31" x14ac:dyDescent="0.2">
      <c r="A64" s="315" t="s">
        <v>429</v>
      </c>
      <c r="B64" s="317">
        <v>0</v>
      </c>
      <c r="C64" s="317">
        <v>0</v>
      </c>
      <c r="D64" s="317">
        <v>0</v>
      </c>
      <c r="E64" s="317">
        <v>0</v>
      </c>
      <c r="F64" s="317">
        <v>0</v>
      </c>
      <c r="G64" s="317">
        <v>0</v>
      </c>
      <c r="H64" s="317">
        <v>0</v>
      </c>
      <c r="I64" s="317">
        <v>0</v>
      </c>
      <c r="J64" s="317">
        <v>0</v>
      </c>
      <c r="K64" s="317">
        <v>0</v>
      </c>
      <c r="L64" s="317">
        <v>0</v>
      </c>
      <c r="M64" s="317">
        <v>0</v>
      </c>
      <c r="N64" s="317">
        <v>0</v>
      </c>
      <c r="O64" s="317">
        <v>0</v>
      </c>
      <c r="P64" s="317">
        <v>0</v>
      </c>
      <c r="Q64" s="317">
        <v>0</v>
      </c>
      <c r="R64" s="317">
        <v>0</v>
      </c>
      <c r="S64" s="317">
        <v>0</v>
      </c>
      <c r="T64" s="317">
        <v>0</v>
      </c>
      <c r="U64" s="317">
        <v>0</v>
      </c>
      <c r="V64" s="317">
        <v>0</v>
      </c>
      <c r="W64" s="317">
        <v>0</v>
      </c>
      <c r="X64" s="317">
        <v>0</v>
      </c>
      <c r="Y64" s="317">
        <v>0</v>
      </c>
      <c r="Z64" s="317">
        <v>0</v>
      </c>
      <c r="AA64" s="317">
        <v>0</v>
      </c>
      <c r="AB64" s="317">
        <v>0</v>
      </c>
      <c r="AC64" s="317">
        <v>0</v>
      </c>
      <c r="AD64" s="317">
        <v>0</v>
      </c>
      <c r="AE64" s="317">
        <v>0</v>
      </c>
    </row>
    <row r="65" spans="1:31" x14ac:dyDescent="0.2">
      <c r="A65" s="315" t="s">
        <v>606</v>
      </c>
      <c r="B65" s="317">
        <v>0</v>
      </c>
      <c r="C65" s="317">
        <v>0</v>
      </c>
      <c r="D65" s="347">
        <f>-($B$24+D67)*0.022</f>
        <v>-137479.94591342559</v>
      </c>
      <c r="E65" s="347">
        <f>-($B$24+E67+D67)*0.022</f>
        <v>-132739.25812330746</v>
      </c>
      <c r="F65" s="348">
        <f>-($B$24+F67+D67+E67)*0.022</f>
        <v>-127998.57033318935</v>
      </c>
      <c r="G65" s="348">
        <f>-($B$24+G67+E67+F67+D67)*0.022</f>
        <v>-123257.88254307122</v>
      </c>
      <c r="H65" s="348">
        <f>-($B$24+H67+F67+G67+E67+D67)*0.022</f>
        <v>-118517.1947529531</v>
      </c>
      <c r="I65" s="348">
        <f>-($B$24+I67+G67+H67+F67+D67+E67)*0.022</f>
        <v>-113776.50696283499</v>
      </c>
      <c r="J65" s="348">
        <f>-($B$24+D67+J67+H67+I67+G67+E67+F67)*0.022</f>
        <v>-109035.81917271687</v>
      </c>
      <c r="K65" s="348">
        <f>-($B$24+E67+K67+I67+J67+H67+F67+G67+D67)*0.022</f>
        <v>-104295.13138259875</v>
      </c>
      <c r="L65" s="348">
        <f>-($B$24+F67+L67+J67+K67+I67+G67+H67+D67+E67)*0.022</f>
        <v>-99554.443592480631</v>
      </c>
      <c r="M65" s="348">
        <f>-($B$24+G67+M67+K67+L67+J67+H67+I67+F67+E67+D67)*0.022</f>
        <v>-94813.755802362517</v>
      </c>
      <c r="N65" s="348">
        <f>(-$B$24+H67+N67+L67+M67+K67+I67+J67+G67+F67+E67+D67)*0.022</f>
        <v>-194368.19939484305</v>
      </c>
      <c r="O65" s="348">
        <f>-($B$24+I67+O67+M67+N67+L67+J67+K67+H67+G67+F67+D67+E67)*0.022</f>
        <v>-85332.380222126274</v>
      </c>
      <c r="P65" s="348">
        <f>-($B$24+J67+P67+N67+O67+M67+K67+L67+I67+H67+G67+E67+D67+F67)*0.022</f>
        <v>-80591.69243200816</v>
      </c>
      <c r="Q65" s="348">
        <f>-($B$24+K67+Q67+O67+P67+N67+L67+M67+J67+I67+H67+F67+G67+D67+E67)*0.022</f>
        <v>-75851.004641890046</v>
      </c>
      <c r="R65" s="348">
        <f>-($B$24+L67+R67+P67+Q67+O67+M67+N67+K67+J67+I67+G67+H67+E67+D67+F67)*0.022</f>
        <v>-71110.316851771917</v>
      </c>
      <c r="S65" s="348">
        <f>-($B$24+M67+S67+Q67+R67+P67+N67+O67+L67+K67+J67+H67+I67+F67+E67+D67+G67)*0.022</f>
        <v>-66369.629061653803</v>
      </c>
      <c r="T65" s="348">
        <f>-($B$24+N67+T67+R67+S67+Q67+O67+P67+M67+L67+K67+I67+J67+G67+F67+E67+D67+H67)*0.022</f>
        <v>-61628.941271535681</v>
      </c>
      <c r="U65" s="348">
        <f>-($B$24+O67+U67+S67+T67+R67+P67+Q67+N67+M67+L67+J67+K67+H67+G67+F67+E67+D67+I67)*0.022</f>
        <v>-56888.253481417567</v>
      </c>
      <c r="V65" s="348">
        <f>-($B$24+P67+V67+T67+U67+S67+Q67+R67+O67+N67+M67+K67+L67+I67+H67+G67+F67+D67+E67++J67)*0.022</f>
        <v>-52147.565691299445</v>
      </c>
      <c r="W65" s="348">
        <f>-($B$24+Q67+W67+U67+V67+T67+R67+S67+P67+O67+N67+L67+M67+J67+I67+H67+G67+E67+F67+D67+K67)*0.022</f>
        <v>-47406.877901181331</v>
      </c>
      <c r="X65" s="348">
        <f>-($B$24+R67+X67+V67+W67+U67+S67+T67+Q67+P67+O67+M67+N67+K67+J67+I67+H67+F67+G67+E67+D67+L67)*0.022</f>
        <v>-42666.190111063202</v>
      </c>
      <c r="Y65" s="348">
        <f>-($B$24+S67+Y67+W67+X67+V67+T67+U67+R67+Q67+P67+N67+O67+L67+K67+J67+I67+G67+H67+F67+E67+D67+M67)*0.022</f>
        <v>-37925.502320945081</v>
      </c>
      <c r="Z65" s="348">
        <f>-($B$24+T67+Z67+X67+Y67+W67+U67+V67+S67+R67+Q67+O67+P67+M67+L67+K67+J67+H67+I67+G67+F67+E67+D67+N67)*0.022</f>
        <v>-33184.81453082696</v>
      </c>
      <c r="AA65" s="348">
        <f>-($B$24+U67+AA67+Y67+Z67+X67+V67+W67+T67+S67+R67+P67+Q67+N67+M67+L67+K67+I67+J67+H67+G67+F67+E67+D67+O67)*0.022</f>
        <v>-28444.126740708834</v>
      </c>
      <c r="AB65" s="348">
        <f>-($B$24+V67+AB67+Z67+AA67+Y67+W67+X67+U67+T67+S67+Q67+R67+O67+N67+M67+L67+J67+K67+I67+H67+G67+F67+E67+D67+P67)*0.022</f>
        <v>-23703.438950590709</v>
      </c>
      <c r="AC65" s="348">
        <f>-($B$24+W67+AC67+AA67+AB67+Z67+X67+Y67+V67+U67+T67+R67+S67+P67+O67+N67+M67+K67+L67+J67+I67+H67+G67+F67+E67+D67+Q67)*0.022</f>
        <v>-18962.751160472588</v>
      </c>
      <c r="AD65" s="348">
        <f>-($B$24+X67+AD67+AB67+AC67+AA67+Y67+Z67+W67+V67+U67+S67+T67+Q67+P67+O67+N67+L67+M67+K67+J67+I67+H67+G67+F67+E67+D67+R67)*0.022</f>
        <v>-14222.063370354463</v>
      </c>
      <c r="AE65" s="348">
        <f>-($B$24+Y67+AE67+AC67+AD67+AB67+Z67+AA67+X67+W67+V67+T67+U67+R67+Q67+P67+O67+M67+N67+L67+K67+J67+I67+H67+G67+F67+E67+D67+S67)*0.022</f>
        <v>-9481.3755802363394</v>
      </c>
    </row>
    <row r="66" spans="1:31" x14ac:dyDescent="0.2">
      <c r="A66" s="318" t="s">
        <v>607</v>
      </c>
      <c r="B66" s="319">
        <f t="shared" ref="B66:AE66" si="3">B58+B59</f>
        <v>0</v>
      </c>
      <c r="C66" s="319">
        <f t="shared" si="3"/>
        <v>0</v>
      </c>
      <c r="D66" s="319">
        <f t="shared" si="3"/>
        <v>-137479.94591342559</v>
      </c>
      <c r="E66" s="319">
        <f t="shared" si="3"/>
        <v>-132739.25812330746</v>
      </c>
      <c r="F66" s="319">
        <f t="shared" si="3"/>
        <v>-127998.57033318935</v>
      </c>
      <c r="G66" s="319">
        <f t="shared" si="3"/>
        <v>-123257.88254307122</v>
      </c>
      <c r="H66" s="319">
        <f t="shared" si="3"/>
        <v>-118517.1947529531</v>
      </c>
      <c r="I66" s="319">
        <f t="shared" si="3"/>
        <v>-120241.08122208697</v>
      </c>
      <c r="J66" s="319">
        <f t="shared" si="3"/>
        <v>-109035.81917271687</v>
      </c>
      <c r="K66" s="319">
        <f t="shared" si="3"/>
        <v>-337019.8047156703</v>
      </c>
      <c r="L66" s="319">
        <f t="shared" si="3"/>
        <v>-99554.443592480631</v>
      </c>
      <c r="M66" s="319">
        <f t="shared" si="3"/>
        <v>-94813.755802362517</v>
      </c>
      <c r="N66" s="319">
        <f t="shared" si="3"/>
        <v>-194368.19939484305</v>
      </c>
      <c r="O66" s="319">
        <f t="shared" si="3"/>
        <v>-91796.954481378256</v>
      </c>
      <c r="P66" s="319">
        <f t="shared" si="3"/>
        <v>-80591.69243200816</v>
      </c>
      <c r="Q66" s="319">
        <f t="shared" si="3"/>
        <v>-75851.004641890046</v>
      </c>
      <c r="R66" s="319">
        <f t="shared" si="3"/>
        <v>-71110.316851771917</v>
      </c>
      <c r="S66" s="319">
        <f t="shared" si="3"/>
        <v>-299094.30239472532</v>
      </c>
      <c r="T66" s="319">
        <f t="shared" si="3"/>
        <v>-61628.941271535681</v>
      </c>
      <c r="U66" s="319">
        <f t="shared" si="3"/>
        <v>-63352.827740669556</v>
      </c>
      <c r="V66" s="319">
        <f t="shared" si="3"/>
        <v>-52147.565691299445</v>
      </c>
      <c r="W66" s="319">
        <f t="shared" si="3"/>
        <v>-47406.877901181331</v>
      </c>
      <c r="X66" s="319">
        <f t="shared" si="3"/>
        <v>-42666.190111063202</v>
      </c>
      <c r="Y66" s="319">
        <f t="shared" si="3"/>
        <v>-37925.502320945081</v>
      </c>
      <c r="Z66" s="319">
        <f t="shared" si="3"/>
        <v>-33184.81453082696</v>
      </c>
      <c r="AA66" s="319">
        <f t="shared" si="3"/>
        <v>-261168.80007378035</v>
      </c>
      <c r="AB66" s="319">
        <f t="shared" si="3"/>
        <v>-23703.438950590709</v>
      </c>
      <c r="AC66" s="319">
        <f t="shared" si="3"/>
        <v>-18962.751160472588</v>
      </c>
      <c r="AD66" s="319">
        <f t="shared" si="3"/>
        <v>-14222.063370354463</v>
      </c>
      <c r="AE66" s="319">
        <f t="shared" si="3"/>
        <v>-9481.3755802363394</v>
      </c>
    </row>
    <row r="67" spans="1:31" x14ac:dyDescent="0.2">
      <c r="A67" s="315" t="s">
        <v>255</v>
      </c>
      <c r="B67" s="320">
        <v>0</v>
      </c>
      <c r="C67" s="320">
        <v>0</v>
      </c>
      <c r="D67" s="320">
        <f>-(B24)*$B$27/$B$26</f>
        <v>-215485.80864173287</v>
      </c>
      <c r="E67" s="321">
        <f t="shared" ref="E67:AE67" si="4">D67</f>
        <v>-215485.80864173287</v>
      </c>
      <c r="F67" s="321">
        <f t="shared" si="4"/>
        <v>-215485.80864173287</v>
      </c>
      <c r="G67" s="321">
        <f t="shared" si="4"/>
        <v>-215485.80864173287</v>
      </c>
      <c r="H67" s="321">
        <f t="shared" si="4"/>
        <v>-215485.80864173287</v>
      </c>
      <c r="I67" s="321">
        <f t="shared" si="4"/>
        <v>-215485.80864173287</v>
      </c>
      <c r="J67" s="321">
        <f t="shared" si="4"/>
        <v>-215485.80864173287</v>
      </c>
      <c r="K67" s="321">
        <f t="shared" si="4"/>
        <v>-215485.80864173287</v>
      </c>
      <c r="L67" s="321">
        <f t="shared" si="4"/>
        <v>-215485.80864173287</v>
      </c>
      <c r="M67" s="321">
        <f t="shared" si="4"/>
        <v>-215485.80864173287</v>
      </c>
      <c r="N67" s="321">
        <f t="shared" si="4"/>
        <v>-215485.80864173287</v>
      </c>
      <c r="O67" s="321">
        <f t="shared" si="4"/>
        <v>-215485.80864173287</v>
      </c>
      <c r="P67" s="321">
        <f t="shared" si="4"/>
        <v>-215485.80864173287</v>
      </c>
      <c r="Q67" s="321">
        <f t="shared" si="4"/>
        <v>-215485.80864173287</v>
      </c>
      <c r="R67" s="321">
        <f t="shared" si="4"/>
        <v>-215485.80864173287</v>
      </c>
      <c r="S67" s="321">
        <f t="shared" si="4"/>
        <v>-215485.80864173287</v>
      </c>
      <c r="T67" s="321">
        <f t="shared" si="4"/>
        <v>-215485.80864173287</v>
      </c>
      <c r="U67" s="321">
        <f t="shared" si="4"/>
        <v>-215485.80864173287</v>
      </c>
      <c r="V67" s="321">
        <f t="shared" si="4"/>
        <v>-215485.80864173287</v>
      </c>
      <c r="W67" s="321">
        <f t="shared" si="4"/>
        <v>-215485.80864173287</v>
      </c>
      <c r="X67" s="321">
        <f t="shared" si="4"/>
        <v>-215485.80864173287</v>
      </c>
      <c r="Y67" s="321">
        <f t="shared" si="4"/>
        <v>-215485.80864173287</v>
      </c>
      <c r="Z67" s="321">
        <f t="shared" si="4"/>
        <v>-215485.80864173287</v>
      </c>
      <c r="AA67" s="321">
        <f t="shared" si="4"/>
        <v>-215485.80864173287</v>
      </c>
      <c r="AB67" s="321">
        <f t="shared" si="4"/>
        <v>-215485.80864173287</v>
      </c>
      <c r="AC67" s="321">
        <f t="shared" si="4"/>
        <v>-215485.80864173287</v>
      </c>
      <c r="AD67" s="321">
        <f t="shared" si="4"/>
        <v>-215485.80864173287</v>
      </c>
      <c r="AE67" s="321">
        <f t="shared" si="4"/>
        <v>-215485.80864173287</v>
      </c>
    </row>
    <row r="68" spans="1:31" x14ac:dyDescent="0.2">
      <c r="A68" s="318" t="s">
        <v>608</v>
      </c>
      <c r="B68" s="319">
        <f t="shared" ref="B68:AE68" si="5">B66+B67</f>
        <v>0</v>
      </c>
      <c r="C68" s="319">
        <f>C66+C67</f>
        <v>0</v>
      </c>
      <c r="D68" s="319">
        <f t="shared" si="5"/>
        <v>-352965.75455515843</v>
      </c>
      <c r="E68" s="319">
        <f>E66+E67</f>
        <v>-348225.06676504033</v>
      </c>
      <c r="F68" s="319">
        <f t="shared" si="5"/>
        <v>-343484.37897492223</v>
      </c>
      <c r="G68" s="319">
        <f t="shared" si="5"/>
        <v>-338743.69118480408</v>
      </c>
      <c r="H68" s="319">
        <f t="shared" si="5"/>
        <v>-334003.00339468598</v>
      </c>
      <c r="I68" s="319">
        <f t="shared" si="5"/>
        <v>-335726.88986381982</v>
      </c>
      <c r="J68" s="319">
        <f t="shared" si="5"/>
        <v>-324521.62781444972</v>
      </c>
      <c r="K68" s="319">
        <f t="shared" si="5"/>
        <v>-552505.6133574032</v>
      </c>
      <c r="L68" s="319">
        <f t="shared" si="5"/>
        <v>-315040.25223421352</v>
      </c>
      <c r="M68" s="319">
        <f t="shared" si="5"/>
        <v>-310299.56444409536</v>
      </c>
      <c r="N68" s="319">
        <f t="shared" si="5"/>
        <v>-409854.00803657592</v>
      </c>
      <c r="O68" s="319">
        <f t="shared" si="5"/>
        <v>-307282.7631231111</v>
      </c>
      <c r="P68" s="319">
        <f t="shared" si="5"/>
        <v>-296077.501073741</v>
      </c>
      <c r="Q68" s="319">
        <f t="shared" si="5"/>
        <v>-291336.81328362291</v>
      </c>
      <c r="R68" s="319">
        <f t="shared" si="5"/>
        <v>-286596.12549350481</v>
      </c>
      <c r="S68" s="319">
        <f t="shared" si="5"/>
        <v>-514580.11103645817</v>
      </c>
      <c r="T68" s="319">
        <f t="shared" si="5"/>
        <v>-277114.74991326855</v>
      </c>
      <c r="U68" s="319">
        <f t="shared" si="5"/>
        <v>-278838.63638240244</v>
      </c>
      <c r="V68" s="319">
        <f t="shared" si="5"/>
        <v>-267633.37433303229</v>
      </c>
      <c r="W68" s="319">
        <f t="shared" si="5"/>
        <v>-262892.68654291419</v>
      </c>
      <c r="X68" s="319">
        <f t="shared" si="5"/>
        <v>-258151.99875279609</v>
      </c>
      <c r="Y68" s="319">
        <f t="shared" si="5"/>
        <v>-253411.31096267796</v>
      </c>
      <c r="Z68" s="319">
        <f t="shared" si="5"/>
        <v>-248670.62317255983</v>
      </c>
      <c r="AA68" s="319">
        <f t="shared" si="5"/>
        <v>-476654.60871551326</v>
      </c>
      <c r="AB68" s="319">
        <f t="shared" si="5"/>
        <v>-239189.24759232358</v>
      </c>
      <c r="AC68" s="319">
        <f t="shared" si="5"/>
        <v>-234448.55980220548</v>
      </c>
      <c r="AD68" s="319">
        <f t="shared" si="5"/>
        <v>-229707.87201208735</v>
      </c>
      <c r="AE68" s="319">
        <f t="shared" si="5"/>
        <v>-224967.18422196922</v>
      </c>
    </row>
    <row r="69" spans="1:31" x14ac:dyDescent="0.2">
      <c r="A69" s="315" t="s">
        <v>254</v>
      </c>
      <c r="B69" s="317">
        <v>0</v>
      </c>
      <c r="C69" s="317">
        <v>0</v>
      </c>
      <c r="D69" s="317">
        <v>0</v>
      </c>
      <c r="E69" s="317">
        <v>0</v>
      </c>
      <c r="F69" s="317">
        <v>0</v>
      </c>
      <c r="G69" s="317">
        <v>0</v>
      </c>
      <c r="H69" s="317">
        <v>0</v>
      </c>
      <c r="I69" s="317">
        <v>0</v>
      </c>
      <c r="J69" s="317">
        <v>0</v>
      </c>
      <c r="K69" s="317">
        <v>0</v>
      </c>
      <c r="L69" s="317">
        <v>0</v>
      </c>
      <c r="M69" s="317">
        <v>0</v>
      </c>
      <c r="N69" s="317">
        <v>0</v>
      </c>
      <c r="O69" s="317">
        <v>0</v>
      </c>
      <c r="P69" s="317">
        <v>0</v>
      </c>
      <c r="Q69" s="317">
        <v>0</v>
      </c>
      <c r="R69" s="317">
        <v>0</v>
      </c>
      <c r="S69" s="317">
        <v>0</v>
      </c>
      <c r="T69" s="317">
        <v>0</v>
      </c>
      <c r="U69" s="317">
        <v>0</v>
      </c>
      <c r="V69" s="317">
        <v>0</v>
      </c>
      <c r="W69" s="317">
        <v>0</v>
      </c>
      <c r="X69" s="317">
        <v>0</v>
      </c>
      <c r="Y69" s="317">
        <v>0</v>
      </c>
      <c r="Z69" s="317">
        <v>0</v>
      </c>
      <c r="AA69" s="317">
        <v>0</v>
      </c>
      <c r="AB69" s="317">
        <v>0</v>
      </c>
      <c r="AC69" s="317">
        <v>0</v>
      </c>
      <c r="AD69" s="317">
        <v>0</v>
      </c>
      <c r="AE69" s="317">
        <v>0</v>
      </c>
    </row>
    <row r="70" spans="1:31" x14ac:dyDescent="0.2">
      <c r="A70" s="318" t="s">
        <v>258</v>
      </c>
      <c r="B70" s="319">
        <f t="shared" ref="B70:AE70" si="6">B68+B69</f>
        <v>0</v>
      </c>
      <c r="C70" s="319">
        <f t="shared" si="6"/>
        <v>0</v>
      </c>
      <c r="D70" s="319">
        <f t="shared" si="6"/>
        <v>-352965.75455515843</v>
      </c>
      <c r="E70" s="319">
        <f t="shared" si="6"/>
        <v>-348225.06676504033</v>
      </c>
      <c r="F70" s="319">
        <f t="shared" si="6"/>
        <v>-343484.37897492223</v>
      </c>
      <c r="G70" s="319">
        <f t="shared" si="6"/>
        <v>-338743.69118480408</v>
      </c>
      <c r="H70" s="319">
        <f t="shared" si="6"/>
        <v>-334003.00339468598</v>
      </c>
      <c r="I70" s="319">
        <f t="shared" si="6"/>
        <v>-335726.88986381982</v>
      </c>
      <c r="J70" s="319">
        <f t="shared" si="6"/>
        <v>-324521.62781444972</v>
      </c>
      <c r="K70" s="319">
        <f t="shared" si="6"/>
        <v>-552505.6133574032</v>
      </c>
      <c r="L70" s="319">
        <f t="shared" si="6"/>
        <v>-315040.25223421352</v>
      </c>
      <c r="M70" s="319">
        <f t="shared" si="6"/>
        <v>-310299.56444409536</v>
      </c>
      <c r="N70" s="319">
        <f t="shared" si="6"/>
        <v>-409854.00803657592</v>
      </c>
      <c r="O70" s="319">
        <f t="shared" si="6"/>
        <v>-307282.7631231111</v>
      </c>
      <c r="P70" s="319">
        <f t="shared" si="6"/>
        <v>-296077.501073741</v>
      </c>
      <c r="Q70" s="319">
        <f t="shared" si="6"/>
        <v>-291336.81328362291</v>
      </c>
      <c r="R70" s="319">
        <f t="shared" si="6"/>
        <v>-286596.12549350481</v>
      </c>
      <c r="S70" s="319">
        <f t="shared" si="6"/>
        <v>-514580.11103645817</v>
      </c>
      <c r="T70" s="319">
        <f t="shared" si="6"/>
        <v>-277114.74991326855</v>
      </c>
      <c r="U70" s="319">
        <f t="shared" si="6"/>
        <v>-278838.63638240244</v>
      </c>
      <c r="V70" s="319">
        <f t="shared" si="6"/>
        <v>-267633.37433303229</v>
      </c>
      <c r="W70" s="319">
        <f t="shared" si="6"/>
        <v>-262892.68654291419</v>
      </c>
      <c r="X70" s="319">
        <f t="shared" si="6"/>
        <v>-258151.99875279609</v>
      </c>
      <c r="Y70" s="319">
        <f t="shared" si="6"/>
        <v>-253411.31096267796</v>
      </c>
      <c r="Z70" s="319">
        <f t="shared" si="6"/>
        <v>-248670.62317255983</v>
      </c>
      <c r="AA70" s="319">
        <f t="shared" si="6"/>
        <v>-476654.60871551326</v>
      </c>
      <c r="AB70" s="319">
        <f t="shared" si="6"/>
        <v>-239189.24759232358</v>
      </c>
      <c r="AC70" s="319">
        <f t="shared" si="6"/>
        <v>-234448.55980220548</v>
      </c>
      <c r="AD70" s="319">
        <f t="shared" si="6"/>
        <v>-229707.87201208735</v>
      </c>
      <c r="AE70" s="319">
        <f t="shared" si="6"/>
        <v>-224967.18422196922</v>
      </c>
    </row>
    <row r="71" spans="1:31" x14ac:dyDescent="0.2">
      <c r="A71" s="315" t="s">
        <v>253</v>
      </c>
      <c r="B71" s="320">
        <f t="shared" ref="B71:AE71" si="7">-B70*$B$35</f>
        <v>0</v>
      </c>
      <c r="C71" s="320">
        <f t="shared" si="7"/>
        <v>0</v>
      </c>
      <c r="D71" s="320">
        <f t="shared" si="7"/>
        <v>70593.150911031684</v>
      </c>
      <c r="E71" s="320">
        <f t="shared" si="7"/>
        <v>69645.013353008064</v>
      </c>
      <c r="F71" s="320">
        <f t="shared" si="7"/>
        <v>68696.875794984444</v>
      </c>
      <c r="G71" s="320">
        <f t="shared" si="7"/>
        <v>67748.738236960824</v>
      </c>
      <c r="H71" s="320">
        <f t="shared" si="7"/>
        <v>66800.600678937204</v>
      </c>
      <c r="I71" s="320">
        <f t="shared" si="7"/>
        <v>67145.377972763963</v>
      </c>
      <c r="J71" s="320">
        <f t="shared" si="7"/>
        <v>64904.32556288995</v>
      </c>
      <c r="K71" s="320">
        <f t="shared" si="7"/>
        <v>110501.12267148064</v>
      </c>
      <c r="L71" s="320">
        <f t="shared" si="7"/>
        <v>63008.05044684271</v>
      </c>
      <c r="M71" s="320">
        <f t="shared" si="7"/>
        <v>62059.912888819075</v>
      </c>
      <c r="N71" s="320">
        <f t="shared" si="7"/>
        <v>81970.801607315196</v>
      </c>
      <c r="O71" s="320">
        <f t="shared" si="7"/>
        <v>61456.552624622222</v>
      </c>
      <c r="P71" s="320">
        <f t="shared" si="7"/>
        <v>59215.500214748201</v>
      </c>
      <c r="Q71" s="320">
        <f t="shared" si="7"/>
        <v>58267.362656724581</v>
      </c>
      <c r="R71" s="320">
        <f t="shared" si="7"/>
        <v>57319.225098700961</v>
      </c>
      <c r="S71" s="320">
        <f t="shared" si="7"/>
        <v>102916.02220729164</v>
      </c>
      <c r="T71" s="320">
        <f t="shared" si="7"/>
        <v>55422.949982653714</v>
      </c>
      <c r="U71" s="320">
        <f t="shared" si="7"/>
        <v>55767.727276480495</v>
      </c>
      <c r="V71" s="320">
        <f t="shared" si="7"/>
        <v>53526.67486660646</v>
      </c>
      <c r="W71" s="320">
        <f t="shared" si="7"/>
        <v>52578.53730858284</v>
      </c>
      <c r="X71" s="320">
        <f t="shared" si="7"/>
        <v>51630.39975055922</v>
      </c>
      <c r="Y71" s="320">
        <f t="shared" si="7"/>
        <v>50682.262192535592</v>
      </c>
      <c r="Z71" s="320">
        <f t="shared" si="7"/>
        <v>49734.124634511973</v>
      </c>
      <c r="AA71" s="320">
        <f t="shared" si="7"/>
        <v>95330.921743102663</v>
      </c>
      <c r="AB71" s="320">
        <f t="shared" si="7"/>
        <v>47837.849518464718</v>
      </c>
      <c r="AC71" s="320">
        <f t="shared" si="7"/>
        <v>46889.711960441098</v>
      </c>
      <c r="AD71" s="320">
        <f t="shared" si="7"/>
        <v>45941.574402417471</v>
      </c>
      <c r="AE71" s="320">
        <f t="shared" si="7"/>
        <v>44993.436844393844</v>
      </c>
    </row>
    <row r="72" spans="1:31" ht="13.5" thickBot="1" x14ac:dyDescent="0.25">
      <c r="A72" s="322" t="s">
        <v>257</v>
      </c>
      <c r="B72" s="323">
        <f t="shared" ref="B72:AE72" si="8">B70+B71</f>
        <v>0</v>
      </c>
      <c r="C72" s="323">
        <f t="shared" si="8"/>
        <v>0</v>
      </c>
      <c r="D72" s="323">
        <f t="shared" si="8"/>
        <v>-282372.60364412674</v>
      </c>
      <c r="E72" s="323">
        <f t="shared" si="8"/>
        <v>-278580.05341203226</v>
      </c>
      <c r="F72" s="323">
        <f t="shared" si="8"/>
        <v>-274787.50317993778</v>
      </c>
      <c r="G72" s="323">
        <f t="shared" si="8"/>
        <v>-270994.95294784324</v>
      </c>
      <c r="H72" s="323">
        <f t="shared" si="8"/>
        <v>-267202.40271574876</v>
      </c>
      <c r="I72" s="323">
        <f t="shared" si="8"/>
        <v>-268581.51189105585</v>
      </c>
      <c r="J72" s="323">
        <f t="shared" si="8"/>
        <v>-259617.30225155977</v>
      </c>
      <c r="K72" s="323">
        <f t="shared" si="8"/>
        <v>-442004.49068592256</v>
      </c>
      <c r="L72" s="323">
        <f t="shared" si="8"/>
        <v>-252032.20178737081</v>
      </c>
      <c r="M72" s="323">
        <f t="shared" si="8"/>
        <v>-248239.6515552763</v>
      </c>
      <c r="N72" s="323">
        <f t="shared" si="8"/>
        <v>-327883.20642926072</v>
      </c>
      <c r="O72" s="323">
        <f t="shared" si="8"/>
        <v>-245826.21049848889</v>
      </c>
      <c r="P72" s="323">
        <f t="shared" si="8"/>
        <v>-236862.0008589928</v>
      </c>
      <c r="Q72" s="323">
        <f t="shared" si="8"/>
        <v>-233069.45062689832</v>
      </c>
      <c r="R72" s="323">
        <f t="shared" si="8"/>
        <v>-229276.90039480384</v>
      </c>
      <c r="S72" s="323">
        <f t="shared" si="8"/>
        <v>-411664.08882916655</v>
      </c>
      <c r="T72" s="323">
        <f t="shared" si="8"/>
        <v>-221691.79993061483</v>
      </c>
      <c r="U72" s="323">
        <f t="shared" si="8"/>
        <v>-223070.90910592195</v>
      </c>
      <c r="V72" s="323">
        <f t="shared" si="8"/>
        <v>-214106.69946642584</v>
      </c>
      <c r="W72" s="323">
        <f t="shared" si="8"/>
        <v>-210314.14923433136</v>
      </c>
      <c r="X72" s="323">
        <f t="shared" si="8"/>
        <v>-206521.59900223688</v>
      </c>
      <c r="Y72" s="323">
        <f t="shared" si="8"/>
        <v>-202729.04877014237</v>
      </c>
      <c r="Z72" s="323">
        <f t="shared" si="8"/>
        <v>-198936.49853804786</v>
      </c>
      <c r="AA72" s="323">
        <f t="shared" si="8"/>
        <v>-381323.68697241059</v>
      </c>
      <c r="AB72" s="323">
        <f t="shared" si="8"/>
        <v>-191351.39807385887</v>
      </c>
      <c r="AC72" s="323">
        <f t="shared" si="8"/>
        <v>-187558.84784176439</v>
      </c>
      <c r="AD72" s="323">
        <f t="shared" si="8"/>
        <v>-183766.29760966988</v>
      </c>
      <c r="AE72" s="323">
        <f t="shared" si="8"/>
        <v>-179973.74737757538</v>
      </c>
    </row>
    <row r="73" spans="1:31" ht="13.5" thickBot="1" x14ac:dyDescent="0.25">
      <c r="A73" s="305"/>
      <c r="B73" s="324">
        <v>0.5</v>
      </c>
      <c r="C73" s="324">
        <v>1.5</v>
      </c>
      <c r="D73" s="324">
        <v>2.5</v>
      </c>
      <c r="E73" s="324">
        <v>3.5</v>
      </c>
      <c r="F73" s="324">
        <v>4.5</v>
      </c>
      <c r="G73" s="324">
        <v>5.5</v>
      </c>
      <c r="H73" s="324">
        <v>6.5</v>
      </c>
      <c r="I73" s="324">
        <v>7.5</v>
      </c>
      <c r="J73" s="324">
        <v>8.5</v>
      </c>
      <c r="K73" s="324">
        <v>9.5</v>
      </c>
      <c r="L73" s="324">
        <v>10.5</v>
      </c>
      <c r="M73" s="324">
        <v>11.5</v>
      </c>
      <c r="N73" s="324">
        <v>12.5</v>
      </c>
      <c r="O73" s="324">
        <v>13.5</v>
      </c>
      <c r="P73" s="324">
        <v>14.5</v>
      </c>
      <c r="Q73" s="324">
        <v>15.5</v>
      </c>
      <c r="R73" s="324">
        <v>16.5</v>
      </c>
      <c r="S73" s="324">
        <v>17.5</v>
      </c>
      <c r="T73" s="324">
        <v>18.5</v>
      </c>
      <c r="U73" s="324">
        <v>19.5</v>
      </c>
      <c r="V73" s="324">
        <v>20.5</v>
      </c>
      <c r="W73" s="324">
        <v>21.5</v>
      </c>
      <c r="X73" s="324">
        <v>22.5</v>
      </c>
      <c r="Y73" s="324">
        <v>23.5</v>
      </c>
      <c r="Z73" s="324">
        <v>24.5</v>
      </c>
      <c r="AA73" s="324">
        <v>25.5</v>
      </c>
      <c r="AB73" s="324">
        <v>26.5</v>
      </c>
      <c r="AC73" s="324">
        <v>27.5</v>
      </c>
      <c r="AD73" s="324">
        <v>28.5</v>
      </c>
      <c r="AE73" s="324">
        <v>29.5</v>
      </c>
    </row>
    <row r="74" spans="1:31" x14ac:dyDescent="0.2">
      <c r="A74" s="307" t="s">
        <v>256</v>
      </c>
      <c r="B74" s="298">
        <v>1</v>
      </c>
      <c r="C74" s="298">
        <v>2</v>
      </c>
      <c r="D74" s="298">
        <v>3</v>
      </c>
      <c r="E74" s="298">
        <v>4</v>
      </c>
      <c r="F74" s="298">
        <v>5</v>
      </c>
      <c r="G74" s="298">
        <v>6</v>
      </c>
      <c r="H74" s="298">
        <v>7</v>
      </c>
      <c r="I74" s="298">
        <v>8</v>
      </c>
      <c r="J74" s="298">
        <v>9</v>
      </c>
      <c r="K74" s="298">
        <v>10</v>
      </c>
      <c r="L74" s="298">
        <v>11</v>
      </c>
      <c r="M74" s="298">
        <v>12</v>
      </c>
      <c r="N74" s="298">
        <v>13</v>
      </c>
      <c r="O74" s="298">
        <v>14</v>
      </c>
      <c r="P74" s="298">
        <v>15</v>
      </c>
      <c r="Q74" s="298">
        <v>16</v>
      </c>
      <c r="R74" s="298">
        <v>17</v>
      </c>
      <c r="S74" s="298">
        <v>18</v>
      </c>
      <c r="T74" s="298">
        <v>19</v>
      </c>
      <c r="U74" s="298">
        <v>20</v>
      </c>
      <c r="V74" s="298">
        <v>21</v>
      </c>
      <c r="W74" s="298">
        <v>22</v>
      </c>
      <c r="X74" s="298">
        <v>23</v>
      </c>
      <c r="Y74" s="298">
        <v>24</v>
      </c>
      <c r="Z74" s="298">
        <v>25</v>
      </c>
      <c r="AA74" s="298">
        <v>26</v>
      </c>
      <c r="AB74" s="298">
        <v>27</v>
      </c>
      <c r="AC74" s="298">
        <v>28</v>
      </c>
      <c r="AD74" s="298">
        <v>29</v>
      </c>
      <c r="AE74" s="298">
        <v>30</v>
      </c>
    </row>
    <row r="75" spans="1:31" x14ac:dyDescent="0.2">
      <c r="A75" s="325" t="s">
        <v>608</v>
      </c>
      <c r="B75" s="319">
        <f t="shared" ref="B75:AE75" si="9">B68</f>
        <v>0</v>
      </c>
      <c r="C75" s="319">
        <f t="shared" si="9"/>
        <v>0</v>
      </c>
      <c r="D75" s="319">
        <f t="shared" si="9"/>
        <v>-352965.75455515843</v>
      </c>
      <c r="E75" s="319">
        <f t="shared" si="9"/>
        <v>-348225.06676504033</v>
      </c>
      <c r="F75" s="319">
        <f t="shared" si="9"/>
        <v>-343484.37897492223</v>
      </c>
      <c r="G75" s="319">
        <f t="shared" si="9"/>
        <v>-338743.69118480408</v>
      </c>
      <c r="H75" s="319">
        <f t="shared" si="9"/>
        <v>-334003.00339468598</v>
      </c>
      <c r="I75" s="319">
        <f t="shared" si="9"/>
        <v>-335726.88986381982</v>
      </c>
      <c r="J75" s="319">
        <f t="shared" si="9"/>
        <v>-324521.62781444972</v>
      </c>
      <c r="K75" s="319">
        <f t="shared" si="9"/>
        <v>-552505.6133574032</v>
      </c>
      <c r="L75" s="319">
        <f t="shared" si="9"/>
        <v>-315040.25223421352</v>
      </c>
      <c r="M75" s="319">
        <f t="shared" si="9"/>
        <v>-310299.56444409536</v>
      </c>
      <c r="N75" s="319">
        <f t="shared" si="9"/>
        <v>-409854.00803657592</v>
      </c>
      <c r="O75" s="319">
        <f t="shared" si="9"/>
        <v>-307282.7631231111</v>
      </c>
      <c r="P75" s="319">
        <f t="shared" si="9"/>
        <v>-296077.501073741</v>
      </c>
      <c r="Q75" s="319">
        <f t="shared" si="9"/>
        <v>-291336.81328362291</v>
      </c>
      <c r="R75" s="319">
        <f t="shared" si="9"/>
        <v>-286596.12549350481</v>
      </c>
      <c r="S75" s="319">
        <f t="shared" si="9"/>
        <v>-514580.11103645817</v>
      </c>
      <c r="T75" s="319">
        <f t="shared" si="9"/>
        <v>-277114.74991326855</v>
      </c>
      <c r="U75" s="319">
        <f t="shared" si="9"/>
        <v>-278838.63638240244</v>
      </c>
      <c r="V75" s="319">
        <f t="shared" si="9"/>
        <v>-267633.37433303229</v>
      </c>
      <c r="W75" s="319">
        <f t="shared" si="9"/>
        <v>-262892.68654291419</v>
      </c>
      <c r="X75" s="319">
        <f t="shared" si="9"/>
        <v>-258151.99875279609</v>
      </c>
      <c r="Y75" s="319">
        <f t="shared" si="9"/>
        <v>-253411.31096267796</v>
      </c>
      <c r="Z75" s="319">
        <f t="shared" si="9"/>
        <v>-248670.62317255983</v>
      </c>
      <c r="AA75" s="319">
        <f t="shared" si="9"/>
        <v>-476654.60871551326</v>
      </c>
      <c r="AB75" s="319">
        <f t="shared" si="9"/>
        <v>-239189.24759232358</v>
      </c>
      <c r="AC75" s="319">
        <f t="shared" si="9"/>
        <v>-234448.55980220548</v>
      </c>
      <c r="AD75" s="319">
        <f t="shared" si="9"/>
        <v>-229707.87201208735</v>
      </c>
      <c r="AE75" s="319">
        <f t="shared" si="9"/>
        <v>-224967.18422196922</v>
      </c>
    </row>
    <row r="76" spans="1:31" x14ac:dyDescent="0.2">
      <c r="A76" s="315" t="s">
        <v>255</v>
      </c>
      <c r="B76" s="320">
        <f t="shared" ref="B76:AE76" si="10">-B67</f>
        <v>0</v>
      </c>
      <c r="C76" s="320">
        <f t="shared" si="10"/>
        <v>0</v>
      </c>
      <c r="D76" s="320">
        <f t="shared" si="10"/>
        <v>215485.80864173287</v>
      </c>
      <c r="E76" s="320">
        <f t="shared" si="10"/>
        <v>215485.80864173287</v>
      </c>
      <c r="F76" s="320">
        <f t="shared" si="10"/>
        <v>215485.80864173287</v>
      </c>
      <c r="G76" s="320">
        <f t="shared" si="10"/>
        <v>215485.80864173287</v>
      </c>
      <c r="H76" s="320">
        <f t="shared" si="10"/>
        <v>215485.80864173287</v>
      </c>
      <c r="I76" s="320">
        <f t="shared" si="10"/>
        <v>215485.80864173287</v>
      </c>
      <c r="J76" s="320">
        <f t="shared" si="10"/>
        <v>215485.80864173287</v>
      </c>
      <c r="K76" s="320">
        <f t="shared" si="10"/>
        <v>215485.80864173287</v>
      </c>
      <c r="L76" s="320">
        <f t="shared" si="10"/>
        <v>215485.80864173287</v>
      </c>
      <c r="M76" s="320">
        <f t="shared" si="10"/>
        <v>215485.80864173287</v>
      </c>
      <c r="N76" s="320">
        <f t="shared" si="10"/>
        <v>215485.80864173287</v>
      </c>
      <c r="O76" s="320">
        <f t="shared" si="10"/>
        <v>215485.80864173287</v>
      </c>
      <c r="P76" s="320">
        <f t="shared" si="10"/>
        <v>215485.80864173287</v>
      </c>
      <c r="Q76" s="320">
        <f t="shared" si="10"/>
        <v>215485.80864173287</v>
      </c>
      <c r="R76" s="320">
        <f t="shared" si="10"/>
        <v>215485.80864173287</v>
      </c>
      <c r="S76" s="320">
        <f t="shared" si="10"/>
        <v>215485.80864173287</v>
      </c>
      <c r="T76" s="320">
        <f t="shared" si="10"/>
        <v>215485.80864173287</v>
      </c>
      <c r="U76" s="320">
        <f t="shared" si="10"/>
        <v>215485.80864173287</v>
      </c>
      <c r="V76" s="320">
        <f t="shared" si="10"/>
        <v>215485.80864173287</v>
      </c>
      <c r="W76" s="320">
        <f t="shared" si="10"/>
        <v>215485.80864173287</v>
      </c>
      <c r="X76" s="320">
        <f t="shared" si="10"/>
        <v>215485.80864173287</v>
      </c>
      <c r="Y76" s="320">
        <f t="shared" si="10"/>
        <v>215485.80864173287</v>
      </c>
      <c r="Z76" s="320">
        <f t="shared" si="10"/>
        <v>215485.80864173287</v>
      </c>
      <c r="AA76" s="320">
        <f t="shared" si="10"/>
        <v>215485.80864173287</v>
      </c>
      <c r="AB76" s="320">
        <f t="shared" si="10"/>
        <v>215485.80864173287</v>
      </c>
      <c r="AC76" s="320">
        <f t="shared" si="10"/>
        <v>215485.80864173287</v>
      </c>
      <c r="AD76" s="320">
        <f t="shared" si="10"/>
        <v>215485.80864173287</v>
      </c>
      <c r="AE76" s="320">
        <f t="shared" si="10"/>
        <v>215485.80864173287</v>
      </c>
    </row>
    <row r="77" spans="1:31" x14ac:dyDescent="0.2">
      <c r="A77" s="315" t="s">
        <v>254</v>
      </c>
      <c r="B77" s="320">
        <f t="shared" ref="B77:AE77" si="11">B69</f>
        <v>0</v>
      </c>
      <c r="C77" s="320">
        <f t="shared" si="11"/>
        <v>0</v>
      </c>
      <c r="D77" s="320">
        <f t="shared" si="11"/>
        <v>0</v>
      </c>
      <c r="E77" s="320">
        <f t="shared" si="11"/>
        <v>0</v>
      </c>
      <c r="F77" s="320">
        <f t="shared" si="11"/>
        <v>0</v>
      </c>
      <c r="G77" s="320">
        <f t="shared" si="11"/>
        <v>0</v>
      </c>
      <c r="H77" s="320">
        <f t="shared" si="11"/>
        <v>0</v>
      </c>
      <c r="I77" s="320">
        <f t="shared" si="11"/>
        <v>0</v>
      </c>
      <c r="J77" s="320">
        <f t="shared" si="11"/>
        <v>0</v>
      </c>
      <c r="K77" s="320">
        <f t="shared" si="11"/>
        <v>0</v>
      </c>
      <c r="L77" s="320">
        <f t="shared" si="11"/>
        <v>0</v>
      </c>
      <c r="M77" s="320">
        <f t="shared" si="11"/>
        <v>0</v>
      </c>
      <c r="N77" s="320">
        <f t="shared" si="11"/>
        <v>0</v>
      </c>
      <c r="O77" s="320">
        <f t="shared" si="11"/>
        <v>0</v>
      </c>
      <c r="P77" s="320">
        <f t="shared" si="11"/>
        <v>0</v>
      </c>
      <c r="Q77" s="320">
        <f t="shared" si="11"/>
        <v>0</v>
      </c>
      <c r="R77" s="320">
        <f t="shared" si="11"/>
        <v>0</v>
      </c>
      <c r="S77" s="320">
        <f t="shared" si="11"/>
        <v>0</v>
      </c>
      <c r="T77" s="320">
        <f t="shared" si="11"/>
        <v>0</v>
      </c>
      <c r="U77" s="320">
        <f t="shared" si="11"/>
        <v>0</v>
      </c>
      <c r="V77" s="320">
        <f t="shared" si="11"/>
        <v>0</v>
      </c>
      <c r="W77" s="320">
        <f t="shared" si="11"/>
        <v>0</v>
      </c>
      <c r="X77" s="320">
        <f t="shared" si="11"/>
        <v>0</v>
      </c>
      <c r="Y77" s="320">
        <f t="shared" si="11"/>
        <v>0</v>
      </c>
      <c r="Z77" s="320">
        <f t="shared" si="11"/>
        <v>0</v>
      </c>
      <c r="AA77" s="320">
        <f t="shared" si="11"/>
        <v>0</v>
      </c>
      <c r="AB77" s="320">
        <f t="shared" si="11"/>
        <v>0</v>
      </c>
      <c r="AC77" s="320">
        <f t="shared" si="11"/>
        <v>0</v>
      </c>
      <c r="AD77" s="320">
        <f t="shared" si="11"/>
        <v>0</v>
      </c>
      <c r="AE77" s="320">
        <f t="shared" si="11"/>
        <v>0</v>
      </c>
    </row>
    <row r="78" spans="1:31" x14ac:dyDescent="0.2">
      <c r="A78" s="315" t="s">
        <v>253</v>
      </c>
      <c r="B78" s="320">
        <f>IF(SUM($B$71:B71)+SUM($A$78:A78)&gt;0,0,SUM($B$71:B71)-SUM($A$78:A78))</f>
        <v>0</v>
      </c>
      <c r="C78" s="320">
        <f>IF(SUM($B$71:C71)+SUM($A$78:B78)&gt;0,0,SUM($B$71:C71)-SUM($A$78:B78))</f>
        <v>0</v>
      </c>
      <c r="D78" s="320">
        <f>IF(SUM($B$71:D71)+SUM($A$78:C78)&gt;0,0,SUM($B$71:D71)-SUM($A$78:C78))</f>
        <v>0</v>
      </c>
      <c r="E78" s="320">
        <f>IF(SUM($B$71:E71)+SUM($A$78:D78)&gt;0,0,SUM($B$71:E71)-SUM($A$78:D78))</f>
        <v>0</v>
      </c>
      <c r="F78" s="320">
        <f>IF(SUM($B$71:F71)+SUM($A$78:E78)&gt;0,0,SUM($B$71:F71)-SUM($A$78:E78))</f>
        <v>0</v>
      </c>
      <c r="G78" s="320">
        <f>IF(SUM($B$71:G71)+SUM($A$78:F78)&gt;0,0,SUM($B$71:G71)-SUM($A$78:F78))</f>
        <v>0</v>
      </c>
      <c r="H78" s="320">
        <f>IF(SUM($B$71:H71)+SUM($A$78:G78)&gt;0,0,SUM($B$71:H71)-SUM($A$78:G78))</f>
        <v>0</v>
      </c>
      <c r="I78" s="320">
        <f>IF(SUM($B$71:I71)+SUM($A$78:H78)&gt;0,0,SUM($B$71:I71)-SUM($A$78:H78))</f>
        <v>0</v>
      </c>
      <c r="J78" s="320">
        <f>IF(SUM($B$71:J71)+SUM($A$78:I78)&gt;0,0,SUM($B$71:J71)-SUM($A$78:I78))</f>
        <v>0</v>
      </c>
      <c r="K78" s="320">
        <f>IF(SUM($B$71:K71)+SUM($A$78:J78)&gt;0,0,SUM($B$71:K71)-SUM($A$78:J78))</f>
        <v>0</v>
      </c>
      <c r="L78" s="320">
        <f>IF(SUM($B$71:L71)+SUM($A$78:K78)&gt;0,0,SUM($B$71:L71)-SUM($A$78:K78))</f>
        <v>0</v>
      </c>
      <c r="M78" s="320">
        <f>IF(SUM($B$71:M71)+SUM($A$78:L78)&gt;0,0,SUM($B$71:M71)-SUM($A$78:L78))</f>
        <v>0</v>
      </c>
      <c r="N78" s="320">
        <f>IF(SUM($B$71:N71)+SUM($A$78:M78)&gt;0,0,SUM($B$71:N71)-SUM($A$78:M78))</f>
        <v>0</v>
      </c>
      <c r="O78" s="320">
        <f>IF(SUM($B$71:O71)+SUM($A$78:N78)&gt;0,0,SUM($B$71:O71)-SUM($A$78:N78))</f>
        <v>0</v>
      </c>
      <c r="P78" s="320">
        <f>IF(SUM($B$71:P71)+SUM($A$78:O78)&gt;0,0,SUM($B$71:P71)-SUM($A$78:O78))</f>
        <v>0</v>
      </c>
      <c r="Q78" s="320">
        <f>IF(SUM($B$71:Q71)+SUM($A$78:P78)&gt;0,0,SUM($B$71:Q71)-SUM($A$78:P78))</f>
        <v>0</v>
      </c>
      <c r="R78" s="320">
        <f>IF(SUM($B$71:R71)+SUM($A$78:Q78)&gt;0,0,SUM($B$71:R71)-SUM($A$78:Q78))</f>
        <v>0</v>
      </c>
      <c r="S78" s="320">
        <f>IF(SUM($B$71:S71)+SUM($A$78:R78)&gt;0,0,SUM($B$71:S71)-SUM($A$78:R78))</f>
        <v>0</v>
      </c>
      <c r="T78" s="320">
        <f>IF(SUM($B$71:T71)+SUM($A$78:S78)&gt;0,0,SUM($B$71:T71)-SUM($A$78:S78))</f>
        <v>0</v>
      </c>
      <c r="U78" s="320">
        <f>IF(SUM($B$71:U71)+SUM($A$78:T78)&gt;0,0,SUM($B$71:U71)-SUM($A$78:T78))</f>
        <v>0</v>
      </c>
      <c r="V78" s="320">
        <f>IF(SUM($B$71:V71)+SUM($A$78:U78)&gt;0,0,SUM($B$71:V71)-SUM($A$78:U78))</f>
        <v>0</v>
      </c>
      <c r="W78" s="320">
        <f>IF(SUM($B$71:W71)+SUM($A$78:V78)&gt;0,0,SUM($B$71:W71)-SUM($A$78:V78))</f>
        <v>0</v>
      </c>
      <c r="X78" s="320">
        <f>IF(SUM($B$71:X71)+SUM($A$78:W78)&gt;0,0,SUM($B$71:X71)-SUM($A$78:W78))</f>
        <v>0</v>
      </c>
      <c r="Y78" s="320">
        <f>IF(SUM($B$71:Y71)+SUM($A$78:X78)&gt;0,0,SUM($B$71:Y71)-SUM($A$78:X78))</f>
        <v>0</v>
      </c>
      <c r="Z78" s="320">
        <f>IF(SUM($B$71:Z71)+SUM($A$78:Y78)&gt;0,0,SUM($B$71:Z71)-SUM($A$78:Y78))</f>
        <v>0</v>
      </c>
      <c r="AA78" s="320">
        <f>IF(SUM($B$71:AA71)+SUM($A$78:Z78)&gt;0,0,SUM($B$71:AA71)-SUM($A$78:Z78))</f>
        <v>0</v>
      </c>
      <c r="AB78" s="320">
        <f>IF(SUM($B$71:AB71)+SUM($A$78:AA78)&gt;0,0,SUM($B$71:AB71)-SUM($A$78:AA78))</f>
        <v>0</v>
      </c>
      <c r="AC78" s="320">
        <f>IF(SUM($B$71:AC71)+SUM($A$78:AB78)&gt;0,0,SUM($B$71:AC71)-SUM($A$78:AB78))</f>
        <v>0</v>
      </c>
      <c r="AD78" s="320">
        <f>IF(SUM($B$71:AD71)+SUM($A$78:AC78)&gt;0,0,SUM($B$71:AD71)-SUM($A$78:AC78))</f>
        <v>0</v>
      </c>
      <c r="AE78" s="320">
        <f>IF(SUM($B$71:AE71)+SUM($A$78:AD78)&gt;0,0,SUM($B$71:AE71)-SUM($A$78:AD78))</f>
        <v>0</v>
      </c>
    </row>
    <row r="79" spans="1:31" x14ac:dyDescent="0.2">
      <c r="A79" s="315" t="s">
        <v>252</v>
      </c>
      <c r="B79" s="320">
        <f>IF(((SUM($B$58:B58)+SUM($B$60:B64))+SUM($B$81:B81))&lt;0,((SUM($B$58:B58)+SUM($B$60:B64))+SUM($B$81:B81))*0.2-SUM($A$79:A79),IF(SUM(A$79:$A79)&lt;0,0-SUM(A$79:$A79),0))</f>
        <v>-424800</v>
      </c>
      <c r="C79" s="320">
        <f>IF(((SUM($B$58:C58)+SUM($B$60:C64))+SUM($B$81:C81))&lt;0,((SUM($B$58:C58)+SUM($B$60:C64))+SUM($B$81:C81))*0.2-SUM($A$79:B79),IF(SUM($A$79:B79)&lt;0,0-SUM($A$79:B79),0))</f>
        <v>-1126697.8222204768</v>
      </c>
      <c r="D79" s="320">
        <f>IF(((SUM($B$58:D58)+SUM($B$60:D64))+SUM($B$81:D81))&lt;0,((SUM($B$58:D58)+SUM($B$60:D64))+SUM($B$81:D81))*0.2-SUM($A$79:C79),IF(SUM($A$79:C79)&lt;0,0-SUM($A$79:C79),0))</f>
        <v>0</v>
      </c>
      <c r="E79" s="320">
        <f>IF(((SUM($B$58:E58)+SUM($B$60:E64))+SUM($B$81:E81))&lt;0,((SUM($B$58:E58)+SUM($B$60:E64))+SUM($B$81:E81))*0.2-SUM($A$79:D79),IF(SUM($A$79:D79)&lt;0,0-SUM($A$79:D79),0))</f>
        <v>0</v>
      </c>
      <c r="F79" s="320">
        <f>IF(((SUM($B$58:F58)+SUM($B$60:F64))+SUM($B$81:F81))&lt;0,((SUM($B$58:F58)+SUM($B$60:F64))+SUM($B$81:F81))*0.2-SUM($A$79:E79),IF(SUM($A$79:E79)&lt;0,0-SUM($A$79:E79),0))</f>
        <v>0</v>
      </c>
      <c r="G79" s="320">
        <f>IF(((SUM($B$58:G58)+SUM($B$60:G64))+SUM($B$81:G81))&lt;0,((SUM($B$58:G58)+SUM($B$60:G64))+SUM($B$81:G81))*0.2-SUM($A$79:F79),IF(SUM($A$79:F79)&lt;0,0-SUM($A$79:F79),0))</f>
        <v>0</v>
      </c>
      <c r="H79" s="320">
        <f>IF(((SUM($B$58:H58)+SUM($B$60:H64))+SUM($B$81:H81))&lt;0,((SUM($B$58:H58)+SUM($B$60:H64))+SUM($B$81:H81))*0.2-SUM($A$79:G79),IF(SUM($A$79:G79)&lt;0,0-SUM($A$79:G79),0))</f>
        <v>0</v>
      </c>
      <c r="I79" s="320">
        <f>IF(((SUM($B$58:I58)+SUM($B$60:I64))+SUM($B$81:I81))&lt;0,((SUM($B$58:I58)+SUM($B$60:I64))+SUM($B$81:I81))*0.2-SUM($A$79:H79),IF(SUM($A$79:H79)&lt;0,0-SUM($A$79:H79),0))</f>
        <v>-1292.9148518503644</v>
      </c>
      <c r="J79" s="320">
        <f>IF(((SUM($B$58:J58)+SUM($B$60:J64))+SUM($B$81:J81))&lt;0,((SUM($B$58:J58)+SUM($B$60:J64))+SUM($B$81:J81))*0.2-SUM($A$79:I79),IF(SUM($A$79:I79)&lt;0,0-SUM($A$79:I79),0))</f>
        <v>0</v>
      </c>
      <c r="K79" s="320">
        <f>IF(((SUM($B$58:K58)+SUM($B$60:K64))+SUM($B$81:K81))&lt;0,((SUM($B$58:K58)+SUM($B$60:K64))+SUM($B$81:K81))*0.2-SUM($A$79:J79),IF(SUM($A$79:J79)&lt;0,0-SUM($A$79:J79),0))</f>
        <v>-46544.934666614281</v>
      </c>
      <c r="L79" s="320">
        <f>IF(((SUM($B$58:L58)+SUM($B$60:L64))+SUM($B$81:L81))&lt;0,((SUM($B$58:L58)+SUM($B$60:L64))+SUM($B$81:L81))*0.2-SUM($A$79:K79),IF(SUM($A$79:K79)&lt;0,0-SUM($A$79:K79),0))</f>
        <v>0</v>
      </c>
      <c r="M79" s="320">
        <f>IF(((SUM($B$58:M58)+SUM($B$60:M64))+SUM($B$81:M81))&lt;0,((SUM($B$58:M58)+SUM($B$60:M64))+SUM($B$81:M81))*0.2-SUM($A$79:L79),IF(SUM($A$79:L79)&lt;0,0-SUM($A$79:L79),0))</f>
        <v>0</v>
      </c>
      <c r="N79" s="320">
        <f>IF(((SUM($B$58:N58)+SUM($B$60:N64))+SUM($B$81:N81))&lt;0,((SUM($B$58:N58)+SUM($B$60:N64))+SUM($B$81:N81))*0.2-SUM($A$79:M79),IF(SUM($A$79:M79)&lt;0,0-SUM($A$79:M79),0))</f>
        <v>0</v>
      </c>
      <c r="O79" s="320">
        <f>IF(((SUM($B$58:O58)+SUM($B$60:O64))+SUM($B$81:O81))&lt;0,((SUM($B$58:O58)+SUM($B$60:O64))+SUM($B$81:O81))*0.2-SUM($A$79:N79),IF(SUM($A$79:N79)&lt;0,0-SUM($A$79:N79),0))</f>
        <v>-1292.9148518505972</v>
      </c>
      <c r="P79" s="320">
        <f>IF(((SUM($B$58:P58)+SUM($B$60:P64))+SUM($B$81:P81))&lt;0,((SUM($B$58:P58)+SUM($B$60:P64))+SUM($B$81:P81))*0.2-SUM($A$79:O79),IF(SUM($A$79:O79)&lt;0,0-SUM($A$79:O79),0))</f>
        <v>0</v>
      </c>
      <c r="Q79" s="320">
        <f>IF(((SUM($B$58:Q58)+SUM($B$60:Q64))+SUM($B$81:Q81))&lt;0,((SUM($B$58:Q58)+SUM($B$60:Q64))+SUM($B$81:Q81))*0.2-SUM($A$79:P79),IF(SUM($A$79:P79)&lt;0,0-SUM($A$79:P79),0))</f>
        <v>0</v>
      </c>
      <c r="R79" s="320">
        <f>IF(((SUM($B$58:R58)+SUM($B$60:R64))+SUM($B$81:R81))&lt;0,((SUM($B$58:R58)+SUM($B$60:R64))+SUM($B$81:R81))*0.2-SUM($A$79:Q79),IF(SUM($A$79:Q79)&lt;0,0-SUM($A$79:Q79),0))</f>
        <v>0</v>
      </c>
      <c r="S79" s="320">
        <f>IF(((SUM($B$58:S58)+SUM($B$60:S64))+SUM($B$81:S81))&lt;0,((SUM($B$58:S58)+SUM($B$60:S64))+SUM($B$81:S81))*0.2-SUM($A$79:R79),IF(SUM($A$79:R79)&lt;0,0-SUM($A$79:R79),0))</f>
        <v>-46544.934666614048</v>
      </c>
      <c r="T79" s="320">
        <f>IF(((SUM($B$58:T58)+SUM($B$60:T64))+SUM($B$81:T81))&lt;0,((SUM($B$58:T58)+SUM($B$60:T64))+SUM($B$81:T81))*0.2-SUM($A$79:S79),IF(SUM($A$79:S79)&lt;0,0-SUM($A$79:S79),0))</f>
        <v>0</v>
      </c>
      <c r="U79" s="320">
        <f>IF(((SUM($B$58:U58)+SUM($B$60:U64))+SUM($B$81:U81))&lt;0,((SUM($B$58:U58)+SUM($B$60:U64))+SUM($B$81:U81))*0.2-SUM($A$79:T79),IF(SUM($A$79:T79)&lt;0,0-SUM($A$79:T79),0))</f>
        <v>-1292.9148518505972</v>
      </c>
      <c r="V79" s="320">
        <f>IF(((SUM($B$58:V58)+SUM($B$60:V64))+SUM($B$81:V81))&lt;0,((SUM($B$58:V58)+SUM($B$60:V64))+SUM($B$81:V81))*0.2-SUM($A$79:U79),IF(SUM($A$79:U79)&lt;0,0-SUM($A$79:U79),0))</f>
        <v>0</v>
      </c>
      <c r="W79" s="320">
        <f>IF(((SUM($B$58:W58)+SUM($B$60:W64))+SUM($B$81:W81))&lt;0,((SUM($B$58:W58)+SUM($B$60:W64))+SUM($B$81:W81))*0.2-SUM($A$79:V79),IF(SUM($A$79:V79)&lt;0,0-SUM($A$79:V79),0))</f>
        <v>0</v>
      </c>
      <c r="X79" s="320">
        <f>IF(((SUM($B$58:X58)+SUM($B$60:X64))+SUM($B$81:X81))&lt;0,((SUM($B$58:X58)+SUM($B$60:X64))+SUM($B$81:X81))*0.2-SUM($A$79:W79),IF(SUM($A$79:W79)&lt;0,0-SUM($A$79:W79),0))</f>
        <v>0</v>
      </c>
      <c r="Y79" s="320">
        <f>IF(((SUM($B$58:Y58)+SUM($B$60:Y64))+SUM($B$81:Y81))&lt;0,((SUM($B$58:Y58)+SUM($B$60:Y64))+SUM($B$81:Y81))*0.2-SUM($A$79:X79),IF(SUM($A$79:X79)&lt;0,0-SUM($A$79:X79),0))</f>
        <v>0</v>
      </c>
      <c r="Z79" s="320">
        <f>IF(((SUM($B$58:Z58)+SUM($B$60:Z64))+SUM($B$81:Z81))&lt;0,((SUM($B$58:Z58)+SUM($B$60:Z64))+SUM($B$81:Z81))*0.2-SUM($A$79:Y79),IF(SUM($A$79:Y79)&lt;0,0-SUM($A$79:Y79),0))</f>
        <v>0</v>
      </c>
      <c r="AA79" s="320">
        <f>IF(((SUM($B$58:AA58)+SUM($B$60:AA64))+SUM($B$81:AA81))&lt;0,((SUM($B$58:AA58)+SUM($B$60:AA64))+SUM($B$81:AA81))*0.2-SUM($A$79:Z79),IF(SUM($A$79:Z79)&lt;0,0-SUM($A$79:Z79),0))</f>
        <v>-46544.934666614281</v>
      </c>
      <c r="AB79" s="320">
        <f>IF(((SUM($B$58:AB58)+SUM($B$60:AB64))+SUM($B$81:AB81))&lt;0,((SUM($B$58:AB58)+SUM($B$60:AB64))+SUM($B$81:AB81))*0.2-SUM($A$79:AA79),IF(SUM($A$79:AA79)&lt;0,0-SUM($A$79:AA79),0))</f>
        <v>0</v>
      </c>
      <c r="AC79" s="320">
        <f>IF(((SUM($B$58:AC58)+SUM($B$60:AC64))+SUM($B$81:AC81))&lt;0,((SUM($B$58:AC58)+SUM($B$60:AC64))+SUM($B$81:AC81))*0.2-SUM($A$79:AB79),IF(SUM($A$79:AB79)&lt;0,0-SUM($A$79:AB79),0))</f>
        <v>0</v>
      </c>
      <c r="AD79" s="320">
        <f>IF(((SUM($B$58:AD58)+SUM($B$60:AD64))+SUM($B$81:AD81))&lt;0,((SUM($B$58:AD58)+SUM($B$60:AD64))+SUM($B$81:AD81))*0.2-SUM($A$79:AC79),IF(SUM($A$79:AC79)&lt;0,0-SUM($A$79:AC79),0))</f>
        <v>0</v>
      </c>
      <c r="AE79" s="320">
        <f>IF(((SUM($B$58:AE58)+SUM($B$60:AE64))+SUM($B$81:AE81))&lt;0,((SUM($B$58:AE58)+SUM($B$60:AE64))+SUM($B$81:AE81))*0.2-SUM($A$79:AD79),IF(SUM($A$79:AD79)&lt;0,0-SUM($A$79:AD79),0))</f>
        <v>0</v>
      </c>
    </row>
    <row r="80" spans="1:31" x14ac:dyDescent="0.2">
      <c r="A80" s="315" t="s">
        <v>251</v>
      </c>
      <c r="B80" s="320">
        <f>-B58*($B$38)</f>
        <v>0</v>
      </c>
      <c r="C80" s="320">
        <f t="shared" ref="C80:AE80" si="12">-C58*($B$38)</f>
        <v>0</v>
      </c>
      <c r="D80" s="320">
        <f t="shared" si="12"/>
        <v>0</v>
      </c>
      <c r="E80" s="320">
        <f t="shared" si="12"/>
        <v>0</v>
      </c>
      <c r="F80" s="320">
        <f t="shared" si="12"/>
        <v>0</v>
      </c>
      <c r="G80" s="320">
        <f t="shared" si="12"/>
        <v>0</v>
      </c>
      <c r="H80" s="320">
        <f t="shared" si="12"/>
        <v>0</v>
      </c>
      <c r="I80" s="320">
        <f t="shared" si="12"/>
        <v>0</v>
      </c>
      <c r="J80" s="320">
        <f t="shared" si="12"/>
        <v>0</v>
      </c>
      <c r="K80" s="320">
        <f t="shared" si="12"/>
        <v>0</v>
      </c>
      <c r="L80" s="320">
        <f t="shared" si="12"/>
        <v>0</v>
      </c>
      <c r="M80" s="320">
        <f t="shared" si="12"/>
        <v>0</v>
      </c>
      <c r="N80" s="320">
        <f t="shared" si="12"/>
        <v>0</v>
      </c>
      <c r="O80" s="320">
        <f t="shared" si="12"/>
        <v>0</v>
      </c>
      <c r="P80" s="320">
        <f t="shared" si="12"/>
        <v>0</v>
      </c>
      <c r="Q80" s="320">
        <f t="shared" si="12"/>
        <v>0</v>
      </c>
      <c r="R80" s="320">
        <f t="shared" si="12"/>
        <v>0</v>
      </c>
      <c r="S80" s="320">
        <f t="shared" si="12"/>
        <v>0</v>
      </c>
      <c r="T80" s="320">
        <f t="shared" si="12"/>
        <v>0</v>
      </c>
      <c r="U80" s="320">
        <f t="shared" si="12"/>
        <v>0</v>
      </c>
      <c r="V80" s="320">
        <f t="shared" si="12"/>
        <v>0</v>
      </c>
      <c r="W80" s="320">
        <f t="shared" si="12"/>
        <v>0</v>
      </c>
      <c r="X80" s="320">
        <f t="shared" si="12"/>
        <v>0</v>
      </c>
      <c r="Y80" s="320">
        <f t="shared" si="12"/>
        <v>0</v>
      </c>
      <c r="Z80" s="320">
        <f t="shared" si="12"/>
        <v>0</v>
      </c>
      <c r="AA80" s="320">
        <f t="shared" si="12"/>
        <v>0</v>
      </c>
      <c r="AB80" s="320">
        <f t="shared" si="12"/>
        <v>0</v>
      </c>
      <c r="AC80" s="320">
        <f t="shared" si="12"/>
        <v>0</v>
      </c>
      <c r="AD80" s="320">
        <f t="shared" si="12"/>
        <v>0</v>
      </c>
      <c r="AE80" s="320">
        <f t="shared" si="12"/>
        <v>0</v>
      </c>
    </row>
    <row r="81" spans="1:31" x14ac:dyDescent="0.2">
      <c r="A81" s="315" t="s">
        <v>433</v>
      </c>
      <c r="B81" s="326">
        <f>-'6.2. Паспорт фин осв ввод'!V24*1000000</f>
        <v>-2124000</v>
      </c>
      <c r="C81" s="326">
        <f>-'6.2. Паспорт фин осв ввод'!Z24*1000000</f>
        <v>-5633489.1111023836</v>
      </c>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row>
    <row r="82" spans="1:31" x14ac:dyDescent="0.2">
      <c r="A82" s="315" t="s">
        <v>250</v>
      </c>
      <c r="B82" s="317">
        <v>0</v>
      </c>
      <c r="C82" s="317">
        <v>0</v>
      </c>
      <c r="D82" s="317">
        <v>0</v>
      </c>
      <c r="E82" s="317">
        <v>0</v>
      </c>
      <c r="F82" s="317">
        <v>0</v>
      </c>
      <c r="G82" s="317">
        <v>0</v>
      </c>
      <c r="H82" s="317">
        <v>0</v>
      </c>
      <c r="I82" s="317">
        <v>0</v>
      </c>
      <c r="J82" s="317">
        <v>0</v>
      </c>
      <c r="K82" s="317">
        <v>0</v>
      </c>
      <c r="L82" s="317">
        <v>0</v>
      </c>
      <c r="M82" s="317">
        <v>0</v>
      </c>
      <c r="N82" s="317">
        <v>0</v>
      </c>
      <c r="O82" s="317">
        <v>0</v>
      </c>
      <c r="P82" s="317">
        <v>0</v>
      </c>
      <c r="Q82" s="317">
        <v>0</v>
      </c>
      <c r="R82" s="317">
        <v>0</v>
      </c>
      <c r="S82" s="317">
        <v>0</v>
      </c>
      <c r="T82" s="317">
        <v>0</v>
      </c>
      <c r="U82" s="317">
        <v>0</v>
      </c>
      <c r="V82" s="317">
        <v>0</v>
      </c>
      <c r="W82" s="317">
        <v>0</v>
      </c>
      <c r="X82" s="317">
        <v>0</v>
      </c>
      <c r="Y82" s="317">
        <v>0</v>
      </c>
      <c r="Z82" s="317">
        <v>0</v>
      </c>
      <c r="AA82" s="317">
        <v>0</v>
      </c>
      <c r="AB82" s="317">
        <v>0</v>
      </c>
      <c r="AC82" s="317">
        <v>0</v>
      </c>
      <c r="AD82" s="317">
        <v>0</v>
      </c>
      <c r="AE82" s="317">
        <v>0</v>
      </c>
    </row>
    <row r="83" spans="1:31" x14ac:dyDescent="0.2">
      <c r="A83" s="318" t="s">
        <v>249</v>
      </c>
      <c r="B83" s="319">
        <f t="shared" ref="B83:AE83" si="13">SUM(B75:B82)</f>
        <v>-2548800</v>
      </c>
      <c r="C83" s="319">
        <f t="shared" si="13"/>
        <v>-6760186.9333228599</v>
      </c>
      <c r="D83" s="319">
        <f t="shared" si="13"/>
        <v>-137479.94591342556</v>
      </c>
      <c r="E83" s="319">
        <f t="shared" si="13"/>
        <v>-132739.25812330746</v>
      </c>
      <c r="F83" s="319">
        <f t="shared" si="13"/>
        <v>-127998.57033318936</v>
      </c>
      <c r="G83" s="319">
        <f t="shared" si="13"/>
        <v>-123257.8825430712</v>
      </c>
      <c r="H83" s="319">
        <f t="shared" si="13"/>
        <v>-118517.1947529531</v>
      </c>
      <c r="I83" s="319">
        <f t="shared" si="13"/>
        <v>-121533.99607393731</v>
      </c>
      <c r="J83" s="319">
        <f t="shared" si="13"/>
        <v>-109035.81917271685</v>
      </c>
      <c r="K83" s="319">
        <f t="shared" si="13"/>
        <v>-383564.73938228458</v>
      </c>
      <c r="L83" s="319">
        <f t="shared" si="13"/>
        <v>-99554.443592480646</v>
      </c>
      <c r="M83" s="319">
        <f t="shared" si="13"/>
        <v>-94813.755802362488</v>
      </c>
      <c r="N83" s="319">
        <f t="shared" si="13"/>
        <v>-194368.19939484305</v>
      </c>
      <c r="O83" s="319">
        <f t="shared" si="13"/>
        <v>-93089.869333228824</v>
      </c>
      <c r="P83" s="319">
        <f t="shared" si="13"/>
        <v>-80591.692432008131</v>
      </c>
      <c r="Q83" s="319">
        <f t="shared" si="13"/>
        <v>-75851.004641890031</v>
      </c>
      <c r="R83" s="319">
        <f t="shared" si="13"/>
        <v>-71110.316851771931</v>
      </c>
      <c r="S83" s="319">
        <f t="shared" si="13"/>
        <v>-345639.23706133931</v>
      </c>
      <c r="T83" s="319">
        <f t="shared" si="13"/>
        <v>-61628.941271535674</v>
      </c>
      <c r="U83" s="319">
        <f t="shared" si="13"/>
        <v>-64645.742592520168</v>
      </c>
      <c r="V83" s="319">
        <f t="shared" si="13"/>
        <v>-52147.565691299416</v>
      </c>
      <c r="W83" s="319">
        <f t="shared" si="13"/>
        <v>-47406.877901181317</v>
      </c>
      <c r="X83" s="319">
        <f t="shared" si="13"/>
        <v>-42666.190111063217</v>
      </c>
      <c r="Y83" s="319">
        <f t="shared" si="13"/>
        <v>-37925.502320945088</v>
      </c>
      <c r="Z83" s="319">
        <f t="shared" si="13"/>
        <v>-33184.81453082696</v>
      </c>
      <c r="AA83" s="319">
        <f t="shared" si="13"/>
        <v>-307713.73474039463</v>
      </c>
      <c r="AB83" s="319">
        <f t="shared" si="13"/>
        <v>-23703.438950590702</v>
      </c>
      <c r="AC83" s="319">
        <f t="shared" si="13"/>
        <v>-18962.751160472602</v>
      </c>
      <c r="AD83" s="319">
        <f t="shared" si="13"/>
        <v>-14222.063370354474</v>
      </c>
      <c r="AE83" s="319">
        <f t="shared" si="13"/>
        <v>-9481.3755802363448</v>
      </c>
    </row>
    <row r="84" spans="1:31" x14ac:dyDescent="0.2">
      <c r="A84" s="318" t="s">
        <v>609</v>
      </c>
      <c r="B84" s="319">
        <f>SUM($B$83:B83)</f>
        <v>-2548800</v>
      </c>
      <c r="C84" s="319">
        <f>SUM($B$83:C83)</f>
        <v>-9308986.9333228599</v>
      </c>
      <c r="D84" s="319">
        <f>SUM($B$83:D83)</f>
        <v>-9446466.8792362846</v>
      </c>
      <c r="E84" s="319">
        <f>SUM($B$83:E83)</f>
        <v>-9579206.1373595912</v>
      </c>
      <c r="F84" s="319">
        <f>SUM($B$83:F83)</f>
        <v>-9707204.7076927815</v>
      </c>
      <c r="G84" s="319">
        <f>SUM($B$83:G83)</f>
        <v>-9830462.5902358536</v>
      </c>
      <c r="H84" s="319">
        <f>SUM($B$83:H83)</f>
        <v>-9948979.7849888075</v>
      </c>
      <c r="I84" s="319">
        <f>SUM($B$83:I83)</f>
        <v>-10070513.781062745</v>
      </c>
      <c r="J84" s="319">
        <f>SUM($B$83:J83)</f>
        <v>-10179549.600235462</v>
      </c>
      <c r="K84" s="319">
        <f>SUM($B$83:K83)</f>
        <v>-10563114.339617746</v>
      </c>
      <c r="L84" s="319">
        <f>SUM($B$83:L83)</f>
        <v>-10662668.783210227</v>
      </c>
      <c r="M84" s="319">
        <f>SUM($B$83:M83)</f>
        <v>-10757482.53901259</v>
      </c>
      <c r="N84" s="319">
        <f>SUM($B$83:N83)</f>
        <v>-10951850.738407433</v>
      </c>
      <c r="O84" s="319">
        <f>SUM($B$83:O83)</f>
        <v>-11044940.607740661</v>
      </c>
      <c r="P84" s="319">
        <f>SUM($B$83:P83)</f>
        <v>-11125532.30017267</v>
      </c>
      <c r="Q84" s="319">
        <f>SUM($B$83:Q83)</f>
        <v>-11201383.30481456</v>
      </c>
      <c r="R84" s="319">
        <f>SUM($B$83:R83)</f>
        <v>-11272493.621666333</v>
      </c>
      <c r="S84" s="319">
        <f>SUM($B$83:S83)</f>
        <v>-11618132.858727671</v>
      </c>
      <c r="T84" s="319">
        <f>SUM($B$83:T83)</f>
        <v>-11679761.799999207</v>
      </c>
      <c r="U84" s="319">
        <f>SUM($B$83:U83)</f>
        <v>-11744407.542591728</v>
      </c>
      <c r="V84" s="319">
        <f>SUM($B$83:V83)</f>
        <v>-11796555.108283028</v>
      </c>
      <c r="W84" s="319">
        <f>SUM($B$83:W83)</f>
        <v>-11843961.98618421</v>
      </c>
      <c r="X84" s="319">
        <f>SUM($B$83:X83)</f>
        <v>-11886628.176295273</v>
      </c>
      <c r="Y84" s="319">
        <f>SUM($B$83:Y83)</f>
        <v>-11924553.678616218</v>
      </c>
      <c r="Z84" s="319">
        <f>SUM($B$83:Z83)</f>
        <v>-11957738.493147045</v>
      </c>
      <c r="AA84" s="319">
        <f>SUM($B$83:AA83)</f>
        <v>-12265452.22788744</v>
      </c>
      <c r="AB84" s="319">
        <f>SUM($B$83:AB83)</f>
        <v>-12289155.666838031</v>
      </c>
      <c r="AC84" s="319">
        <f>SUM($B$83:AC83)</f>
        <v>-12308118.417998504</v>
      </c>
      <c r="AD84" s="319">
        <f>SUM($B$83:AD83)</f>
        <v>-12322340.481368858</v>
      </c>
      <c r="AE84" s="319">
        <f>SUM($B$83:AE83)</f>
        <v>-12331821.856949095</v>
      </c>
    </row>
    <row r="85" spans="1:31" x14ac:dyDescent="0.2">
      <c r="A85" s="327" t="s">
        <v>434</v>
      </c>
      <c r="B85" s="328">
        <f t="shared" ref="B85:AE85" si="14">1/POWER((1+$B$43),B73)</f>
        <v>0.95402649883562884</v>
      </c>
      <c r="C85" s="328">
        <f t="shared" si="14"/>
        <v>0.86832301705254278</v>
      </c>
      <c r="D85" s="328">
        <f t="shared" si="14"/>
        <v>0.79031857381682236</v>
      </c>
      <c r="E85" s="328">
        <f t="shared" si="14"/>
        <v>0.71932153801476506</v>
      </c>
      <c r="F85" s="328">
        <f t="shared" si="14"/>
        <v>0.65470241013449082</v>
      </c>
      <c r="G85" s="328">
        <f t="shared" si="14"/>
        <v>0.59588824077044755</v>
      </c>
      <c r="H85" s="328">
        <f t="shared" si="14"/>
        <v>0.54235755053285484</v>
      </c>
      <c r="I85" s="328">
        <f t="shared" si="14"/>
        <v>0.49363570631915432</v>
      </c>
      <c r="J85" s="328">
        <f t="shared" si="14"/>
        <v>0.44929071295090039</v>
      </c>
      <c r="K85" s="328">
        <f t="shared" si="14"/>
        <v>0.40892938286238317</v>
      </c>
      <c r="L85" s="328">
        <f t="shared" si="14"/>
        <v>0.37219384987929666</v>
      </c>
      <c r="M85" s="328">
        <f t="shared" si="14"/>
        <v>0.3387583961766602</v>
      </c>
      <c r="N85" s="328">
        <f t="shared" si="14"/>
        <v>0.30832656428202437</v>
      </c>
      <c r="O85" s="328">
        <f t="shared" si="14"/>
        <v>0.28062852851736092</v>
      </c>
      <c r="P85" s="328">
        <f t="shared" si="14"/>
        <v>0.25541870257336935</v>
      </c>
      <c r="Q85" s="328">
        <f t="shared" si="14"/>
        <v>0.23247356200361272</v>
      </c>
      <c r="R85" s="328">
        <f t="shared" si="14"/>
        <v>0.21158966233149432</v>
      </c>
      <c r="S85" s="328">
        <f t="shared" si="14"/>
        <v>0.19258183519750091</v>
      </c>
      <c r="T85" s="328">
        <f t="shared" si="14"/>
        <v>0.17528154655274497</v>
      </c>
      <c r="U85" s="328">
        <f t="shared" si="14"/>
        <v>0.15953540234162647</v>
      </c>
      <c r="V85" s="328">
        <f t="shared" si="14"/>
        <v>0.14520378842416171</v>
      </c>
      <c r="W85" s="328">
        <f t="shared" si="14"/>
        <v>0.13215963267876735</v>
      </c>
      <c r="X85" s="328">
        <f t="shared" si="14"/>
        <v>0.12028727830960895</v>
      </c>
      <c r="Y85" s="328">
        <f t="shared" si="14"/>
        <v>0.10948145836862559</v>
      </c>
      <c r="Z85" s="328">
        <f t="shared" si="14"/>
        <v>9.9646362399768443E-2</v>
      </c>
      <c r="AA85" s="328">
        <f t="shared" si="14"/>
        <v>9.0694786929797461E-2</v>
      </c>
      <c r="AB85" s="328">
        <f t="shared" si="14"/>
        <v>8.2547362273411681E-2</v>
      </c>
      <c r="AC85" s="328">
        <f t="shared" si="14"/>
        <v>7.5131848797134526E-2</v>
      </c>
      <c r="AD85" s="328">
        <f t="shared" si="14"/>
        <v>6.8382496402234039E-2</v>
      </c>
      <c r="AE85" s="328">
        <f t="shared" si="14"/>
        <v>6.2239461547496142E-2</v>
      </c>
    </row>
    <row r="86" spans="1:31" x14ac:dyDescent="0.2">
      <c r="A86" s="325" t="s">
        <v>610</v>
      </c>
      <c r="B86" s="319">
        <f t="shared" ref="B86:AE86" si="15">B83*B85</f>
        <v>-2431622.7402322507</v>
      </c>
      <c r="C86" s="319">
        <f t="shared" si="15"/>
        <v>-5870025.9137820825</v>
      </c>
      <c r="D86" s="319">
        <f t="shared" si="15"/>
        <v>-108652.95478271236</v>
      </c>
      <c r="E86" s="319">
        <f t="shared" si="15"/>
        <v>-95482.207308196419</v>
      </c>
      <c r="F86" s="319">
        <f t="shared" si="15"/>
        <v>-83800.972490908214</v>
      </c>
      <c r="G86" s="319">
        <f t="shared" si="15"/>
        <v>-73447.92278968115</v>
      </c>
      <c r="H86" s="319">
        <f t="shared" si="15"/>
        <v>-64278.69544223696</v>
      </c>
      <c r="I86" s="319">
        <f t="shared" si="15"/>
        <v>-59993.519993747374</v>
      </c>
      <c r="J86" s="319">
        <f t="shared" si="15"/>
        <v>-48988.780933295406</v>
      </c>
      <c r="K86" s="319">
        <f t="shared" si="15"/>
        <v>-156850.89216336847</v>
      </c>
      <c r="L86" s="319">
        <f t="shared" si="15"/>
        <v>-37053.551633276649</v>
      </c>
      <c r="M86" s="319">
        <f t="shared" si="15"/>
        <v>-32118.955851093826</v>
      </c>
      <c r="N86" s="319">
        <f t="shared" si="15"/>
        <v>-59928.879125095402</v>
      </c>
      <c r="O86" s="319">
        <f t="shared" si="15"/>
        <v>-26123.673050857407</v>
      </c>
      <c r="P86" s="319">
        <f t="shared" si="15"/>
        <v>-20584.625519175544</v>
      </c>
      <c r="Q86" s="319">
        <f t="shared" si="15"/>
        <v>-17633.353230652738</v>
      </c>
      <c r="R86" s="319">
        <f t="shared" si="15"/>
        <v>-15046.207930951992</v>
      </c>
      <c r="S86" s="319">
        <f t="shared" si="15"/>
        <v>-66563.838589536797</v>
      </c>
      <c r="T86" s="319">
        <f t="shared" si="15"/>
        <v>-10802.416138483066</v>
      </c>
      <c r="U86" s="319">
        <f t="shared" si="15"/>
        <v>-10313.284554170925</v>
      </c>
      <c r="V86" s="319">
        <f t="shared" si="15"/>
        <v>-7572.0240954745141</v>
      </c>
      <c r="W86" s="319">
        <f t="shared" si="15"/>
        <v>-6265.2755698672963</v>
      </c>
      <c r="X86" s="319">
        <f t="shared" si="15"/>
        <v>-5132.1998843001466</v>
      </c>
      <c r="Y86" s="319">
        <f t="shared" si="15"/>
        <v>-4152.1393034597631</v>
      </c>
      <c r="Z86" s="319">
        <f t="shared" si="15"/>
        <v>-3306.7460549078851</v>
      </c>
      <c r="AA86" s="319">
        <f t="shared" si="15"/>
        <v>-27908.031607652305</v>
      </c>
      <c r="AB86" s="319">
        <f t="shared" si="15"/>
        <v>-1956.6563621801079</v>
      </c>
      <c r="AC86" s="319">
        <f t="shared" si="15"/>
        <v>-1424.7065529663148</v>
      </c>
      <c r="AD86" s="319">
        <f t="shared" si="15"/>
        <v>-972.54019725560931</v>
      </c>
      <c r="AE86" s="319">
        <f t="shared" si="15"/>
        <v>-590.11571084348896</v>
      </c>
    </row>
    <row r="87" spans="1:31" x14ac:dyDescent="0.2">
      <c r="A87" s="325" t="s">
        <v>611</v>
      </c>
      <c r="B87" s="319">
        <f>SUM($B$86:B86)</f>
        <v>-2431622.7402322507</v>
      </c>
      <c r="C87" s="319">
        <f>SUM($B$86:C86)</f>
        <v>-8301648.6540143332</v>
      </c>
      <c r="D87" s="319">
        <f>SUM($B$86:D86)</f>
        <v>-8410301.6087970454</v>
      </c>
      <c r="E87" s="319">
        <f>SUM($B$86:E86)</f>
        <v>-8505783.816105241</v>
      </c>
      <c r="F87" s="319">
        <f>SUM($B$86:F86)</f>
        <v>-8589584.7885961495</v>
      </c>
      <c r="G87" s="319">
        <f>SUM($B$86:G86)</f>
        <v>-8663032.7113858312</v>
      </c>
      <c r="H87" s="319">
        <f>SUM($B$86:H86)</f>
        <v>-8727311.4068280682</v>
      </c>
      <c r="I87" s="319">
        <f>SUM($B$86:I86)</f>
        <v>-8787304.9268218148</v>
      </c>
      <c r="J87" s="319">
        <f>SUM($B$86:J86)</f>
        <v>-8836293.7077551112</v>
      </c>
      <c r="K87" s="319">
        <f>SUM($B$86:K86)</f>
        <v>-8993144.5999184791</v>
      </c>
      <c r="L87" s="319">
        <f>SUM($B$86:L86)</f>
        <v>-9030198.1515517551</v>
      </c>
      <c r="M87" s="319">
        <f>SUM($B$86:M86)</f>
        <v>-9062317.1074028481</v>
      </c>
      <c r="N87" s="319">
        <f>SUM($B$86:N86)</f>
        <v>-9122245.986527944</v>
      </c>
      <c r="O87" s="319">
        <f>SUM($B$86:O86)</f>
        <v>-9148369.6595788021</v>
      </c>
      <c r="P87" s="319">
        <f>SUM($B$86:P86)</f>
        <v>-9168954.2850979771</v>
      </c>
      <c r="Q87" s="319">
        <f>SUM($B$86:Q86)</f>
        <v>-9186587.6383286305</v>
      </c>
      <c r="R87" s="319">
        <f>SUM($B$86:R86)</f>
        <v>-9201633.8462595828</v>
      </c>
      <c r="S87" s="319">
        <f>SUM($B$86:S86)</f>
        <v>-9268197.6848491188</v>
      </c>
      <c r="T87" s="319">
        <f>SUM($B$86:T86)</f>
        <v>-9279000.100987602</v>
      </c>
      <c r="U87" s="319">
        <f>SUM($B$86:U86)</f>
        <v>-9289313.3855417725</v>
      </c>
      <c r="V87" s="319">
        <f>SUM($B$86:V86)</f>
        <v>-9296885.4096372463</v>
      </c>
      <c r="W87" s="319">
        <f>SUM($B$86:W86)</f>
        <v>-9303150.6852071136</v>
      </c>
      <c r="X87" s="319">
        <f>SUM($B$86:X86)</f>
        <v>-9308282.8850914147</v>
      </c>
      <c r="Y87" s="319">
        <f>SUM($B$86:Y86)</f>
        <v>-9312435.0243948735</v>
      </c>
      <c r="Z87" s="319">
        <f>SUM($B$86:Z86)</f>
        <v>-9315741.7704497818</v>
      </c>
      <c r="AA87" s="319">
        <f>SUM($B$86:AA86)</f>
        <v>-9343649.8020574339</v>
      </c>
      <c r="AB87" s="319">
        <f>SUM($B$86:AB86)</f>
        <v>-9345606.4584196135</v>
      </c>
      <c r="AC87" s="319">
        <f>SUM($B$86:AC86)</f>
        <v>-9347031.1649725791</v>
      </c>
      <c r="AD87" s="319">
        <f>SUM($B$86:AD86)</f>
        <v>-9348003.7051698342</v>
      </c>
      <c r="AE87" s="319">
        <f>SUM($B$86:AE86)</f>
        <v>-9348593.8208806776</v>
      </c>
    </row>
    <row r="88" spans="1:31" x14ac:dyDescent="0.2">
      <c r="A88" s="325" t="s">
        <v>612</v>
      </c>
      <c r="B88" s="329">
        <f>IF((ISERR(IRR($B$83:B83))),0,IF(IRR($B$83:B83)&lt;0,0,IRR($B$83:B83)))</f>
        <v>0</v>
      </c>
      <c r="C88" s="329">
        <f>IF((ISERR(IRR($B$83:C83))),0,IF(IRR($B$83:C83)&lt;0,0,IRR($B$83:C83)))</f>
        <v>0</v>
      </c>
      <c r="D88" s="329">
        <f>IF((ISERR(IRR($B$83:D83))),0,IF(IRR($B$83:D83)&lt;0,0,IRR($B$83:D83)))</f>
        <v>0</v>
      </c>
      <c r="E88" s="329">
        <f>IF((ISERR(IRR($B$83:E83))),0,IF(IRR($B$83:E83)&lt;0,0,IRR($B$83:E83)))</f>
        <v>0</v>
      </c>
      <c r="F88" s="329">
        <f>IF((ISERR(IRR($B$83:F83))),0,IF(IRR($B$83:F83)&lt;0,0,IRR($B$83:F83)))</f>
        <v>0</v>
      </c>
      <c r="G88" s="329">
        <f>IF((ISERR(IRR($B$83:G83))),0,IF(IRR($B$83:G83)&lt;0,0,IRR($B$83:G83)))</f>
        <v>0</v>
      </c>
      <c r="H88" s="329">
        <f>IF((ISERR(IRR($B$83:H83))),0,IF(IRR($B$83:H83)&lt;0,0,IRR($B$83:H83)))</f>
        <v>0</v>
      </c>
      <c r="I88" s="329">
        <f>IF((ISERR(IRR($B$83:I83))),0,IF(IRR($B$83:I83)&lt;0,0,IRR($B$83:I83)))</f>
        <v>0</v>
      </c>
      <c r="J88" s="329">
        <f>IF((ISERR(IRR($B$83:J83))),0,IF(IRR($B$83:J83)&lt;0,0,IRR($B$83:J83)))</f>
        <v>0</v>
      </c>
      <c r="K88" s="329">
        <f>IF((ISERR(IRR($B$83:K83))),0,IF(IRR($B$83:K83)&lt;0,0,IRR($B$83:K83)))</f>
        <v>0</v>
      </c>
      <c r="L88" s="329">
        <f>IF((ISERR(IRR($B$83:L83))),0,IF(IRR($B$83:L83)&lt;0,0,IRR($B$83:L83)))</f>
        <v>0</v>
      </c>
      <c r="M88" s="329">
        <f>IF((ISERR(IRR($B$83:M83))),0,IF(IRR($B$83:M83)&lt;0,0,IRR($B$83:M83)))</f>
        <v>0</v>
      </c>
      <c r="N88" s="329">
        <f>IF((ISERR(IRR($B$83:N83))),0,IF(IRR($B$83:N83)&lt;0,0,IRR($B$83:N83)))</f>
        <v>0</v>
      </c>
      <c r="O88" s="329">
        <f>IF((ISERR(IRR($B$83:O83))),0,IF(IRR($B$83:O83)&lt;0,0,IRR($B$83:O83)))</f>
        <v>0</v>
      </c>
      <c r="P88" s="329">
        <f>IF((ISERR(IRR($B$83:P83))),0,IF(IRR($B$83:P83)&lt;0,0,IRR($B$83:P83)))</f>
        <v>0</v>
      </c>
      <c r="Q88" s="329">
        <f>IF((ISERR(IRR($B$83:Q83))),0,IF(IRR($B$83:Q83)&lt;0,0,IRR($B$83:Q83)))</f>
        <v>0</v>
      </c>
      <c r="R88" s="329">
        <f>IF((ISERR(IRR($B$83:R83))),0,IF(IRR($B$83:R83)&lt;0,0,IRR($B$83:R83)))</f>
        <v>0</v>
      </c>
      <c r="S88" s="329">
        <f>IF((ISERR(IRR($B$83:S83))),0,IF(IRR($B$83:S83)&lt;0,0,IRR($B$83:S83)))</f>
        <v>0</v>
      </c>
      <c r="T88" s="329">
        <f>IF((ISERR(IRR($B$83:T83))),0,IF(IRR($B$83:T83)&lt;0,0,IRR($B$83:T83)))</f>
        <v>0</v>
      </c>
      <c r="U88" s="329">
        <f>IF((ISERR(IRR($B$83:U83))),0,IF(IRR($B$83:U83)&lt;0,0,IRR($B$83:U83)))</f>
        <v>0</v>
      </c>
      <c r="V88" s="329">
        <f>IF((ISERR(IRR($B$83:V83))),0,IF(IRR($B$83:V83)&lt;0,0,IRR($B$83:V83)))</f>
        <v>0</v>
      </c>
      <c r="W88" s="329">
        <f>IF((ISERR(IRR($B$83:W83))),0,IF(IRR($B$83:W83)&lt;0,0,IRR($B$83:W83)))</f>
        <v>0</v>
      </c>
      <c r="X88" s="329">
        <f>IF((ISERR(IRR($B$83:X83))),0,IF(IRR($B$83:X83)&lt;0,0,IRR($B$83:X83)))</f>
        <v>0</v>
      </c>
      <c r="Y88" s="329">
        <f>IF((ISERR(IRR($B$83:Y83))),0,IF(IRR($B$83:Y83)&lt;0,0,IRR($B$83:Y83)))</f>
        <v>0</v>
      </c>
      <c r="Z88" s="329">
        <f>IF((ISERR(IRR($B$83:Z83))),0,IF(IRR($B$83:Z83)&lt;0,0,IRR($B$83:Z83)))</f>
        <v>0</v>
      </c>
      <c r="AA88" s="329">
        <f>IF((ISERR(IRR($B$83:AA83))),0,IF(IRR($B$83:AA83)&lt;0,0,IRR($B$83:AA83)))</f>
        <v>0</v>
      </c>
      <c r="AB88" s="329">
        <f>IF((ISERR(IRR($B$83:AB83))),0,IF(IRR($B$83:AB83)&lt;0,0,IRR($B$83:AB83)))</f>
        <v>0</v>
      </c>
      <c r="AC88" s="329">
        <f>IF((ISERR(IRR($B$83:AC83))),0,IF(IRR($B$83:AC83)&lt;0,0,IRR($B$83:AC83)))</f>
        <v>0</v>
      </c>
      <c r="AD88" s="329">
        <f>IF((ISERR(IRR($B$83:AD83))),0,IF(IRR($B$83:AD83)&lt;0,0,IRR($B$83:AD83)))</f>
        <v>0</v>
      </c>
      <c r="AE88" s="329">
        <f>IF((ISERR(IRR($B$83:AE83))),0,IF(IRR($B$83:AE83)&lt;0,0,IRR($B$83:AE83)))</f>
        <v>0</v>
      </c>
    </row>
    <row r="89" spans="1:31" x14ac:dyDescent="0.2">
      <c r="A89" s="325" t="s">
        <v>613</v>
      </c>
      <c r="B89" s="330">
        <f t="shared" ref="B89:AE89" si="16">IF(AND(B84&gt;0,A84&lt;0),(B74-(B84/(B84-A84))),0)</f>
        <v>0</v>
      </c>
      <c r="C89" s="330">
        <f t="shared" si="16"/>
        <v>0</v>
      </c>
      <c r="D89" s="330">
        <f t="shared" si="16"/>
        <v>0</v>
      </c>
      <c r="E89" s="330">
        <f t="shared" si="16"/>
        <v>0</v>
      </c>
      <c r="F89" s="330">
        <f t="shared" si="16"/>
        <v>0</v>
      </c>
      <c r="G89" s="330">
        <f t="shared" si="16"/>
        <v>0</v>
      </c>
      <c r="H89" s="330">
        <f t="shared" si="16"/>
        <v>0</v>
      </c>
      <c r="I89" s="330">
        <f t="shared" si="16"/>
        <v>0</v>
      </c>
      <c r="J89" s="330">
        <f t="shared" si="16"/>
        <v>0</v>
      </c>
      <c r="K89" s="330">
        <f t="shared" si="16"/>
        <v>0</v>
      </c>
      <c r="L89" s="330">
        <f t="shared" si="16"/>
        <v>0</v>
      </c>
      <c r="M89" s="330">
        <f t="shared" si="16"/>
        <v>0</v>
      </c>
      <c r="N89" s="330">
        <f t="shared" si="16"/>
        <v>0</v>
      </c>
      <c r="O89" s="330">
        <f t="shared" si="16"/>
        <v>0</v>
      </c>
      <c r="P89" s="330">
        <f t="shared" si="16"/>
        <v>0</v>
      </c>
      <c r="Q89" s="330">
        <f t="shared" si="16"/>
        <v>0</v>
      </c>
      <c r="R89" s="330">
        <f t="shared" si="16"/>
        <v>0</v>
      </c>
      <c r="S89" s="330">
        <f t="shared" si="16"/>
        <v>0</v>
      </c>
      <c r="T89" s="330">
        <f t="shared" si="16"/>
        <v>0</v>
      </c>
      <c r="U89" s="330">
        <f t="shared" si="16"/>
        <v>0</v>
      </c>
      <c r="V89" s="330">
        <f t="shared" si="16"/>
        <v>0</v>
      </c>
      <c r="W89" s="330">
        <f t="shared" si="16"/>
        <v>0</v>
      </c>
      <c r="X89" s="330">
        <f t="shared" si="16"/>
        <v>0</v>
      </c>
      <c r="Y89" s="330">
        <f t="shared" si="16"/>
        <v>0</v>
      </c>
      <c r="Z89" s="330">
        <f t="shared" si="16"/>
        <v>0</v>
      </c>
      <c r="AA89" s="330">
        <f t="shared" si="16"/>
        <v>0</v>
      </c>
      <c r="AB89" s="330">
        <f t="shared" si="16"/>
        <v>0</v>
      </c>
      <c r="AC89" s="330">
        <f t="shared" si="16"/>
        <v>0</v>
      </c>
      <c r="AD89" s="330">
        <f t="shared" si="16"/>
        <v>0</v>
      </c>
      <c r="AE89" s="330">
        <f t="shared" si="16"/>
        <v>0</v>
      </c>
    </row>
    <row r="90" spans="1:31" ht="13.5" thickBot="1" x14ac:dyDescent="0.25">
      <c r="A90" s="331" t="s">
        <v>614</v>
      </c>
      <c r="B90" s="332">
        <f t="shared" ref="B90:AE90" si="17">IF(AND(B87&gt;0,A87&lt;0),(B74-(B87/(B87-A87))),0)</f>
        <v>0</v>
      </c>
      <c r="C90" s="332">
        <f t="shared" si="17"/>
        <v>0</v>
      </c>
      <c r="D90" s="332">
        <f t="shared" si="17"/>
        <v>0</v>
      </c>
      <c r="E90" s="332">
        <f t="shared" si="17"/>
        <v>0</v>
      </c>
      <c r="F90" s="332">
        <f t="shared" si="17"/>
        <v>0</v>
      </c>
      <c r="G90" s="332">
        <f t="shared" si="17"/>
        <v>0</v>
      </c>
      <c r="H90" s="332">
        <f t="shared" si="17"/>
        <v>0</v>
      </c>
      <c r="I90" s="332">
        <f t="shared" si="17"/>
        <v>0</v>
      </c>
      <c r="J90" s="332">
        <f t="shared" si="17"/>
        <v>0</v>
      </c>
      <c r="K90" s="332">
        <f t="shared" si="17"/>
        <v>0</v>
      </c>
      <c r="L90" s="332">
        <f t="shared" si="17"/>
        <v>0</v>
      </c>
      <c r="M90" s="332">
        <f t="shared" si="17"/>
        <v>0</v>
      </c>
      <c r="N90" s="332">
        <f t="shared" si="17"/>
        <v>0</v>
      </c>
      <c r="O90" s="332">
        <f t="shared" si="17"/>
        <v>0</v>
      </c>
      <c r="P90" s="332">
        <f t="shared" si="17"/>
        <v>0</v>
      </c>
      <c r="Q90" s="332">
        <f t="shared" si="17"/>
        <v>0</v>
      </c>
      <c r="R90" s="332">
        <f t="shared" si="17"/>
        <v>0</v>
      </c>
      <c r="S90" s="332">
        <f t="shared" si="17"/>
        <v>0</v>
      </c>
      <c r="T90" s="332">
        <f t="shared" si="17"/>
        <v>0</v>
      </c>
      <c r="U90" s="332">
        <f t="shared" si="17"/>
        <v>0</v>
      </c>
      <c r="V90" s="332">
        <f t="shared" si="17"/>
        <v>0</v>
      </c>
      <c r="W90" s="332">
        <f t="shared" si="17"/>
        <v>0</v>
      </c>
      <c r="X90" s="332">
        <f t="shared" si="17"/>
        <v>0</v>
      </c>
      <c r="Y90" s="332">
        <f t="shared" si="17"/>
        <v>0</v>
      </c>
      <c r="Z90" s="332">
        <f t="shared" si="17"/>
        <v>0</v>
      </c>
      <c r="AA90" s="332">
        <f t="shared" si="17"/>
        <v>0</v>
      </c>
      <c r="AB90" s="332">
        <f t="shared" si="17"/>
        <v>0</v>
      </c>
      <c r="AC90" s="332">
        <f t="shared" si="17"/>
        <v>0</v>
      </c>
      <c r="AD90" s="332">
        <f t="shared" si="17"/>
        <v>0</v>
      </c>
      <c r="AE90" s="332">
        <f t="shared" si="17"/>
        <v>0</v>
      </c>
    </row>
    <row r="91" spans="1:31" x14ac:dyDescent="0.2">
      <c r="A91" s="333"/>
      <c r="B91" s="333">
        <v>2023</v>
      </c>
      <c r="C91" s="333">
        <f t="shared" ref="C91:R92" si="18">B91+1</f>
        <v>2024</v>
      </c>
      <c r="D91" s="333">
        <f t="shared" si="18"/>
        <v>2025</v>
      </c>
      <c r="E91" s="333">
        <f t="shared" si="18"/>
        <v>2026</v>
      </c>
      <c r="F91" s="333">
        <f t="shared" si="18"/>
        <v>2027</v>
      </c>
      <c r="G91" s="333">
        <f t="shared" si="18"/>
        <v>2028</v>
      </c>
      <c r="H91" s="333">
        <f t="shared" si="18"/>
        <v>2029</v>
      </c>
      <c r="I91" s="333">
        <f t="shared" si="18"/>
        <v>2030</v>
      </c>
      <c r="J91" s="333">
        <f t="shared" si="18"/>
        <v>2031</v>
      </c>
      <c r="K91" s="333">
        <f t="shared" si="18"/>
        <v>2032</v>
      </c>
      <c r="L91" s="333">
        <f t="shared" si="18"/>
        <v>2033</v>
      </c>
      <c r="M91" s="333">
        <f t="shared" si="18"/>
        <v>2034</v>
      </c>
      <c r="N91" s="333">
        <f t="shared" si="18"/>
        <v>2035</v>
      </c>
      <c r="O91" s="333">
        <f t="shared" si="18"/>
        <v>2036</v>
      </c>
      <c r="P91" s="333">
        <f t="shared" si="18"/>
        <v>2037</v>
      </c>
      <c r="Q91" s="333">
        <f t="shared" si="18"/>
        <v>2038</v>
      </c>
      <c r="R91" s="333">
        <f t="shared" si="18"/>
        <v>2039</v>
      </c>
      <c r="S91" s="333">
        <f t="shared" ref="S91:AE92" si="19">R91+1</f>
        <v>2040</v>
      </c>
      <c r="T91" s="333">
        <f t="shared" si="19"/>
        <v>2041</v>
      </c>
      <c r="U91" s="333">
        <f t="shared" si="19"/>
        <v>2042</v>
      </c>
      <c r="V91" s="333">
        <f t="shared" si="19"/>
        <v>2043</v>
      </c>
      <c r="W91" s="333">
        <f t="shared" si="19"/>
        <v>2044</v>
      </c>
      <c r="X91" s="333">
        <f t="shared" si="19"/>
        <v>2045</v>
      </c>
      <c r="Y91" s="333">
        <f t="shared" si="19"/>
        <v>2046</v>
      </c>
      <c r="Z91" s="333">
        <f t="shared" si="19"/>
        <v>2047</v>
      </c>
      <c r="AA91" s="333">
        <f t="shared" si="19"/>
        <v>2048</v>
      </c>
      <c r="AB91" s="333">
        <f t="shared" si="19"/>
        <v>2049</v>
      </c>
      <c r="AC91" s="333">
        <f t="shared" si="19"/>
        <v>2050</v>
      </c>
      <c r="AD91" s="333">
        <f t="shared" si="19"/>
        <v>2051</v>
      </c>
      <c r="AE91" s="333">
        <f t="shared" si="19"/>
        <v>2052</v>
      </c>
    </row>
    <row r="92" spans="1:31" x14ac:dyDescent="0.2">
      <c r="B92" s="262">
        <v>1</v>
      </c>
      <c r="C92" s="262">
        <f>B92+1</f>
        <v>2</v>
      </c>
      <c r="D92" s="262">
        <f t="shared" si="18"/>
        <v>3</v>
      </c>
      <c r="E92" s="262">
        <f t="shared" si="18"/>
        <v>4</v>
      </c>
      <c r="F92" s="262">
        <f t="shared" si="18"/>
        <v>5</v>
      </c>
      <c r="G92" s="262">
        <f t="shared" si="18"/>
        <v>6</v>
      </c>
      <c r="H92" s="262">
        <f t="shared" si="18"/>
        <v>7</v>
      </c>
      <c r="I92" s="262">
        <f t="shared" si="18"/>
        <v>8</v>
      </c>
      <c r="J92" s="262">
        <f t="shared" si="18"/>
        <v>9</v>
      </c>
      <c r="K92" s="262">
        <f t="shared" si="18"/>
        <v>10</v>
      </c>
      <c r="L92" s="262">
        <f t="shared" si="18"/>
        <v>11</v>
      </c>
      <c r="M92" s="262">
        <f t="shared" si="18"/>
        <v>12</v>
      </c>
      <c r="N92" s="262">
        <f t="shared" si="18"/>
        <v>13</v>
      </c>
      <c r="O92" s="262">
        <f t="shared" si="18"/>
        <v>14</v>
      </c>
      <c r="P92" s="262">
        <f t="shared" si="18"/>
        <v>15</v>
      </c>
      <c r="Q92" s="262">
        <f t="shared" si="18"/>
        <v>16</v>
      </c>
      <c r="R92" s="262">
        <f t="shared" si="18"/>
        <v>17</v>
      </c>
      <c r="S92" s="262">
        <f t="shared" si="19"/>
        <v>18</v>
      </c>
      <c r="T92" s="262">
        <f t="shared" si="19"/>
        <v>19</v>
      </c>
      <c r="U92" s="262">
        <f t="shared" si="19"/>
        <v>20</v>
      </c>
      <c r="V92" s="262">
        <f t="shared" si="19"/>
        <v>21</v>
      </c>
      <c r="W92" s="262">
        <f t="shared" si="19"/>
        <v>22</v>
      </c>
      <c r="X92" s="262">
        <f t="shared" si="19"/>
        <v>23</v>
      </c>
      <c r="Y92" s="262">
        <f t="shared" si="19"/>
        <v>24</v>
      </c>
      <c r="Z92" s="262">
        <f t="shared" si="19"/>
        <v>25</v>
      </c>
      <c r="AA92" s="262">
        <f t="shared" si="19"/>
        <v>26</v>
      </c>
      <c r="AB92" s="262">
        <f t="shared" si="19"/>
        <v>27</v>
      </c>
      <c r="AC92" s="262">
        <f t="shared" si="19"/>
        <v>28</v>
      </c>
      <c r="AD92" s="262">
        <f t="shared" si="19"/>
        <v>29</v>
      </c>
      <c r="AE92" s="262">
        <f t="shared" si="19"/>
        <v>30</v>
      </c>
    </row>
    <row r="93" spans="1:31" x14ac:dyDescent="0.2">
      <c r="A93" s="408" t="s">
        <v>615</v>
      </c>
      <c r="B93" s="408"/>
      <c r="C93" s="408"/>
      <c r="D93" s="408"/>
      <c r="E93" s="408"/>
      <c r="F93" s="408"/>
      <c r="G93" s="408"/>
      <c r="H93" s="408"/>
      <c r="I93" s="408"/>
      <c r="J93" s="408"/>
      <c r="K93" s="408"/>
      <c r="L93" s="408"/>
      <c r="M93" s="408"/>
      <c r="N93" s="408"/>
      <c r="O93" s="408"/>
      <c r="P93" s="408"/>
      <c r="Q93" s="408"/>
      <c r="R93" s="408"/>
      <c r="S93" s="408"/>
      <c r="T93" s="408"/>
      <c r="U93" s="408"/>
      <c r="V93" s="408"/>
      <c r="W93" s="408"/>
      <c r="X93" s="408"/>
      <c r="Y93" s="408"/>
      <c r="Z93" s="408"/>
      <c r="AA93" s="408"/>
      <c r="AB93" s="408"/>
      <c r="AC93" s="408"/>
    </row>
    <row r="94" spans="1:31" x14ac:dyDescent="0.2">
      <c r="A94" s="408" t="s">
        <v>616</v>
      </c>
      <c r="B94" s="408"/>
      <c r="C94" s="408"/>
      <c r="D94" s="408"/>
      <c r="E94" s="408"/>
      <c r="F94" s="408"/>
      <c r="G94" s="408"/>
      <c r="H94" s="408"/>
      <c r="I94" s="408"/>
      <c r="N94" s="262"/>
    </row>
    <row r="95" spans="1:31" x14ac:dyDescent="0.2">
      <c r="C95" s="334"/>
      <c r="N95" s="262"/>
    </row>
    <row r="96" spans="1:31" x14ac:dyDescent="0.2">
      <c r="N96" s="262"/>
    </row>
    <row r="97" spans="14:14" s="252" customFormat="1" x14ac:dyDescent="0.2">
      <c r="N97" s="262"/>
    </row>
    <row r="98" spans="14:14" s="252" customFormat="1" x14ac:dyDescent="0.2">
      <c r="N98" s="262"/>
    </row>
    <row r="99" spans="14:14" s="252" customFormat="1" x14ac:dyDescent="0.2">
      <c r="N99" s="262"/>
    </row>
    <row r="100" spans="14:14" s="252" customFormat="1" x14ac:dyDescent="0.2">
      <c r="N100" s="262"/>
    </row>
    <row r="101" spans="14:14" s="252" customFormat="1" x14ac:dyDescent="0.2">
      <c r="N101" s="262"/>
    </row>
    <row r="102" spans="14:14" s="252" customFormat="1" x14ac:dyDescent="0.2">
      <c r="N102" s="262"/>
    </row>
    <row r="103" spans="14:14" s="252" customFormat="1" x14ac:dyDescent="0.2">
      <c r="N103" s="262"/>
    </row>
    <row r="104" spans="14:14" s="252" customFormat="1" x14ac:dyDescent="0.2">
      <c r="N104" s="262"/>
    </row>
    <row r="105" spans="14:14" s="252" customFormat="1" x14ac:dyDescent="0.2">
      <c r="N105" s="262"/>
    </row>
    <row r="106" spans="14:14" s="252" customFormat="1" x14ac:dyDescent="0.2">
      <c r="N106" s="262"/>
    </row>
    <row r="107" spans="14:14" s="252" customFormat="1" x14ac:dyDescent="0.2">
      <c r="N107" s="262"/>
    </row>
    <row r="108" spans="14:14" s="252" customFormat="1" x14ac:dyDescent="0.2">
      <c r="N108" s="262"/>
    </row>
    <row r="109" spans="14:14" s="252" customFormat="1" x14ac:dyDescent="0.2">
      <c r="N109" s="262"/>
    </row>
    <row r="110" spans="14:14" s="252" customFormat="1" x14ac:dyDescent="0.2">
      <c r="N110" s="262"/>
    </row>
    <row r="111" spans="14:14" s="252" customFormat="1" x14ac:dyDescent="0.2">
      <c r="N111" s="262"/>
    </row>
    <row r="112" spans="14:14" s="252" customFormat="1" x14ac:dyDescent="0.2">
      <c r="N112" s="262"/>
    </row>
    <row r="113" spans="14:14" s="252" customFormat="1" x14ac:dyDescent="0.2">
      <c r="N113" s="262"/>
    </row>
    <row r="114" spans="14:14" s="252" customFormat="1" x14ac:dyDescent="0.2">
      <c r="N114" s="262"/>
    </row>
    <row r="115" spans="14:14" s="252" customFormat="1" x14ac:dyDescent="0.2">
      <c r="N115" s="262"/>
    </row>
    <row r="116" spans="14:14" s="252" customFormat="1" x14ac:dyDescent="0.2">
      <c r="N116" s="262"/>
    </row>
    <row r="117" spans="14:14" s="252" customFormat="1" x14ac:dyDescent="0.2">
      <c r="N117" s="262"/>
    </row>
    <row r="118" spans="14:14" s="252" customFormat="1" x14ac:dyDescent="0.2">
      <c r="N118" s="262"/>
    </row>
    <row r="119" spans="14:14" s="252" customFormat="1" x14ac:dyDescent="0.2">
      <c r="N119" s="262"/>
    </row>
    <row r="120" spans="14:14" s="252" customFormat="1" x14ac:dyDescent="0.2">
      <c r="N120" s="262"/>
    </row>
    <row r="121" spans="14:14" s="252" customFormat="1" x14ac:dyDescent="0.2">
      <c r="N121" s="262"/>
    </row>
    <row r="122" spans="14:14" s="252" customFormat="1" x14ac:dyDescent="0.2">
      <c r="N122" s="262"/>
    </row>
    <row r="123" spans="14:14" s="252" customFormat="1" x14ac:dyDescent="0.2">
      <c r="N123" s="262"/>
    </row>
    <row r="124" spans="14:14" s="252" customFormat="1" x14ac:dyDescent="0.2">
      <c r="N124" s="262"/>
    </row>
    <row r="125" spans="14:14" s="252" customFormat="1" x14ac:dyDescent="0.2">
      <c r="N125" s="262"/>
    </row>
    <row r="126" spans="14:14" s="252" customFormat="1" x14ac:dyDescent="0.2">
      <c r="N126" s="262"/>
    </row>
    <row r="127" spans="14:14" s="252" customFormat="1" x14ac:dyDescent="0.2">
      <c r="N127" s="262"/>
    </row>
    <row r="128" spans="14:14" s="252" customFormat="1" x14ac:dyDescent="0.2">
      <c r="N128" s="262"/>
    </row>
    <row r="129" spans="14:14" s="252" customFormat="1" x14ac:dyDescent="0.2">
      <c r="N129" s="262"/>
    </row>
    <row r="130" spans="14:14" s="252" customFormat="1" x14ac:dyDescent="0.2">
      <c r="N130" s="262"/>
    </row>
    <row r="131" spans="14:14" s="252" customFormat="1" x14ac:dyDescent="0.2">
      <c r="N131" s="262"/>
    </row>
    <row r="132" spans="14:14" s="252" customFormat="1" x14ac:dyDescent="0.2">
      <c r="N132" s="262"/>
    </row>
    <row r="133" spans="14:14" s="252" customFormat="1" x14ac:dyDescent="0.2">
      <c r="N133" s="262"/>
    </row>
    <row r="134" spans="14:14" s="252" customFormat="1" x14ac:dyDescent="0.2">
      <c r="N134" s="262"/>
    </row>
    <row r="135" spans="14:14" s="252" customFormat="1" x14ac:dyDescent="0.2">
      <c r="N135" s="262"/>
    </row>
    <row r="136" spans="14:14" s="252" customFormat="1" x14ac:dyDescent="0.2">
      <c r="N136" s="262"/>
    </row>
    <row r="137" spans="14:14" s="252" customFormat="1" x14ac:dyDescent="0.2">
      <c r="N137" s="262"/>
    </row>
    <row r="138" spans="14:14" s="252" customFormat="1" x14ac:dyDescent="0.2">
      <c r="N138" s="262"/>
    </row>
    <row r="139" spans="14:14" s="252" customFormat="1" x14ac:dyDescent="0.2">
      <c r="N139" s="262"/>
    </row>
    <row r="140" spans="14:14" s="252" customFormat="1" x14ac:dyDescent="0.2">
      <c r="N140" s="262"/>
    </row>
    <row r="141" spans="14:14" s="252" customFormat="1" x14ac:dyDescent="0.2">
      <c r="N141" s="262"/>
    </row>
    <row r="142" spans="14:14" s="252" customFormat="1" x14ac:dyDescent="0.2">
      <c r="N142" s="262"/>
    </row>
    <row r="143" spans="14:14" s="252" customFormat="1" x14ac:dyDescent="0.2">
      <c r="N143" s="262"/>
    </row>
    <row r="144" spans="14:14" s="252" customFormat="1" x14ac:dyDescent="0.2">
      <c r="N144" s="262"/>
    </row>
    <row r="145" spans="14:14" s="252" customFormat="1" x14ac:dyDescent="0.2">
      <c r="N145" s="262"/>
    </row>
    <row r="146" spans="14:14" s="252" customFormat="1" x14ac:dyDescent="0.2">
      <c r="N146" s="262"/>
    </row>
    <row r="147" spans="14:14" s="252" customFormat="1" x14ac:dyDescent="0.2">
      <c r="N147" s="262"/>
    </row>
    <row r="148" spans="14:14" s="252" customFormat="1" x14ac:dyDescent="0.2">
      <c r="N148" s="262"/>
    </row>
    <row r="149" spans="14:14" s="252" customFormat="1" x14ac:dyDescent="0.2">
      <c r="N149" s="262"/>
    </row>
    <row r="150" spans="14:14" s="252" customFormat="1" x14ac:dyDescent="0.2">
      <c r="N150" s="262"/>
    </row>
    <row r="151" spans="14:14" s="252" customFormat="1" x14ac:dyDescent="0.2">
      <c r="N151" s="262"/>
    </row>
    <row r="152" spans="14:14" s="252" customFormat="1" x14ac:dyDescent="0.2">
      <c r="N152" s="262"/>
    </row>
    <row r="153" spans="14:14" s="252" customFormat="1" x14ac:dyDescent="0.2">
      <c r="N153" s="262"/>
    </row>
    <row r="154" spans="14:14" s="252" customFormat="1" x14ac:dyDescent="0.2">
      <c r="N154" s="262"/>
    </row>
    <row r="155" spans="14:14" s="252" customFormat="1" x14ac:dyDescent="0.2">
      <c r="N155" s="262"/>
    </row>
    <row r="156" spans="14:14" s="252" customFormat="1" x14ac:dyDescent="0.2">
      <c r="N156" s="262"/>
    </row>
    <row r="157" spans="14:14" s="252" customFormat="1" x14ac:dyDescent="0.2">
      <c r="N157" s="262"/>
    </row>
    <row r="158" spans="14:14" s="252" customFormat="1" x14ac:dyDescent="0.2">
      <c r="N158" s="262"/>
    </row>
    <row r="159" spans="14:14" s="252" customFormat="1" x14ac:dyDescent="0.2">
      <c r="N159" s="262"/>
    </row>
    <row r="160" spans="14:14" s="252" customFormat="1" x14ac:dyDescent="0.2">
      <c r="N160" s="262"/>
    </row>
    <row r="161" spans="14:14" s="252" customFormat="1" x14ac:dyDescent="0.2">
      <c r="N161" s="262"/>
    </row>
    <row r="162" spans="14:14" s="252" customFormat="1" x14ac:dyDescent="0.2">
      <c r="N162" s="262"/>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 zoomScale="80" zoomScaleSheetLayoutView="80" workbookViewId="0">
      <selection activeCell="H54" sqref="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52" t="str">
        <f>'1. паспорт местоположение'!A5:C5</f>
        <v>Год раскрытия информации: 2022 год</v>
      </c>
      <c r="B5" s="352"/>
      <c r="C5" s="352"/>
      <c r="D5" s="352"/>
      <c r="E5" s="352"/>
      <c r="F5" s="352"/>
      <c r="G5" s="352"/>
      <c r="H5" s="352"/>
      <c r="I5" s="352"/>
      <c r="J5" s="352"/>
      <c r="K5" s="352"/>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63" t="s">
        <v>7</v>
      </c>
      <c r="B7" s="363"/>
      <c r="C7" s="363"/>
      <c r="D7" s="363"/>
      <c r="E7" s="363"/>
      <c r="F7" s="363"/>
      <c r="G7" s="363"/>
      <c r="H7" s="363"/>
      <c r="I7" s="363"/>
      <c r="J7" s="363"/>
      <c r="K7" s="363"/>
    </row>
    <row r="8" spans="1:43" ht="18.75" x14ac:dyDescent="0.25">
      <c r="A8" s="363"/>
      <c r="B8" s="363"/>
      <c r="C8" s="363"/>
      <c r="D8" s="363"/>
      <c r="E8" s="363"/>
      <c r="F8" s="363"/>
      <c r="G8" s="363"/>
      <c r="H8" s="363"/>
      <c r="I8" s="363"/>
      <c r="J8" s="363"/>
      <c r="K8" s="363"/>
    </row>
    <row r="9" spans="1:43" x14ac:dyDescent="0.25">
      <c r="A9" s="358" t="str">
        <f>'1. паспорт местоположение'!A9:C9</f>
        <v xml:space="preserve">Акционерное общество "Западная энергетическая компания" </v>
      </c>
      <c r="B9" s="358"/>
      <c r="C9" s="358"/>
      <c r="D9" s="358"/>
      <c r="E9" s="358"/>
      <c r="F9" s="358"/>
      <c r="G9" s="358"/>
      <c r="H9" s="358"/>
      <c r="I9" s="358"/>
      <c r="J9" s="358"/>
      <c r="K9" s="358"/>
    </row>
    <row r="10" spans="1:43" x14ac:dyDescent="0.25">
      <c r="A10" s="359" t="s">
        <v>6</v>
      </c>
      <c r="B10" s="359"/>
      <c r="C10" s="359"/>
      <c r="D10" s="359"/>
      <c r="E10" s="359"/>
      <c r="F10" s="359"/>
      <c r="G10" s="359"/>
      <c r="H10" s="359"/>
      <c r="I10" s="359"/>
      <c r="J10" s="359"/>
      <c r="K10" s="359"/>
    </row>
    <row r="11" spans="1:43" ht="18.75" x14ac:dyDescent="0.25">
      <c r="A11" s="363"/>
      <c r="B11" s="363"/>
      <c r="C11" s="363"/>
      <c r="D11" s="363"/>
      <c r="E11" s="363"/>
      <c r="F11" s="363"/>
      <c r="G11" s="363"/>
      <c r="H11" s="363"/>
      <c r="I11" s="363"/>
      <c r="J11" s="363"/>
      <c r="K11" s="363"/>
    </row>
    <row r="12" spans="1:43" x14ac:dyDescent="0.25">
      <c r="A12" s="358" t="str">
        <f>'1. паспорт местоположение'!A12:C12</f>
        <v>J 19-10</v>
      </c>
      <c r="B12" s="358"/>
      <c r="C12" s="358"/>
      <c r="D12" s="358"/>
      <c r="E12" s="358"/>
      <c r="F12" s="358"/>
      <c r="G12" s="358"/>
      <c r="H12" s="358"/>
      <c r="I12" s="358"/>
      <c r="J12" s="358"/>
      <c r="K12" s="358"/>
    </row>
    <row r="13" spans="1:43" x14ac:dyDescent="0.25">
      <c r="A13" s="359" t="s">
        <v>5</v>
      </c>
      <c r="B13" s="359"/>
      <c r="C13" s="359"/>
      <c r="D13" s="359"/>
      <c r="E13" s="359"/>
      <c r="F13" s="359"/>
      <c r="G13" s="359"/>
      <c r="H13" s="359"/>
      <c r="I13" s="359"/>
      <c r="J13" s="359"/>
      <c r="K13" s="359"/>
    </row>
    <row r="14" spans="1:43" ht="18.75" x14ac:dyDescent="0.25">
      <c r="A14" s="364"/>
      <c r="B14" s="364"/>
      <c r="C14" s="364"/>
      <c r="D14" s="364"/>
      <c r="E14" s="364"/>
      <c r="F14" s="364"/>
      <c r="G14" s="364"/>
      <c r="H14" s="364"/>
      <c r="I14" s="364"/>
      <c r="J14" s="364"/>
      <c r="K14" s="364"/>
    </row>
    <row r="15" spans="1:43" x14ac:dyDescent="0.25">
      <c r="A15" s="358" t="str">
        <f>'1. паспорт местоположение'!A15:C15</f>
        <v>Реконструкция ТП-12 15/0,4кВ п.Южный, Багратионовского р-на</v>
      </c>
      <c r="B15" s="358"/>
      <c r="C15" s="358"/>
      <c r="D15" s="358"/>
      <c r="E15" s="358"/>
      <c r="F15" s="358"/>
      <c r="G15" s="358"/>
      <c r="H15" s="358"/>
      <c r="I15" s="358"/>
      <c r="J15" s="358"/>
      <c r="K15" s="358"/>
    </row>
    <row r="16" spans="1:43" x14ac:dyDescent="0.25">
      <c r="A16" s="353" t="s">
        <v>4</v>
      </c>
      <c r="B16" s="353"/>
      <c r="C16" s="353"/>
      <c r="D16" s="353"/>
      <c r="E16" s="353"/>
      <c r="F16" s="353"/>
      <c r="G16" s="353"/>
      <c r="H16" s="353"/>
      <c r="I16" s="353"/>
      <c r="J16" s="353"/>
      <c r="K16" s="353"/>
    </row>
    <row r="17" spans="1:11" ht="15.75" customHeight="1" x14ac:dyDescent="0.25"/>
    <row r="18" spans="1:11" x14ac:dyDescent="0.25">
      <c r="K18" s="70"/>
    </row>
    <row r="19" spans="1:11" ht="15.75" customHeight="1" x14ac:dyDescent="0.25">
      <c r="A19" s="415" t="s">
        <v>392</v>
      </c>
      <c r="B19" s="415"/>
      <c r="C19" s="415"/>
      <c r="D19" s="415"/>
      <c r="E19" s="415"/>
      <c r="F19" s="415"/>
      <c r="G19" s="415"/>
      <c r="H19" s="415"/>
      <c r="I19" s="415"/>
      <c r="J19" s="415"/>
      <c r="K19" s="415"/>
    </row>
    <row r="20" spans="1:11" x14ac:dyDescent="0.25">
      <c r="A20" s="48"/>
      <c r="B20" s="48"/>
      <c r="C20" s="69"/>
      <c r="D20" s="69"/>
      <c r="E20" s="69"/>
      <c r="F20" s="69"/>
      <c r="G20" s="69"/>
      <c r="H20" s="69"/>
      <c r="I20" s="69"/>
      <c r="J20" s="69"/>
      <c r="K20" s="69"/>
    </row>
    <row r="21" spans="1:11" ht="28.5" customHeight="1" x14ac:dyDescent="0.25">
      <c r="A21" s="416" t="s">
        <v>199</v>
      </c>
      <c r="B21" s="416" t="s">
        <v>484</v>
      </c>
      <c r="C21" s="416" t="s">
        <v>351</v>
      </c>
      <c r="D21" s="416"/>
      <c r="E21" s="416"/>
      <c r="F21" s="416"/>
      <c r="G21" s="416"/>
      <c r="H21" s="416"/>
      <c r="I21" s="417" t="s">
        <v>198</v>
      </c>
      <c r="J21" s="418" t="s">
        <v>352</v>
      </c>
      <c r="K21" s="416" t="s">
        <v>197</v>
      </c>
    </row>
    <row r="22" spans="1:11" ht="58.5" customHeight="1" x14ac:dyDescent="0.25">
      <c r="A22" s="416"/>
      <c r="B22" s="416"/>
      <c r="C22" s="421" t="s">
        <v>535</v>
      </c>
      <c r="D22" s="421"/>
      <c r="E22" s="421" t="s">
        <v>9</v>
      </c>
      <c r="F22" s="421"/>
      <c r="G22" s="421" t="s">
        <v>536</v>
      </c>
      <c r="H22" s="421"/>
      <c r="I22" s="417"/>
      <c r="J22" s="419"/>
      <c r="K22" s="416"/>
    </row>
    <row r="23" spans="1:11" ht="31.5" x14ac:dyDescent="0.25">
      <c r="A23" s="416"/>
      <c r="B23" s="416"/>
      <c r="C23" s="199" t="s">
        <v>196</v>
      </c>
      <c r="D23" s="199" t="s">
        <v>195</v>
      </c>
      <c r="E23" s="199" t="s">
        <v>196</v>
      </c>
      <c r="F23" s="199" t="s">
        <v>195</v>
      </c>
      <c r="G23" s="199" t="s">
        <v>196</v>
      </c>
      <c r="H23" s="199" t="s">
        <v>195</v>
      </c>
      <c r="I23" s="417"/>
      <c r="J23" s="420"/>
      <c r="K23" s="416"/>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485</v>
      </c>
      <c r="B26" s="209" t="s">
        <v>486</v>
      </c>
      <c r="C26" s="206" t="s">
        <v>435</v>
      </c>
      <c r="D26" s="206" t="s">
        <v>435</v>
      </c>
      <c r="E26" s="217">
        <v>42859</v>
      </c>
      <c r="F26" s="217">
        <v>42859</v>
      </c>
      <c r="G26" s="206" t="s">
        <v>435</v>
      </c>
      <c r="H26" s="206" t="s">
        <v>435</v>
      </c>
      <c r="I26" s="218"/>
      <c r="J26" s="195"/>
      <c r="K26" s="196"/>
    </row>
    <row r="27" spans="1:11" s="51" customFormat="1" ht="31.5" x14ac:dyDescent="0.25">
      <c r="A27" s="204" t="s">
        <v>487</v>
      </c>
      <c r="B27" s="209" t="s">
        <v>488</v>
      </c>
      <c r="C27" s="206" t="s">
        <v>435</v>
      </c>
      <c r="D27" s="206" t="s">
        <v>435</v>
      </c>
      <c r="E27" s="217">
        <v>42807</v>
      </c>
      <c r="F27" s="217">
        <v>42807</v>
      </c>
      <c r="G27" s="206" t="s">
        <v>435</v>
      </c>
      <c r="H27" s="206" t="s">
        <v>435</v>
      </c>
      <c r="I27" s="218"/>
      <c r="J27" s="195"/>
      <c r="K27" s="196"/>
    </row>
    <row r="28" spans="1:11" s="51" customFormat="1" ht="63" x14ac:dyDescent="0.25">
      <c r="A28" s="204" t="s">
        <v>490</v>
      </c>
      <c r="B28" s="209" t="s">
        <v>489</v>
      </c>
      <c r="C28" s="206" t="s">
        <v>435</v>
      </c>
      <c r="D28" s="206" t="s">
        <v>435</v>
      </c>
      <c r="E28" s="217" t="s">
        <v>435</v>
      </c>
      <c r="F28" s="217" t="s">
        <v>435</v>
      </c>
      <c r="G28" s="206" t="s">
        <v>435</v>
      </c>
      <c r="H28" s="206" t="s">
        <v>435</v>
      </c>
      <c r="I28" s="218"/>
      <c r="J28" s="195"/>
      <c r="K28" s="196"/>
    </row>
    <row r="29" spans="1:11" s="51" customFormat="1" ht="31.5" x14ac:dyDescent="0.25">
      <c r="A29" s="204" t="s">
        <v>492</v>
      </c>
      <c r="B29" s="209" t="s">
        <v>491</v>
      </c>
      <c r="C29" s="206" t="s">
        <v>435</v>
      </c>
      <c r="D29" s="206" t="s">
        <v>435</v>
      </c>
      <c r="E29" s="217" t="s">
        <v>435</v>
      </c>
      <c r="F29" s="217" t="s">
        <v>435</v>
      </c>
      <c r="G29" s="206" t="s">
        <v>435</v>
      </c>
      <c r="H29" s="206" t="s">
        <v>435</v>
      </c>
      <c r="I29" s="218"/>
      <c r="J29" s="195"/>
      <c r="K29" s="196"/>
    </row>
    <row r="30" spans="1:11" s="51" customFormat="1" ht="31.5" x14ac:dyDescent="0.25">
      <c r="A30" s="204" t="s">
        <v>494</v>
      </c>
      <c r="B30" s="209" t="s">
        <v>493</v>
      </c>
      <c r="C30" s="206" t="s">
        <v>435</v>
      </c>
      <c r="D30" s="206" t="s">
        <v>435</v>
      </c>
      <c r="E30" s="217" t="s">
        <v>435</v>
      </c>
      <c r="F30" s="217" t="s">
        <v>435</v>
      </c>
      <c r="G30" s="206" t="s">
        <v>435</v>
      </c>
      <c r="H30" s="206" t="s">
        <v>435</v>
      </c>
      <c r="I30" s="218"/>
      <c r="J30" s="195"/>
      <c r="K30" s="196"/>
    </row>
    <row r="31" spans="1:11" s="51" customFormat="1" ht="31.5" x14ac:dyDescent="0.25">
      <c r="A31" s="204" t="s">
        <v>496</v>
      </c>
      <c r="B31" s="209" t="s">
        <v>495</v>
      </c>
      <c r="C31" s="206">
        <v>44958</v>
      </c>
      <c r="D31" s="206">
        <v>44985</v>
      </c>
      <c r="E31" s="217">
        <v>41806</v>
      </c>
      <c r="F31" s="217">
        <v>41806</v>
      </c>
      <c r="G31" s="206">
        <v>44958</v>
      </c>
      <c r="H31" s="206">
        <v>44985</v>
      </c>
      <c r="I31" s="218"/>
      <c r="J31" s="195"/>
      <c r="K31" s="196"/>
    </row>
    <row r="32" spans="1:11" ht="31.5" x14ac:dyDescent="0.25">
      <c r="A32" s="204" t="s">
        <v>498</v>
      </c>
      <c r="B32" s="209" t="s">
        <v>497</v>
      </c>
      <c r="C32" s="206">
        <v>44986</v>
      </c>
      <c r="D32" s="206">
        <v>44986</v>
      </c>
      <c r="E32" s="217">
        <v>42597</v>
      </c>
      <c r="F32" s="217">
        <v>42597</v>
      </c>
      <c r="G32" s="206">
        <v>44986</v>
      </c>
      <c r="H32" s="206">
        <v>44986</v>
      </c>
      <c r="I32" s="218"/>
      <c r="J32" s="195"/>
      <c r="K32" s="196"/>
    </row>
    <row r="33" spans="1:11" ht="47.25" x14ac:dyDescent="0.25">
      <c r="A33" s="204" t="s">
        <v>500</v>
      </c>
      <c r="B33" s="209" t="s">
        <v>499</v>
      </c>
      <c r="C33" s="206" t="s">
        <v>435</v>
      </c>
      <c r="D33" s="206" t="s">
        <v>435</v>
      </c>
      <c r="E33" s="217">
        <v>42720</v>
      </c>
      <c r="F33" s="217">
        <v>42720</v>
      </c>
      <c r="G33" s="206" t="s">
        <v>435</v>
      </c>
      <c r="H33" s="206" t="s">
        <v>435</v>
      </c>
      <c r="I33" s="218"/>
      <c r="J33" s="195"/>
      <c r="K33" s="196"/>
    </row>
    <row r="34" spans="1:11" ht="63" x14ac:dyDescent="0.25">
      <c r="A34" s="204" t="s">
        <v>502</v>
      </c>
      <c r="B34" s="209" t="s">
        <v>501</v>
      </c>
      <c r="C34" s="206" t="s">
        <v>435</v>
      </c>
      <c r="D34" s="206" t="s">
        <v>435</v>
      </c>
      <c r="E34" s="217" t="s">
        <v>435</v>
      </c>
      <c r="F34" s="217" t="s">
        <v>435</v>
      </c>
      <c r="G34" s="206" t="s">
        <v>435</v>
      </c>
      <c r="H34" s="206" t="s">
        <v>435</v>
      </c>
      <c r="I34" s="218"/>
      <c r="J34" s="197"/>
      <c r="K34" s="197"/>
    </row>
    <row r="35" spans="1:11" ht="31.5" x14ac:dyDescent="0.25">
      <c r="A35" s="204" t="s">
        <v>503</v>
      </c>
      <c r="B35" s="209" t="s">
        <v>193</v>
      </c>
      <c r="C35" s="206">
        <v>45016</v>
      </c>
      <c r="D35" s="206">
        <v>44995</v>
      </c>
      <c r="E35" s="217">
        <v>42731</v>
      </c>
      <c r="F35" s="217">
        <v>42731</v>
      </c>
      <c r="G35" s="206">
        <v>45016</v>
      </c>
      <c r="H35" s="206">
        <v>44995</v>
      </c>
      <c r="I35" s="218"/>
      <c r="J35" s="197"/>
      <c r="K35" s="197"/>
    </row>
    <row r="36" spans="1:11" ht="31.5" x14ac:dyDescent="0.25">
      <c r="A36" s="204" t="s">
        <v>505</v>
      </c>
      <c r="B36" s="209" t="s">
        <v>504</v>
      </c>
      <c r="C36" s="206" t="s">
        <v>435</v>
      </c>
      <c r="D36" s="206" t="s">
        <v>435</v>
      </c>
      <c r="E36" s="217">
        <v>42993</v>
      </c>
      <c r="F36" s="217">
        <v>42993</v>
      </c>
      <c r="G36" s="206" t="s">
        <v>435</v>
      </c>
      <c r="H36" s="206" t="s">
        <v>435</v>
      </c>
      <c r="I36" s="218"/>
      <c r="J36" s="208"/>
      <c r="K36" s="196"/>
    </row>
    <row r="37" spans="1:11" x14ac:dyDescent="0.25">
      <c r="A37" s="204" t="s">
        <v>506</v>
      </c>
      <c r="B37" s="209" t="s">
        <v>192</v>
      </c>
      <c r="C37" s="206">
        <v>44958</v>
      </c>
      <c r="D37" s="206">
        <v>44985</v>
      </c>
      <c r="E37" s="217">
        <v>43054</v>
      </c>
      <c r="F37" s="217">
        <v>43305</v>
      </c>
      <c r="G37" s="206">
        <v>44958</v>
      </c>
      <c r="H37" s="206">
        <v>44985</v>
      </c>
      <c r="I37" s="218"/>
      <c r="J37" s="198"/>
      <c r="K37" s="196"/>
    </row>
    <row r="38" spans="1:11" x14ac:dyDescent="0.25">
      <c r="A38" s="207" t="s">
        <v>507</v>
      </c>
      <c r="B38" s="210" t="s">
        <v>191</v>
      </c>
      <c r="C38" s="206"/>
      <c r="D38" s="206"/>
      <c r="E38" s="217"/>
      <c r="F38" s="217"/>
      <c r="G38" s="206"/>
      <c r="H38" s="206"/>
      <c r="I38" s="218"/>
      <c r="J38" s="196"/>
      <c r="K38" s="196"/>
    </row>
    <row r="39" spans="1:11" ht="63" x14ac:dyDescent="0.25">
      <c r="A39" s="204" t="s">
        <v>509</v>
      </c>
      <c r="B39" s="209" t="s">
        <v>508</v>
      </c>
      <c r="C39" s="206">
        <v>44995</v>
      </c>
      <c r="D39" s="206">
        <v>45000</v>
      </c>
      <c r="E39" s="217">
        <v>42843</v>
      </c>
      <c r="F39" s="217">
        <v>42843</v>
      </c>
      <c r="G39" s="206">
        <v>44995</v>
      </c>
      <c r="H39" s="206">
        <v>45000</v>
      </c>
      <c r="I39" s="218"/>
      <c r="J39" s="196"/>
      <c r="K39" s="196"/>
    </row>
    <row r="40" spans="1:11" x14ac:dyDescent="0.25">
      <c r="A40" s="204" t="s">
        <v>511</v>
      </c>
      <c r="B40" s="209" t="s">
        <v>510</v>
      </c>
      <c r="C40" s="206">
        <v>45001</v>
      </c>
      <c r="D40" s="206">
        <v>45015</v>
      </c>
      <c r="E40" s="217">
        <v>43038</v>
      </c>
      <c r="F40" s="217">
        <v>43038</v>
      </c>
      <c r="G40" s="206">
        <v>45001</v>
      </c>
      <c r="H40" s="206">
        <v>45015</v>
      </c>
      <c r="I40" s="218"/>
      <c r="J40" s="196"/>
      <c r="K40" s="196"/>
    </row>
    <row r="41" spans="1:11" ht="47.25" x14ac:dyDescent="0.25">
      <c r="A41" s="204" t="s">
        <v>513</v>
      </c>
      <c r="B41" s="210" t="s">
        <v>512</v>
      </c>
      <c r="C41" s="206"/>
      <c r="D41" s="206"/>
      <c r="E41" s="217"/>
      <c r="F41" s="217"/>
      <c r="G41" s="206"/>
      <c r="H41" s="206"/>
      <c r="I41" s="218"/>
      <c r="J41" s="196"/>
      <c r="K41" s="196"/>
    </row>
    <row r="42" spans="1:11" ht="31.5" x14ac:dyDescent="0.25">
      <c r="A42" s="204" t="s">
        <v>515</v>
      </c>
      <c r="B42" s="209" t="s">
        <v>514</v>
      </c>
      <c r="C42" s="206">
        <v>45017</v>
      </c>
      <c r="D42" s="206">
        <v>45026</v>
      </c>
      <c r="E42" s="217">
        <v>43070</v>
      </c>
      <c r="F42" s="217">
        <v>43097</v>
      </c>
      <c r="G42" s="206">
        <v>45017</v>
      </c>
      <c r="H42" s="206">
        <v>45026</v>
      </c>
      <c r="I42" s="218"/>
      <c r="J42" s="196"/>
      <c r="K42" s="196"/>
    </row>
    <row r="43" spans="1:11" x14ac:dyDescent="0.25">
      <c r="A43" s="204" t="s">
        <v>516</v>
      </c>
      <c r="B43" s="209" t="s">
        <v>190</v>
      </c>
      <c r="C43" s="230">
        <v>45107</v>
      </c>
      <c r="D43" s="230">
        <v>45209</v>
      </c>
      <c r="E43" s="217">
        <v>43054</v>
      </c>
      <c r="F43" s="217">
        <v>43218</v>
      </c>
      <c r="G43" s="230">
        <v>45107</v>
      </c>
      <c r="H43" s="230">
        <v>45209</v>
      </c>
      <c r="I43" s="218"/>
      <c r="J43" s="196"/>
      <c r="K43" s="196"/>
    </row>
    <row r="44" spans="1:11" x14ac:dyDescent="0.25">
      <c r="A44" s="204" t="s">
        <v>517</v>
      </c>
      <c r="B44" s="209" t="s">
        <v>189</v>
      </c>
      <c r="C44" s="230">
        <v>45209</v>
      </c>
      <c r="D44" s="230">
        <v>45412</v>
      </c>
      <c r="E44" s="217">
        <v>43084</v>
      </c>
      <c r="F44" s="217">
        <v>43266</v>
      </c>
      <c r="G44" s="230">
        <v>45209</v>
      </c>
      <c r="H44" s="230">
        <v>45412</v>
      </c>
      <c r="I44" s="218"/>
      <c r="J44" s="196"/>
      <c r="K44" s="196"/>
    </row>
    <row r="45" spans="1:11" ht="78.75" x14ac:dyDescent="0.25">
      <c r="A45" s="204" t="s">
        <v>519</v>
      </c>
      <c r="B45" s="209" t="s">
        <v>518</v>
      </c>
      <c r="C45" s="230">
        <v>45412</v>
      </c>
      <c r="D45" s="230">
        <v>45442</v>
      </c>
      <c r="E45" s="217">
        <v>43343</v>
      </c>
      <c r="F45" s="217">
        <v>43343</v>
      </c>
      <c r="G45" s="230">
        <v>45412</v>
      </c>
      <c r="H45" s="230">
        <v>45442</v>
      </c>
      <c r="I45" s="218"/>
      <c r="J45" s="196"/>
      <c r="K45" s="196"/>
    </row>
    <row r="46" spans="1:11" ht="157.5" x14ac:dyDescent="0.25">
      <c r="A46" s="204" t="s">
        <v>521</v>
      </c>
      <c r="B46" s="209" t="s">
        <v>520</v>
      </c>
      <c r="C46" s="230" t="s">
        <v>435</v>
      </c>
      <c r="D46" s="230" t="s">
        <v>435</v>
      </c>
      <c r="E46" s="217">
        <v>43319</v>
      </c>
      <c r="F46" s="217">
        <v>43319</v>
      </c>
      <c r="G46" s="230" t="s">
        <v>435</v>
      </c>
      <c r="H46" s="230" t="s">
        <v>435</v>
      </c>
      <c r="I46" s="218"/>
      <c r="J46" s="196"/>
      <c r="K46" s="196"/>
    </row>
    <row r="47" spans="1:11" x14ac:dyDescent="0.25">
      <c r="A47" s="204" t="s">
        <v>531</v>
      </c>
      <c r="B47" s="209" t="s">
        <v>188</v>
      </c>
      <c r="C47" s="231">
        <v>45442</v>
      </c>
      <c r="D47" s="230">
        <v>45422</v>
      </c>
      <c r="E47" s="217">
        <v>43220</v>
      </c>
      <c r="F47" s="217">
        <v>43318</v>
      </c>
      <c r="G47" s="231">
        <v>45442</v>
      </c>
      <c r="H47" s="230">
        <v>45422</v>
      </c>
      <c r="I47" s="218"/>
      <c r="J47" s="196"/>
      <c r="K47" s="196"/>
    </row>
    <row r="48" spans="1:11" ht="31.5" x14ac:dyDescent="0.25">
      <c r="A48" s="204" t="s">
        <v>522</v>
      </c>
      <c r="B48" s="210" t="s">
        <v>187</v>
      </c>
      <c r="C48" s="206"/>
      <c r="D48" s="206"/>
      <c r="E48" s="217"/>
      <c r="F48" s="217"/>
      <c r="G48" s="206"/>
      <c r="H48" s="206"/>
      <c r="I48" s="218"/>
      <c r="J48" s="196"/>
      <c r="K48" s="196"/>
    </row>
    <row r="49" spans="1:11" ht="31.5" x14ac:dyDescent="0.25">
      <c r="A49" s="204" t="s">
        <v>532</v>
      </c>
      <c r="B49" s="209" t="s">
        <v>186</v>
      </c>
      <c r="C49" s="206">
        <v>45422</v>
      </c>
      <c r="D49" s="206">
        <v>45457</v>
      </c>
      <c r="E49" s="217">
        <v>43318</v>
      </c>
      <c r="F49" s="217">
        <v>43320</v>
      </c>
      <c r="G49" s="206">
        <v>45422</v>
      </c>
      <c r="H49" s="206">
        <v>45457</v>
      </c>
      <c r="I49" s="218"/>
      <c r="J49" s="196"/>
      <c r="K49" s="196"/>
    </row>
    <row r="50" spans="1:11" ht="78.75" x14ac:dyDescent="0.25">
      <c r="A50" s="207" t="s">
        <v>524</v>
      </c>
      <c r="B50" s="209" t="s">
        <v>523</v>
      </c>
      <c r="C50" s="206"/>
      <c r="D50" s="206"/>
      <c r="E50" s="217">
        <v>43343</v>
      </c>
      <c r="F50" s="217">
        <v>43343</v>
      </c>
      <c r="G50" s="206"/>
      <c r="H50" s="206"/>
      <c r="I50" s="218"/>
      <c r="J50" s="196"/>
      <c r="K50" s="196"/>
    </row>
    <row r="51" spans="1:11" ht="63" x14ac:dyDescent="0.25">
      <c r="A51" s="204" t="s">
        <v>526</v>
      </c>
      <c r="B51" s="209" t="s">
        <v>525</v>
      </c>
      <c r="C51" s="206"/>
      <c r="D51" s="206"/>
      <c r="E51" s="217">
        <v>43343</v>
      </c>
      <c r="F51" s="217">
        <v>43343</v>
      </c>
      <c r="G51" s="206"/>
      <c r="H51" s="206"/>
      <c r="I51" s="218"/>
      <c r="J51" s="196"/>
      <c r="K51" s="196"/>
    </row>
    <row r="52" spans="1:11" ht="63" x14ac:dyDescent="0.25">
      <c r="A52" s="204" t="s">
        <v>527</v>
      </c>
      <c r="B52" s="209" t="s">
        <v>185</v>
      </c>
      <c r="C52" s="206" t="s">
        <v>435</v>
      </c>
      <c r="D52" s="206" t="s">
        <v>435</v>
      </c>
      <c r="E52" s="217"/>
      <c r="F52" s="217"/>
      <c r="G52" s="206" t="s">
        <v>435</v>
      </c>
      <c r="H52" s="206" t="s">
        <v>435</v>
      </c>
      <c r="I52" s="218"/>
      <c r="J52" s="196"/>
      <c r="K52" s="196"/>
    </row>
    <row r="53" spans="1:11" ht="31.5" x14ac:dyDescent="0.25">
      <c r="A53" s="204" t="s">
        <v>529</v>
      </c>
      <c r="B53" s="209" t="s">
        <v>528</v>
      </c>
      <c r="C53" s="232">
        <v>45457</v>
      </c>
      <c r="D53" s="206">
        <v>45473</v>
      </c>
      <c r="E53" s="217">
        <v>43343</v>
      </c>
      <c r="F53" s="217">
        <v>43343</v>
      </c>
      <c r="G53" s="232">
        <v>45457</v>
      </c>
      <c r="H53" s="206">
        <v>45473</v>
      </c>
      <c r="I53" s="218"/>
      <c r="J53" s="196"/>
      <c r="K53" s="196"/>
    </row>
    <row r="54" spans="1:11" ht="31.5" x14ac:dyDescent="0.25">
      <c r="A54" s="204" t="s">
        <v>533</v>
      </c>
      <c r="B54" s="209" t="s">
        <v>184</v>
      </c>
      <c r="C54" s="232">
        <f>D53</f>
        <v>45473</v>
      </c>
      <c r="D54" s="232">
        <v>45473</v>
      </c>
      <c r="E54" s="217">
        <v>43353</v>
      </c>
      <c r="F54" s="217">
        <v>43353</v>
      </c>
      <c r="G54" s="232">
        <f>H53</f>
        <v>45473</v>
      </c>
      <c r="H54" s="232">
        <v>45473</v>
      </c>
      <c r="I54" s="218"/>
      <c r="J54" s="196"/>
      <c r="K54" s="196"/>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2022-02-12T16:42:13Z</dcterms:modified>
</cp:coreProperties>
</file>