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J 19-15\J 19-15_паспорт_карта\"/>
    </mc:Choice>
  </mc:AlternateContent>
  <xr:revisionPtr revIDLastSave="0" documentId="13_ncr:1_{AE0863DD-C598-4E9E-AA22-CAF4C8875F3F}"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5" i="53" l="1"/>
  <c r="G50" i="16"/>
  <c r="G54" i="16"/>
  <c r="G53" i="16"/>
  <c r="A5" i="58"/>
  <c r="A15" i="58" l="1"/>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D80" i="58" s="1"/>
  <c r="AC58" i="58"/>
  <c r="AC80" i="58" s="1"/>
  <c r="AB58" i="58"/>
  <c r="AB80" i="58" s="1"/>
  <c r="AA58" i="58"/>
  <c r="AA80" i="58" s="1"/>
  <c r="Z58" i="58"/>
  <c r="Z80" i="58" s="1"/>
  <c r="Y58" i="58"/>
  <c r="Y80" i="58" s="1"/>
  <c r="X58" i="58"/>
  <c r="X80" i="58" s="1"/>
  <c r="W58" i="58"/>
  <c r="W80" i="58" s="1"/>
  <c r="V58" i="58"/>
  <c r="V80" i="58" s="1"/>
  <c r="U58" i="58"/>
  <c r="U80" i="58" s="1"/>
  <c r="T58" i="58"/>
  <c r="T80" i="58" s="1"/>
  <c r="S58" i="58"/>
  <c r="R58" i="58"/>
  <c r="R80" i="58" s="1"/>
  <c r="Q58" i="58"/>
  <c r="Q80" i="58" s="1"/>
  <c r="P58" i="58"/>
  <c r="P80" i="58" s="1"/>
  <c r="O58" i="58"/>
  <c r="N58" i="58"/>
  <c r="N80" i="58" s="1"/>
  <c r="M58" i="58"/>
  <c r="M80" i="58" s="1"/>
  <c r="L58" i="58"/>
  <c r="L80" i="58" s="1"/>
  <c r="K58" i="58"/>
  <c r="K80" i="58" s="1"/>
  <c r="J58" i="58"/>
  <c r="J80" i="58" s="1"/>
  <c r="I58" i="58"/>
  <c r="I80" i="58" s="1"/>
  <c r="H58" i="58"/>
  <c r="H80" i="58" s="1"/>
  <c r="G58" i="58"/>
  <c r="G80" i="58" s="1"/>
  <c r="F58" i="58"/>
  <c r="F80" i="58" s="1"/>
  <c r="E58" i="58"/>
  <c r="E80" i="58" s="1"/>
  <c r="D58" i="58"/>
  <c r="D80" i="58" s="1"/>
  <c r="C58" i="58"/>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E80" i="58" l="1"/>
  <c r="C80" i="58"/>
  <c r="O80" i="58"/>
  <c r="S80" i="58"/>
  <c r="AA24" i="57" l="1"/>
  <c r="W24" i="57"/>
  <c r="S24" i="57"/>
  <c r="E41" i="57"/>
  <c r="F41" i="57"/>
  <c r="E56" i="57"/>
  <c r="F56" i="57"/>
  <c r="E63" i="57"/>
  <c r="F63" i="57"/>
  <c r="D64" i="57"/>
  <c r="F64" i="57" s="1"/>
  <c r="D62" i="57"/>
  <c r="F62" i="57" s="1"/>
  <c r="D61" i="57"/>
  <c r="F61" i="57" s="1"/>
  <c r="D60" i="57"/>
  <c r="F60" i="57" s="1"/>
  <c r="D59" i="57"/>
  <c r="F59" i="57" s="1"/>
  <c r="D58" i="57"/>
  <c r="F58" i="57" s="1"/>
  <c r="D57" i="57"/>
  <c r="F57" i="57" s="1"/>
  <c r="D55" i="57"/>
  <c r="F55" i="57" s="1"/>
  <c r="D54" i="57"/>
  <c r="F54" i="57" s="1"/>
  <c r="D53" i="57"/>
  <c r="F53" i="57" s="1"/>
  <c r="D51" i="57"/>
  <c r="F51" i="57" s="1"/>
  <c r="D50" i="57"/>
  <c r="F50" i="57" s="1"/>
  <c r="D49" i="57"/>
  <c r="F49" i="57" s="1"/>
  <c r="D48" i="57"/>
  <c r="F48" i="57" s="1"/>
  <c r="D47" i="57"/>
  <c r="F47" i="57" s="1"/>
  <c r="D46" i="57"/>
  <c r="F46" i="57" s="1"/>
  <c r="D45" i="57"/>
  <c r="F45" i="57" s="1"/>
  <c r="D44" i="57"/>
  <c r="F44" i="57" s="1"/>
  <c r="D43" i="57"/>
  <c r="F43" i="57" s="1"/>
  <c r="D42" i="57"/>
  <c r="F42" i="57" s="1"/>
  <c r="D40" i="57"/>
  <c r="F40" i="57" s="1"/>
  <c r="D39" i="57"/>
  <c r="F39" i="57" s="1"/>
  <c r="D38" i="57"/>
  <c r="F38" i="57" s="1"/>
  <c r="D37" i="57"/>
  <c r="F37" i="57" s="1"/>
  <c r="D36" i="57"/>
  <c r="F36" i="57" s="1"/>
  <c r="D35" i="57"/>
  <c r="F35" i="57" s="1"/>
  <c r="D34" i="57"/>
  <c r="F34" i="57" s="1"/>
  <c r="D33" i="57"/>
  <c r="F33" i="57" s="1"/>
  <c r="D32" i="57"/>
  <c r="F32" i="57" s="1"/>
  <c r="D31" i="57"/>
  <c r="F31" i="57" s="1"/>
  <c r="D29" i="57"/>
  <c r="F29" i="57" s="1"/>
  <c r="D28" i="57"/>
  <c r="F28" i="57" s="1"/>
  <c r="D26" i="57"/>
  <c r="F26" i="57" s="1"/>
  <c r="D25" i="57"/>
  <c r="F25" i="57" s="1"/>
  <c r="D30" i="57" l="1"/>
  <c r="D52" i="57" s="1"/>
  <c r="F52" i="57" s="1"/>
  <c r="C32" i="57"/>
  <c r="E32" i="57" s="1"/>
  <c r="C31" i="57"/>
  <c r="E31" i="57" s="1"/>
  <c r="D24" i="57" l="1"/>
  <c r="B24" i="58"/>
  <c r="F30" i="57"/>
  <c r="C34" i="57"/>
  <c r="C33" i="57"/>
  <c r="P32" i="57"/>
  <c r="AB32" i="57" s="1"/>
  <c r="P31" i="57"/>
  <c r="AB31" i="57" s="1"/>
  <c r="C67" i="58" l="1"/>
  <c r="D67" i="58" s="1"/>
  <c r="D65" i="58" s="1"/>
  <c r="D59" i="58" s="1"/>
  <c r="D66" i="58" s="1"/>
  <c r="C65" i="58"/>
  <c r="C59" i="58" s="1"/>
  <c r="C66" i="58" s="1"/>
  <c r="P34" i="57"/>
  <c r="AB34" i="57" s="1"/>
  <c r="E34" i="57"/>
  <c r="B49" i="58"/>
  <c r="B58" i="58" s="1"/>
  <c r="B34" i="58"/>
  <c r="J61" i="58" s="1"/>
  <c r="B28" i="58"/>
  <c r="H60" i="58" s="1"/>
  <c r="P33" i="57"/>
  <c r="E33" i="57"/>
  <c r="D27" i="57"/>
  <c r="F27" i="57" s="1"/>
  <c r="F24" i="57"/>
  <c r="C30" i="57"/>
  <c r="P30" i="57" l="1"/>
  <c r="AB30" i="57" s="1"/>
  <c r="E30" i="57"/>
  <c r="AC30" i="57" s="1"/>
  <c r="R61" i="58"/>
  <c r="B66" i="58"/>
  <c r="B68" i="58" s="1"/>
  <c r="B80" i="58"/>
  <c r="N60" i="58"/>
  <c r="C24" i="57"/>
  <c r="E24" i="57" s="1"/>
  <c r="P41" i="57"/>
  <c r="AB41" i="57" s="1"/>
  <c r="P56" i="57"/>
  <c r="AB56" i="57" s="1"/>
  <c r="P63" i="57"/>
  <c r="AB63" i="57" s="1"/>
  <c r="Z61" i="58" l="1"/>
  <c r="B81" i="58"/>
  <c r="AC24" i="57"/>
  <c r="T60" i="58"/>
  <c r="B75" i="58"/>
  <c r="B70" i="58"/>
  <c r="P24" i="57"/>
  <c r="C49" i="7"/>
  <c r="Z60" i="58" l="1"/>
  <c r="B71" i="58"/>
  <c r="B72" i="58" s="1"/>
  <c r="B79" i="58"/>
  <c r="C79" i="58" s="1"/>
  <c r="L33" i="57"/>
  <c r="AB33" i="57" s="1"/>
  <c r="C52" i="57"/>
  <c r="E52" i="57" s="1"/>
  <c r="C49" i="57"/>
  <c r="E49" i="57" s="1"/>
  <c r="D76" i="58" l="1"/>
  <c r="E67" i="58"/>
  <c r="D68" i="58"/>
  <c r="D79" i="58"/>
  <c r="C76" i="58"/>
  <c r="C68" i="58"/>
  <c r="B78" i="58"/>
  <c r="B83" i="58" s="1"/>
  <c r="B27" i="53"/>
  <c r="P52" i="57"/>
  <c r="AB52" i="57" s="1"/>
  <c r="P49" i="57"/>
  <c r="AB49" i="57" s="1"/>
  <c r="C27" i="57"/>
  <c r="E27" i="57" s="1"/>
  <c r="AC27" i="57" s="1"/>
  <c r="C48" i="7"/>
  <c r="B97" i="53"/>
  <c r="E65" i="58" l="1"/>
  <c r="E59" i="58" s="1"/>
  <c r="E66" i="58" s="1"/>
  <c r="B86" i="58"/>
  <c r="B88" i="58"/>
  <c r="B84" i="58"/>
  <c r="B89" i="58" s="1"/>
  <c r="D70" i="58"/>
  <c r="D71" i="58" s="1"/>
  <c r="D72" i="58" s="1"/>
  <c r="D75" i="58"/>
  <c r="C70" i="58"/>
  <c r="C71" i="58" s="1"/>
  <c r="C75" i="58"/>
  <c r="E68" i="58"/>
  <c r="E76" i="58"/>
  <c r="F67" i="58"/>
  <c r="E79" i="58"/>
  <c r="F79" i="58" s="1"/>
  <c r="P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AC31" i="57" s="1"/>
  <c r="J29" i="57"/>
  <c r="J28" i="57"/>
  <c r="J26" i="57"/>
  <c r="J25" i="57"/>
  <c r="AC33" i="57" l="1"/>
  <c r="F65" i="58"/>
  <c r="F59" i="58" s="1"/>
  <c r="F66" i="58" s="1"/>
  <c r="AC49" i="57"/>
  <c r="G79" i="58"/>
  <c r="H79" i="58" s="1"/>
  <c r="B87" i="58"/>
  <c r="B90" i="58" s="1"/>
  <c r="F68" i="58"/>
  <c r="G67" i="58"/>
  <c r="F76" i="58"/>
  <c r="C72" i="58"/>
  <c r="C78" i="58"/>
  <c r="D78" i="58" s="1"/>
  <c r="D83" i="58" s="1"/>
  <c r="D86" i="58" s="1"/>
  <c r="E75" i="58"/>
  <c r="E70" i="58"/>
  <c r="E71" i="58" s="1"/>
  <c r="E72" i="58" s="1"/>
  <c r="Y24" i="57"/>
  <c r="X24" i="57"/>
  <c r="AB24" i="57" s="1"/>
  <c r="U24" i="57"/>
  <c r="Q24" i="57"/>
  <c r="O24" i="57"/>
  <c r="M24" i="57"/>
  <c r="K24" i="57"/>
  <c r="I24" i="57"/>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C83" i="58"/>
  <c r="D88" i="58" s="1"/>
  <c r="E78" i="58"/>
  <c r="E83" i="58" s="1"/>
  <c r="E86" i="58" s="1"/>
  <c r="G68" i="58"/>
  <c r="G76" i="58"/>
  <c r="H67" i="58"/>
  <c r="C86" i="58"/>
  <c r="E88" i="58"/>
  <c r="C84" i="58"/>
  <c r="C89" i="58" s="1"/>
  <c r="F75" i="58"/>
  <c r="F70" i="58"/>
  <c r="F71" i="58"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88" i="58" l="1"/>
  <c r="D84" i="58"/>
  <c r="H65" i="58"/>
  <c r="H59" i="58" s="1"/>
  <c r="H66" i="58" s="1"/>
  <c r="E84" i="58"/>
  <c r="E89" i="58" s="1"/>
  <c r="F72" i="58"/>
  <c r="G75" i="58"/>
  <c r="G70" i="58"/>
  <c r="G71" i="58" s="1"/>
  <c r="G72" i="58" s="1"/>
  <c r="H76" i="58"/>
  <c r="I67" i="58"/>
  <c r="H68" i="58"/>
  <c r="F78" i="58"/>
  <c r="F83" i="58" s="1"/>
  <c r="D89" i="58"/>
  <c r="D87" i="58"/>
  <c r="E87" i="58"/>
  <c r="C87" i="58"/>
  <c r="C90"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65" i="58" l="1"/>
  <c r="I59" i="58" s="1"/>
  <c r="I66" i="58" s="1"/>
  <c r="F86" i="58"/>
  <c r="F84" i="58"/>
  <c r="F89" i="58" s="1"/>
  <c r="F88" i="58"/>
  <c r="D90" i="58"/>
  <c r="J67" i="58"/>
  <c r="I76" i="58"/>
  <c r="I68" i="58"/>
  <c r="G78" i="58"/>
  <c r="G83" i="58" s="1"/>
  <c r="G86" i="58" s="1"/>
  <c r="E90" i="58"/>
  <c r="H70" i="58"/>
  <c r="H71" i="58" s="1"/>
  <c r="H75" i="58"/>
  <c r="A5" i="53"/>
  <c r="J65" i="58" l="1"/>
  <c r="J59" i="58" s="1"/>
  <c r="J66" i="58" s="1"/>
  <c r="J68" i="58" s="1"/>
  <c r="K67" i="58"/>
  <c r="J76" i="58"/>
  <c r="G84" i="58"/>
  <c r="G89" i="58" s="1"/>
  <c r="G88" i="58"/>
  <c r="H72" i="58"/>
  <c r="H78" i="58"/>
  <c r="H83" i="58" s="1"/>
  <c r="I70" i="58"/>
  <c r="I75" i="58"/>
  <c r="F87" i="58"/>
  <c r="F90" i="58" s="1"/>
  <c r="G87" i="58"/>
  <c r="X49" i="15"/>
  <c r="X45" i="15"/>
  <c r="X54" i="15" s="1"/>
  <c r="X48" i="15"/>
  <c r="X47" i="15"/>
  <c r="X27" i="15"/>
  <c r="T27" i="15"/>
  <c r="K65" i="58" l="1"/>
  <c r="K59" i="58" s="1"/>
  <c r="K66" i="58" s="1"/>
  <c r="K68" i="58" s="1"/>
  <c r="G90" i="58"/>
  <c r="J70" i="58"/>
  <c r="J71" i="58" s="1"/>
  <c r="J75" i="58"/>
  <c r="I71" i="58"/>
  <c r="L67" i="58"/>
  <c r="K76" i="58"/>
  <c r="E27" i="15"/>
  <c r="H86" i="58"/>
  <c r="H88" i="58"/>
  <c r="H84" i="58"/>
  <c r="H89" i="58" s="1"/>
  <c r="X56" i="15"/>
  <c r="L65" i="58" l="1"/>
  <c r="L59" i="58" s="1"/>
  <c r="L66" i="58" s="1"/>
  <c r="L68" i="58" s="1"/>
  <c r="I78" i="58"/>
  <c r="I83" i="58" s="1"/>
  <c r="H87" i="58"/>
  <c r="H90" i="58" s="1"/>
  <c r="K75" i="58"/>
  <c r="K70" i="58"/>
  <c r="K71" i="58" s="1"/>
  <c r="J72" i="58"/>
  <c r="M67" i="58"/>
  <c r="L76" i="58"/>
  <c r="I72"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M65" i="58" l="1"/>
  <c r="M59" i="58" s="1"/>
  <c r="M66" i="58" s="1"/>
  <c r="J78" i="58"/>
  <c r="J83" i="58" s="1"/>
  <c r="J86" i="58" s="1"/>
  <c r="L70" i="58"/>
  <c r="L71" i="58" s="1"/>
  <c r="L75" i="58"/>
  <c r="M76" i="58"/>
  <c r="N67" i="58"/>
  <c r="M68" i="58"/>
  <c r="K72" i="58"/>
  <c r="I86" i="58"/>
  <c r="I84" i="58"/>
  <c r="I89" i="58" s="1"/>
  <c r="I88"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J88" i="58" l="1"/>
  <c r="J84" i="58"/>
  <c r="N65" i="58"/>
  <c r="N59" i="58" s="1"/>
  <c r="N66" i="58" s="1"/>
  <c r="K78" i="58"/>
  <c r="K83" i="58" s="1"/>
  <c r="K86" i="58" s="1"/>
  <c r="K87" i="58" s="1"/>
  <c r="J87" i="58"/>
  <c r="I87" i="58"/>
  <c r="I90" i="58" s="1"/>
  <c r="M70" i="58"/>
  <c r="M75" i="58"/>
  <c r="O67" i="58"/>
  <c r="N76" i="58"/>
  <c r="N68" i="58"/>
  <c r="J89" i="58"/>
  <c r="L72" i="58"/>
  <c r="P43" i="57"/>
  <c r="L43" i="57"/>
  <c r="AB43" i="57" s="1"/>
  <c r="P47" i="57"/>
  <c r="L47" i="57"/>
  <c r="P64" i="57"/>
  <c r="L64" i="57"/>
  <c r="AB64" i="57" s="1"/>
  <c r="P40" i="57"/>
  <c r="L40" i="57"/>
  <c r="P48" i="57"/>
  <c r="L48" i="57"/>
  <c r="AB48" i="57" s="1"/>
  <c r="P57" i="57"/>
  <c r="L57" i="57"/>
  <c r="P58" i="57"/>
  <c r="L58" i="57"/>
  <c r="AB58" i="57" s="1"/>
  <c r="P26" i="57"/>
  <c r="L26" i="57"/>
  <c r="P46" i="57"/>
  <c r="L46" i="57"/>
  <c r="AB46" i="57" s="1"/>
  <c r="P51" i="57"/>
  <c r="L51" i="57"/>
  <c r="P36" i="57"/>
  <c r="L36" i="57"/>
  <c r="AB36" i="57" s="1"/>
  <c r="P53" i="57"/>
  <c r="L53" i="57"/>
  <c r="P25" i="57"/>
  <c r="L25" i="57"/>
  <c r="AB25" i="57" s="1"/>
  <c r="P37" i="57"/>
  <c r="L37" i="57"/>
  <c r="P45" i="57"/>
  <c r="L45" i="57"/>
  <c r="AB45" i="57" s="1"/>
  <c r="P42" i="57"/>
  <c r="L42" i="57"/>
  <c r="P59" i="57"/>
  <c r="L59" i="57"/>
  <c r="AB59" i="57" s="1"/>
  <c r="P60" i="57"/>
  <c r="L60" i="57"/>
  <c r="P28" i="57"/>
  <c r="L28" i="57"/>
  <c r="AB28" i="57" s="1"/>
  <c r="P62" i="57"/>
  <c r="L62" i="57"/>
  <c r="P38" i="57"/>
  <c r="L38" i="57"/>
  <c r="AB38" i="57" s="1"/>
  <c r="P55" i="57"/>
  <c r="L55" i="57"/>
  <c r="P35" i="57"/>
  <c r="L35" i="57"/>
  <c r="AB35" i="57" s="1"/>
  <c r="P39" i="57"/>
  <c r="L39" i="57"/>
  <c r="P44" i="57"/>
  <c r="L44" i="57"/>
  <c r="AB44" i="57" s="1"/>
  <c r="P61" i="57"/>
  <c r="L61" i="57"/>
  <c r="P29" i="57"/>
  <c r="L29" i="57"/>
  <c r="AB29" i="57" s="1"/>
  <c r="P54" i="57"/>
  <c r="L54" i="57"/>
  <c r="P50" i="57"/>
  <c r="L50" i="57"/>
  <c r="AB50" i="57" s="1"/>
  <c r="F24" i="15"/>
  <c r="C52" i="15"/>
  <c r="E52" i="15" s="1"/>
  <c r="F52" i="15"/>
  <c r="AB54" i="57" l="1"/>
  <c r="AB61" i="57"/>
  <c r="AB39" i="57"/>
  <c r="AB55" i="57"/>
  <c r="AB62" i="57"/>
  <c r="AB60" i="57"/>
  <c r="AB42" i="57"/>
  <c r="AB37" i="57"/>
  <c r="AB53" i="57"/>
  <c r="AB51" i="57"/>
  <c r="AB26" i="57"/>
  <c r="AB57" i="57"/>
  <c r="AB40" i="57"/>
  <c r="AB47" i="57"/>
  <c r="O65" i="58"/>
  <c r="O59" i="58" s="1"/>
  <c r="O66" i="58" s="1"/>
  <c r="O68" i="58" s="1"/>
  <c r="K90" i="58"/>
  <c r="K84" i="58"/>
  <c r="K89" i="58" s="1"/>
  <c r="L78" i="58"/>
  <c r="L83" i="58" s="1"/>
  <c r="L86" i="58" s="1"/>
  <c r="L87" i="58" s="1"/>
  <c r="G29" i="58" s="1"/>
  <c r="K88" i="58"/>
  <c r="O76" i="58"/>
  <c r="P67" i="58"/>
  <c r="N75" i="58"/>
  <c r="N70" i="58"/>
  <c r="M71" i="58"/>
  <c r="M78" i="58" s="1"/>
  <c r="M83" i="58" s="1"/>
  <c r="J90" i="58"/>
  <c r="N61" i="57"/>
  <c r="AC61" i="57" s="1"/>
  <c r="N35" i="57"/>
  <c r="AC35" i="57" s="1"/>
  <c r="N60" i="57"/>
  <c r="AC60" i="57" s="1"/>
  <c r="N37" i="57"/>
  <c r="AC37" i="57" s="1"/>
  <c r="N51" i="57"/>
  <c r="AC51" i="57" s="1"/>
  <c r="N57" i="57"/>
  <c r="AC57" i="57" s="1"/>
  <c r="N29" i="57"/>
  <c r="AC29" i="57" s="1"/>
  <c r="N39" i="57"/>
  <c r="AC39" i="57" s="1"/>
  <c r="N28" i="57"/>
  <c r="AC28" i="57" s="1"/>
  <c r="N45" i="57"/>
  <c r="AC45" i="57" s="1"/>
  <c r="N36" i="57"/>
  <c r="AC36" i="57" s="1"/>
  <c r="N58" i="57"/>
  <c r="AC58" i="57" s="1"/>
  <c r="N64" i="57"/>
  <c r="AC64" i="57" s="1"/>
  <c r="N54" i="57"/>
  <c r="AC54" i="57" s="1"/>
  <c r="N62" i="57"/>
  <c r="AC62" i="57" s="1"/>
  <c r="N42" i="57"/>
  <c r="AC42" i="57" s="1"/>
  <c r="N53" i="57"/>
  <c r="AC53" i="57" s="1"/>
  <c r="N26" i="57"/>
  <c r="AC26" i="57" s="1"/>
  <c r="N40" i="57"/>
  <c r="AC40" i="57" s="1"/>
  <c r="N43" i="57"/>
  <c r="AC43" i="57" s="1"/>
  <c r="N50" i="57"/>
  <c r="AC50" i="57" s="1"/>
  <c r="N44" i="57"/>
  <c r="AC44" i="57" s="1"/>
  <c r="N55" i="57"/>
  <c r="AC55" i="57" s="1"/>
  <c r="N38" i="57"/>
  <c r="AC38" i="57" s="1"/>
  <c r="N59" i="57"/>
  <c r="AC59" i="57" s="1"/>
  <c r="N25" i="57"/>
  <c r="AC25" i="57" s="1"/>
  <c r="N46" i="57"/>
  <c r="AC46" i="57" s="1"/>
  <c r="N48" i="57"/>
  <c r="AC48" i="57" s="1"/>
  <c r="N47" i="57"/>
  <c r="AC47" i="57" s="1"/>
  <c r="B22" i="53"/>
  <c r="A15" i="53"/>
  <c r="B21" i="53" s="1"/>
  <c r="A12" i="53"/>
  <c r="A9" i="53"/>
  <c r="B60" i="53"/>
  <c r="B83" i="53"/>
  <c r="B82" i="53" s="1"/>
  <c r="B81" i="53"/>
  <c r="B80" i="53" s="1"/>
  <c r="B58" i="53"/>
  <c r="B41" i="53"/>
  <c r="B32" i="53"/>
  <c r="B72" i="53"/>
  <c r="L84" i="58" l="1"/>
  <c r="M72" i="58"/>
  <c r="L88" i="58"/>
  <c r="P65" i="58"/>
  <c r="P59" i="58" s="1"/>
  <c r="P66" i="58" s="1"/>
  <c r="P68" i="58" s="1"/>
  <c r="L89" i="58"/>
  <c r="L90" i="58"/>
  <c r="N71" i="58"/>
  <c r="N78" i="58" s="1"/>
  <c r="N83" i="58" s="1"/>
  <c r="O75" i="58"/>
  <c r="O70" i="58"/>
  <c r="P76" i="58"/>
  <c r="Q67" i="58"/>
  <c r="M86" i="58"/>
  <c r="M87" i="58" s="1"/>
  <c r="M90" i="58" s="1"/>
  <c r="M88" i="58"/>
  <c r="M84" i="58"/>
  <c r="B30" i="53"/>
  <c r="B34" i="53"/>
  <c r="B47" i="53"/>
  <c r="B55" i="53"/>
  <c r="B68" i="53"/>
  <c r="B38" i="53"/>
  <c r="B43" i="53"/>
  <c r="B51" i="53"/>
  <c r="B64" i="53"/>
  <c r="M89" i="58" l="1"/>
  <c r="Q65" i="58"/>
  <c r="Q59" i="58" s="1"/>
  <c r="Q66" i="58" s="1"/>
  <c r="N72" i="58"/>
  <c r="N86" i="58"/>
  <c r="N87" i="58" s="1"/>
  <c r="N90" i="58" s="1"/>
  <c r="N84" i="58"/>
  <c r="N89" i="58" s="1"/>
  <c r="N88" i="58"/>
  <c r="O71" i="58"/>
  <c r="O78" i="58" s="1"/>
  <c r="O83" i="58" s="1"/>
  <c r="P70" i="58"/>
  <c r="P75" i="58"/>
  <c r="Q76" i="58"/>
  <c r="R67" i="58"/>
  <c r="Q68" i="58"/>
  <c r="B29" i="53"/>
  <c r="B75" i="53"/>
  <c r="A15" i="12"/>
  <c r="R65" i="58" l="1"/>
  <c r="R59" i="58" s="1"/>
  <c r="R66" i="58" s="1"/>
  <c r="R68" i="58" s="1"/>
  <c r="O86" i="58"/>
  <c r="O87" i="58" s="1"/>
  <c r="O90" i="58" s="1"/>
  <c r="O88" i="58"/>
  <c r="O84" i="58"/>
  <c r="O89" i="58" s="1"/>
  <c r="Q75" i="58"/>
  <c r="Q70" i="58"/>
  <c r="P71" i="58"/>
  <c r="P78" i="58" s="1"/>
  <c r="P83" i="58" s="1"/>
  <c r="R76" i="58"/>
  <c r="S67" i="58"/>
  <c r="O72" i="58"/>
  <c r="A8" i="17"/>
  <c r="E9" i="14"/>
  <c r="S65" i="58" l="1"/>
  <c r="S59" i="58" s="1"/>
  <c r="S66" i="58" s="1"/>
  <c r="S68" i="58" s="1"/>
  <c r="P86" i="58"/>
  <c r="P87" i="58" s="1"/>
  <c r="P90" i="58" s="1"/>
  <c r="P88" i="58"/>
  <c r="P84" i="58"/>
  <c r="P89" i="58" s="1"/>
  <c r="P72" i="58"/>
  <c r="R75" i="58"/>
  <c r="R70" i="58"/>
  <c r="S76" i="58"/>
  <c r="T67" i="58"/>
  <c r="Q71" i="58"/>
  <c r="Q78" i="58" s="1"/>
  <c r="Q83"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65" i="58" l="1"/>
  <c r="T59" i="58" s="1"/>
  <c r="T66" i="58" s="1"/>
  <c r="Q72" i="58"/>
  <c r="S75" i="58"/>
  <c r="S70" i="58"/>
  <c r="Q86" i="58"/>
  <c r="Q87" i="58" s="1"/>
  <c r="Q90" i="58" s="1"/>
  <c r="Q84" i="58"/>
  <c r="Q89" i="58" s="1"/>
  <c r="Q88" i="58"/>
  <c r="R71" i="58"/>
  <c r="R78" i="58" s="1"/>
  <c r="R83" i="58" s="1"/>
  <c r="T76" i="58"/>
  <c r="U67" i="58"/>
  <c r="T6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5" i="58" l="1"/>
  <c r="U59" i="58" s="1"/>
  <c r="U66" i="58" s="1"/>
  <c r="U68" i="58" s="1"/>
  <c r="R72" i="58"/>
  <c r="U76" i="58"/>
  <c r="V67" i="58"/>
  <c r="R86" i="58"/>
  <c r="R87" i="58" s="1"/>
  <c r="R90" i="58" s="1"/>
  <c r="R88" i="58"/>
  <c r="R84" i="58"/>
  <c r="R89" i="58" s="1"/>
  <c r="T70" i="58"/>
  <c r="T75" i="58"/>
  <c r="S71" i="58"/>
  <c r="S78" i="58" s="1"/>
  <c r="S83" i="58" s="1"/>
  <c r="V65" i="58" l="1"/>
  <c r="V59" i="58" s="1"/>
  <c r="V66" i="58" s="1"/>
  <c r="T71" i="58"/>
  <c r="T78" i="58" s="1"/>
  <c r="T83" i="58" s="1"/>
  <c r="T72" i="58"/>
  <c r="V68" i="58"/>
  <c r="W67" i="58"/>
  <c r="V76" i="58"/>
  <c r="S86" i="58"/>
  <c r="S87" i="58" s="1"/>
  <c r="S90" i="58" s="1"/>
  <c r="S88" i="58"/>
  <c r="S84" i="58"/>
  <c r="S89" i="58" s="1"/>
  <c r="S72" i="58"/>
  <c r="U75" i="58"/>
  <c r="U70" i="58"/>
  <c r="W65" i="58" l="1"/>
  <c r="W59" i="58" s="1"/>
  <c r="W66" i="58" s="1"/>
  <c r="X67" i="58"/>
  <c r="W68" i="58"/>
  <c r="W76" i="58"/>
  <c r="V75" i="58"/>
  <c r="V70" i="58"/>
  <c r="U71" i="58"/>
  <c r="U78" i="58" s="1"/>
  <c r="U83" i="58" s="1"/>
  <c r="T86" i="58"/>
  <c r="T87" i="58" s="1"/>
  <c r="T90" i="58" s="1"/>
  <c r="T84" i="58"/>
  <c r="T89" i="58" s="1"/>
  <c r="T88" i="58"/>
  <c r="X65" i="58" l="1"/>
  <c r="X59" i="58" s="1"/>
  <c r="X66" i="58" s="1"/>
  <c r="X68" i="58" s="1"/>
  <c r="U72" i="58"/>
  <c r="U86" i="58"/>
  <c r="U87" i="58" s="1"/>
  <c r="U90" i="58" s="1"/>
  <c r="U84" i="58"/>
  <c r="U89" i="58" s="1"/>
  <c r="U88" i="58"/>
  <c r="W75" i="58"/>
  <c r="W70" i="58"/>
  <c r="V71" i="58"/>
  <c r="V78" i="58" s="1"/>
  <c r="V83" i="58" s="1"/>
  <c r="X76" i="58"/>
  <c r="Y67" i="58"/>
  <c r="Y65" i="58" l="1"/>
  <c r="Y59" i="58" s="1"/>
  <c r="Y66" i="58" s="1"/>
  <c r="Y68" i="58" s="1"/>
  <c r="V86" i="58"/>
  <c r="V87" i="58" s="1"/>
  <c r="V90" i="58" s="1"/>
  <c r="V84" i="58"/>
  <c r="V89" i="58" s="1"/>
  <c r="V88" i="58"/>
  <c r="Z67" i="58"/>
  <c r="Z65" i="58" s="1"/>
  <c r="Z59" i="58" s="1"/>
  <c r="Z66" i="58" s="1"/>
  <c r="Y76" i="58"/>
  <c r="V72" i="58"/>
  <c r="X75" i="58"/>
  <c r="X70" i="58"/>
  <c r="W71" i="58"/>
  <c r="W78" i="58" s="1"/>
  <c r="W83" i="58" s="1"/>
  <c r="W72" i="58" l="1"/>
  <c r="Y75" i="58"/>
  <c r="Y70" i="58"/>
  <c r="W86" i="58"/>
  <c r="W87" i="58" s="1"/>
  <c r="W90" i="58" s="1"/>
  <c r="W84" i="58"/>
  <c r="W89" i="58" s="1"/>
  <c r="W88" i="58"/>
  <c r="X71" i="58"/>
  <c r="X78" i="58" s="1"/>
  <c r="X83" i="58" s="1"/>
  <c r="Z76" i="58"/>
  <c r="AA67" i="58"/>
  <c r="AA65" i="58" s="1"/>
  <c r="AA59" i="58" s="1"/>
  <c r="AA66" i="58" s="1"/>
  <c r="Z68" i="58"/>
  <c r="X72" i="58" l="1"/>
  <c r="AB67" i="58"/>
  <c r="AB65" i="58" s="1"/>
  <c r="AB59" i="58" s="1"/>
  <c r="AB66" i="58" s="1"/>
  <c r="AA68" i="58"/>
  <c r="AA76" i="58"/>
  <c r="Z70" i="58"/>
  <c r="Z75" i="58"/>
  <c r="X86" i="58"/>
  <c r="X87" i="58" s="1"/>
  <c r="X90" i="58" s="1"/>
  <c r="X84" i="58"/>
  <c r="X89" i="58" s="1"/>
  <c r="X88" i="58"/>
  <c r="Y71" i="58"/>
  <c r="Y78" i="58" s="1"/>
  <c r="Y83" i="58" s="1"/>
  <c r="Y72" i="58" l="1"/>
  <c r="Z71" i="58"/>
  <c r="Z78" i="58" s="1"/>
  <c r="Z83" i="58" s="1"/>
  <c r="AA75" i="58"/>
  <c r="AA70" i="58"/>
  <c r="Y86" i="58"/>
  <c r="Y87" i="58" s="1"/>
  <c r="Y90" i="58" s="1"/>
  <c r="Y84" i="58"/>
  <c r="Y89" i="58" s="1"/>
  <c r="Y88" i="58"/>
  <c r="AB68" i="58"/>
  <c r="AB76" i="58"/>
  <c r="AC67" i="58"/>
  <c r="AC65" i="58" s="1"/>
  <c r="AC59" i="58" s="1"/>
  <c r="AC66" i="58" s="1"/>
  <c r="Z72" i="58" l="1"/>
  <c r="AB75" i="58"/>
  <c r="AB70" i="58"/>
  <c r="AA71" i="58"/>
  <c r="AA78" i="58" s="1"/>
  <c r="AA83" i="58" s="1"/>
  <c r="AC76" i="58"/>
  <c r="AD67" i="58"/>
  <c r="AD65" i="58" s="1"/>
  <c r="AD59" i="58" s="1"/>
  <c r="AD66" i="58" s="1"/>
  <c r="AC68" i="58"/>
  <c r="Z86" i="58"/>
  <c r="Z87" i="58" s="1"/>
  <c r="Z90" i="58" s="1"/>
  <c r="Z88" i="58"/>
  <c r="Z84" i="58"/>
  <c r="Z89" i="58" s="1"/>
  <c r="AA72" i="58" l="1"/>
  <c r="AA86" i="58"/>
  <c r="AA87" i="58" s="1"/>
  <c r="AA90" i="58" s="1"/>
  <c r="AA84" i="58"/>
  <c r="AA89" i="58" s="1"/>
  <c r="AA88" i="58"/>
  <c r="AC70" i="58"/>
  <c r="AC75" i="58"/>
  <c r="AB71" i="58"/>
  <c r="AB78" i="58" s="1"/>
  <c r="AB83" i="58" s="1"/>
  <c r="AB72" i="58"/>
  <c r="AD68" i="58"/>
  <c r="AE67" i="58"/>
  <c r="AE65" i="58" s="1"/>
  <c r="AE59" i="58" s="1"/>
  <c r="AE66" i="58" s="1"/>
  <c r="AD76" i="58"/>
  <c r="AB86" i="58" l="1"/>
  <c r="AB87" i="58" s="1"/>
  <c r="AB90" i="58" s="1"/>
  <c r="AB84" i="58"/>
  <c r="AB89" i="58" s="1"/>
  <c r="AB88" i="58"/>
  <c r="AD70" i="58"/>
  <c r="AD75" i="58"/>
  <c r="AC71" i="58"/>
  <c r="AC78" i="58" s="1"/>
  <c r="AC83" i="58" s="1"/>
  <c r="AE68" i="58"/>
  <c r="AE76" i="58"/>
  <c r="AC72" i="58" l="1"/>
  <c r="AE75" i="58"/>
  <c r="AE70" i="58"/>
  <c r="AD71" i="58"/>
  <c r="AD78" i="58" s="1"/>
  <c r="AD83" i="58" s="1"/>
  <c r="AC86" i="58"/>
  <c r="AC87" i="58" s="1"/>
  <c r="AC90" i="58" s="1"/>
  <c r="AC88" i="58"/>
  <c r="AC84" i="58"/>
  <c r="AC89" i="58" s="1"/>
  <c r="AD72" i="58" l="1"/>
  <c r="AD86" i="58"/>
  <c r="AD87" i="58" s="1"/>
  <c r="AD90" i="58" s="1"/>
  <c r="AD88" i="58"/>
  <c r="AD84" i="58"/>
  <c r="AD89" i="58" s="1"/>
  <c r="AE71" i="58"/>
  <c r="AE78" i="58" s="1"/>
  <c r="AE83" i="58" s="1"/>
  <c r="AE86" i="58" l="1"/>
  <c r="AE87" i="58" s="1"/>
  <c r="AE90" i="58" s="1"/>
  <c r="G28" i="58" s="1"/>
  <c r="AE84" i="58"/>
  <c r="AE89" i="58" s="1"/>
  <c r="G27" i="58" s="1"/>
  <c r="AE88" i="58"/>
  <c r="AE72" i="58"/>
</calcChain>
</file>

<file path=xl/sharedStrings.xml><?xml version="1.0" encoding="utf-8"?>
<sst xmlns="http://schemas.openxmlformats.org/spreadsheetml/2006/main" count="1089" uniqueCount="611">
  <si>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</si>
  <si>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</si>
  <si>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</si>
  <si>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</si>
  <si>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</si>
  <si>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</si>
  <si>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</si>
  <si>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</si>
  <si>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</si>
  <si>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</si>
  <si>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</si>
  <si>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</si>
  <si>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</si>
  <si>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</si>
  <si>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</si>
  <si>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</si>
  <si>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</si>
  <si>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</si>
  <si>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</si>
  <si>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</si>
  <si>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</si>
  <si>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</si>
  <si>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</si>
  <si>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</si>
  <si>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</si>
  <si>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</si>
  <si>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</si>
  <si>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</si>
  <si>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</si>
  <si>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</si>
  <si>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</si>
  <si>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</si>
  <si>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</si>
  <si>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</si>
  <si>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</si>
  <si>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</si>
  <si>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</si>
  <si>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</si>
  <si>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</si>
  <si>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</si>
  <si>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</si>
  <si>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</si>
  <si>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</si>
  <si>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</si>
  <si>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</si>
  <si>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</si>
  <si>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</si>
  <si>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</si>
  <si>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</si>
  <si>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</si>
  <si>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</si>
  <si>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</si>
  <si>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</si>
  <si>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</si>
  <si>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</si>
  <si>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</si>
  <si>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</si>
  <si>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</si>
  <si>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</si>
  <si>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</si>
  <si>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</si>
  <si>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</si>
  <si>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</si>
  <si>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</si>
  <si>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</si>
  <si>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</si>
  <si>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</si>
  <si>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</si>
  <si>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</si>
  <si>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</si>
  <si>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</si>
  <si>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</si>
  <si>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</si>
  <si>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</si>
  <si>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</si>
  <si>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</si>
  <si>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</si>
  <si>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</si>
  <si>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</si>
  <si>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</si>
  <si>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</si>
  <si>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</si>
  <si>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</si>
  <si>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</si>
  <si>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</si>
  <si>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</si>
  <si>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</si>
  <si>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</si>
  <si>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</si>
  <si>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</si>
  <si>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</si>
  <si>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</si>
  <si>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</si>
  <si>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</si>
  <si>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</si>
  <si>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</si>
  <si>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</si>
  <si>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</si>
  <si>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</si>
  <si>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</si>
  <si>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</si>
  <si>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</si>
  <si>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</si>
  <si>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</si>
  <si>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</si>
  <si>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</si>
  <si>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</si>
  <si>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</si>
  <si>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</si>
  <si>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</si>
  <si>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</si>
  <si>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</si>
  <si>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</si>
  <si>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</si>
  <si>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</si>
  <si>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</si>
  <si>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</si>
  <si>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</si>
  <si>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</si>
  <si>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</si>
  <si>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</si>
  <si>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</si>
  <si>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</si>
  <si>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</si>
  <si>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</si>
  <si>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</si>
  <si>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</si>
  <si>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</si>
  <si>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</si>
  <si>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</si>
  <si>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</si>
  <si>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</si>
  <si>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</si>
  <si>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</si>
  <si>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</si>
  <si>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</si>
  <si>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</si>
  <si>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</si>
  <si>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</si>
  <si>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</si>
  <si>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</si>
  <si>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</si>
  <si>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</si>
  <si>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</si>
  <si>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</si>
  <si>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</si>
  <si>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</si>
  <si>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</si>
  <si>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</si>
  <si>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</si>
  <si>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</si>
  <si>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</si>
  <si>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</si>
  <si>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</si>
  <si>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</si>
  <si>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</si>
  <si>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</si>
  <si>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</si>
  <si>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</si>
  <si>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</si>
  <si>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</si>
  <si>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</si>
  <si>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</si>
  <si>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</si>
  <si>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</si>
  <si>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</si>
  <si>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</si>
  <si>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</si>
  <si>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</si>
  <si>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</si>
  <si>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</si>
  <si>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</si>
  <si>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</si>
  <si>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</si>
  <si>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</si>
  <si>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</si>
  <si>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</si>
  <si>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</si>
  <si>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</si>
  <si>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</si>
  <si>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</si>
  <si>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</si>
  <si>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</si>
  <si>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</si>
  <si>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</si>
  <si>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</si>
  <si>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</si>
  <si>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</si>
  <si>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</si>
  <si>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</si>
  <si>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</si>
  <si>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</si>
  <si>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</si>
  <si>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</si>
  <si>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</si>
  <si>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</si>
  <si>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</si>
  <si>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</si>
  <si>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</si>
  <si>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</si>
  <si>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</si>
  <si>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</si>
  <si>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</si>
  <si>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</si>
  <si>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</si>
  <si>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</si>
  <si>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</si>
  <si>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</si>
  <si>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</si>
  <si>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</si>
  <si>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</si>
  <si>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</si>
  <si>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</si>
  <si>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</si>
  <si>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</si>
  <si>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</si>
  <si>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</si>
  <si>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</si>
  <si>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</si>
  <si>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</si>
  <si>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</si>
  <si>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</si>
  <si>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</si>
  <si>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</si>
  <si>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</si>
  <si>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</si>
  <si>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</si>
  <si>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</si>
  <si>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</si>
  <si>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</si>
  <si>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</si>
  <si>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</si>
  <si>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</si>
  <si>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</si>
  <si>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</si>
  <si>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</si>
  <si>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</si>
  <si>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</si>
  <si>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</si>
  <si>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</si>
  <si>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</si>
  <si>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</si>
  <si>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</si>
  <si>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</si>
  <si>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</si>
  <si>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</si>
  <si>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</si>
  <si>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</si>
  <si>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</si>
  <si>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</si>
  <si>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</si>
  <si>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</si>
  <si>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</si>
  <si>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</si>
  <si>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</si>
  <si>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</si>
  <si>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</si>
  <si>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</si>
  <si>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</si>
  <si>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</si>
  <si>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</si>
  <si>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</si>
  <si>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</si>
  <si>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</si>
  <si>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</si>
  <si>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</si>
  <si>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</si>
  <si>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</si>
  <si>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</si>
  <si>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</si>
  <si>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</si>
  <si>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</si>
  <si>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</si>
  <si>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</si>
  <si>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</si>
  <si>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</si>
  <si>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</si>
  <si>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</si>
  <si>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</si>
  <si>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</si>
  <si>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</si>
  <si>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</si>
  <si>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</si>
  <si>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</si>
  <si>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</si>
  <si>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</si>
  <si>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</si>
  <si>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</si>
  <si>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</si>
  <si>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</si>
  <si>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</si>
  <si>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</si>
  <si>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</si>
  <si>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</si>
  <si>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</si>
  <si>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</si>
  <si>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</si>
  <si>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</si>
  <si>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</si>
  <si>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</si>
  <si>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</si>
  <si>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</si>
  <si>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</si>
  <si>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</si>
  <si>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</si>
  <si>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</si>
  <si>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</si>
  <si>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</si>
  <si>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</si>
  <si>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</si>
  <si>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</si>
  <si>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</si>
  <si>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</si>
  <si>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</si>
  <si>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</si>
  <si>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</si>
  <si>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</si>
  <si>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</si>
  <si>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</si>
  <si>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</si>
  <si>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</si>
  <si>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</si>
  <si>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</si>
  <si>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</si>
  <si>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</si>
  <si>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</si>
  <si>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</si>
  <si>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</si>
  <si>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</si>
  <si>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</si>
  <si>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</si>
  <si>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</si>
  <si>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</si>
  <si>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</si>
  <si>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</si>
  <si>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</si>
  <si>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</si>
  <si>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</si>
  <si>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</si>
  <si>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</si>
  <si>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</si>
  <si>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</si>
  <si>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</si>
  <si>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</si>
  <si>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</si>
  <si>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</si>
  <si>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</si>
  <si>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</si>
  <si>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</si>
  <si>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</si>
  <si>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</si>
  <si>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</si>
  <si>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</si>
  <si>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</si>
  <si>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</si>
  <si>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</si>
  <si>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</si>
  <si>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</si>
  <si>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</si>
  <si>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</si>
  <si>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</si>
  <si>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</si>
  <si>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</si>
  <si>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</si>
  <si>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</si>
  <si>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</si>
  <si>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</si>
  <si>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</si>
  <si>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</si>
  <si>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</si>
  <si>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</si>
  <si>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</si>
  <si>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</si>
  <si>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</si>
  <si>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</si>
  <si>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</si>
  <si>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</si>
  <si>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</si>
  <si>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</si>
  <si>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</si>
  <si>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</si>
  <si>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</si>
  <si>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</si>
  <si>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</si>
  <si>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</si>
  <si>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</si>
  <si>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</si>
  <si>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</si>
  <si>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</si>
  <si>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</si>
  <si>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</si>
  <si>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</si>
  <si>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</si>
  <si>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</si>
  <si>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</si>
  <si>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</si>
  <si>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</si>
  <si>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</si>
  <si>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</si>
  <si>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</si>
  <si>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</si>
  <si>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</si>
  <si>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</si>
  <si>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</si>
  <si>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</si>
  <si>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</si>
  <si>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</si>
  <si>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</si>
  <si>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</si>
  <si>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</si>
  <si>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</si>
  <si>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</si>
  <si>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</si>
  <si>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</si>
  <si>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</si>
  <si>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</si>
  <si>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</si>
  <si>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</si>
  <si>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</si>
  <si>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</si>
  <si>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</si>
  <si>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</si>
  <si>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</si>
  <si>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</si>
  <si>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</si>
  <si>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</si>
  <si>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</si>
  <si>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</si>
  <si>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</si>
  <si>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</si>
  <si>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</si>
  <si>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</si>
  <si>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</si>
  <si>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</si>
  <si>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</si>
  <si>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</si>
  <si>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</si>
  <si>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</si>
  <si>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</si>
  <si>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</si>
  <si>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</si>
  <si>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</si>
  <si>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</si>
  <si>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</si>
  <si>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</si>
  <si>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</si>
  <si>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</si>
  <si>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</si>
  <si>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</si>
  <si>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</si>
  <si>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</si>
  <si>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</si>
  <si>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</si>
  <si>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</si>
  <si>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</si>
  <si>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</si>
  <si>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</si>
  <si>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</si>
  <si>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</si>
  <si>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</si>
  <si>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</si>
  <si>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</si>
  <si>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</si>
  <si>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</si>
  <si>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</si>
  <si>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</si>
  <si>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</si>
  <si>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</si>
  <si>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</si>
  <si>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</si>
  <si>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</si>
  <si>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</si>
  <si>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</si>
  <si>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</si>
  <si>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</si>
  <si>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</si>
  <si>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</si>
  <si>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</si>
  <si>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</si>
  <si>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</si>
  <si>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</si>
  <si>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</si>
  <si>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</si>
  <si>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</si>
  <si>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</si>
  <si>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</si>
  <si>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</si>
  <si>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</si>
  <si>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</si>
  <si>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</si>
  <si>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</si>
  <si>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</si>
  <si>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</si>
  <si>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</si>
  <si>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</si>
  <si>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</si>
  <si>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</si>
  <si>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</si>
  <si>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</si>
  <si>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</si>
  <si>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</si>
  <si>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</si>
  <si>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</si>
  <si>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</si>
  <si>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</si>
  <si>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</si>
  <si>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</si>
  <si>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</si>
  <si>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</si>
  <si>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</si>
  <si>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</si>
  <si>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</si>
  <si>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</si>
  <si>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</si>
  <si>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</si>
  <si>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</si>
  <si>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</si>
  <si>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</si>
  <si>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</si>
  <si>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</si>
  <si>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</si>
  <si>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</si>
  <si>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</si>
  <si>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</si>
  <si>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</si>
  <si>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</si>
  <si>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</si>
  <si>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</si>
  <si>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</si>
  <si>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</si>
  <si>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</si>
  <si>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</si>
  <si>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</si>
  <si>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</si>
  <si>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</si>
  <si>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</si>
  <si>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</si>
  <si>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</si>
  <si>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</si>
  <si>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</si>
  <si>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</si>
  <si>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</si>
  <si>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</si>
  <si>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</si>
  <si>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</si>
  <si>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</si>
  <si>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</si>
  <si>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</si>
  <si>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</si>
  <si>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</si>
  <si>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</si>
  <si>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</si>
  <si>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</si>
  <si>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</si>
  <si>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</si>
  <si>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</si>
  <si>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</si>
  <si>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</si>
  <si>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</si>
  <si>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</si>
  <si>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</si>
  <si>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</si>
  <si>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</si>
  <si>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</si>
  <si>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</si>
  <si>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</si>
  <si>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</si>
  <si>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</si>
  <si>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</si>
  <si>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</si>
  <si>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</si>
  <si>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</si>
  <si>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</si>
  <si>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</si>
  <si>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</si>
  <si>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</si>
  <si>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</si>
  <si>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</si>
  <si>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</si>
  <si>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</si>
  <si>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</si>
  <si>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</si>
  <si>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</si>
  <si>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</si>
  <si>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</si>
  <si>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</si>
  <si>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</si>
  <si>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</si>
  <si>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</si>
  <si>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</si>
  <si>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</si>
  <si>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</si>
  <si>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</si>
  <si>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</si>
  <si>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</si>
  <si>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</si>
  <si>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</si>
  <si>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</si>
  <si>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</si>
  <si>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</si>
  <si>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</si>
  <si>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</si>
  <si>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</si>
  <si>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</si>
  <si>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</si>
  <si>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</si>
  <si>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</si>
  <si>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</si>
  <si>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</si>
  <si>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</si>
  <si>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20.012.2023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</si>
</sst>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_);_(* \(#,##0\);_(* &quot;-&quot;_);_(@_)"/>
    <numFmt numFmtId="174" formatCode="#,##0.00_ ;\-#,##0.00\ "/>
    <numFmt numFmtId="175" formatCode="_-* #,##0\ _₽_-;\-* #,##0\ _₽_-;_-* &quot;-&quot;??\ _₽_-;_-@_-"/>
    <numFmt numFmtId="176" formatCode="_-* #,##0.0000\ _₽_-;\-* #,##0.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64" fillId="0" borderId="0" applyNumberForma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1"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5"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0"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top" wrapText="1"/>
    </xf>
    <xf numFmtId="14" fontId="11" fillId="0" borderId="46" xfId="2" applyNumberFormat="1" applyFont="1" applyFill="1" applyBorder="1" applyAlignment="1">
      <alignment horizontal="center" vertical="center" wrapText="1"/>
    </xf>
    <xf numFmtId="14" fontId="11" fillId="0" borderId="46" xfId="2" applyNumberFormat="1" applyFont="1" applyFill="1" applyBorder="1" applyAlignment="1">
      <alignment horizontal="center" vertical="center"/>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Fill="1" applyBorder="1" applyAlignment="1">
      <alignment wrapText="1"/>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4"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4"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74"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64" fillId="0" borderId="29" xfId="71" applyFill="1" applyBorder="1" applyAlignment="1">
      <alignment horizontal="justify"/>
    </xf>
    <xf numFmtId="0" fontId="29" fillId="0" borderId="0" xfId="0" applyNumberFormat="1" applyFont="1" applyFill="1" applyBorder="1" applyAlignment="1" applyProtection="1"/>
    <xf numFmtId="0" fontId="65"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6" fillId="0" borderId="0" xfId="0" applyNumberFormat="1" applyFont="1" applyFill="1" applyBorder="1" applyAlignment="1" applyProtection="1"/>
    <xf numFmtId="0" fontId="67"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69" fillId="0" borderId="0" xfId="0" applyNumberFormat="1" applyFont="1" applyFill="1" applyBorder="1" applyAlignment="1" applyProtection="1">
      <alignment horizontal="left" vertical="center"/>
    </xf>
    <xf numFmtId="0" fontId="70" fillId="0" borderId="0" xfId="0" applyNumberFormat="1" applyFont="1" applyFill="1" applyBorder="1" applyAlignment="1" applyProtection="1">
      <alignment horizontal="left" vertical="center"/>
    </xf>
    <xf numFmtId="0" fontId="71"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xf numFmtId="0" fontId="74"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xf>
    <xf numFmtId="0" fontId="75" fillId="0" borderId="36" xfId="0" applyNumberFormat="1" applyFont="1" applyFill="1" applyBorder="1" applyAlignment="1" applyProtection="1">
      <alignment vertical="center"/>
    </xf>
    <xf numFmtId="3" fontId="76" fillId="0" borderId="37" xfId="67" applyNumberFormat="1" applyFont="1" applyFill="1" applyBorder="1" applyAlignment="1">
      <alignment vertical="center"/>
    </xf>
    <xf numFmtId="0" fontId="75" fillId="0" borderId="38" xfId="0" applyNumberFormat="1" applyFont="1" applyFill="1" applyBorder="1" applyAlignment="1" applyProtection="1">
      <alignment vertical="center"/>
    </xf>
    <xf numFmtId="3" fontId="75" fillId="0" borderId="54" xfId="0" applyNumberFormat="1" applyFont="1" applyFill="1" applyBorder="1" applyAlignment="1" applyProtection="1">
      <alignment vertical="center"/>
    </xf>
    <xf numFmtId="0" fontId="75" fillId="0" borderId="39" xfId="0" applyNumberFormat="1" applyFont="1" applyFill="1" applyBorder="1" applyAlignment="1" applyProtection="1">
      <alignment vertical="center"/>
    </xf>
    <xf numFmtId="3" fontId="75" fillId="0" borderId="40" xfId="0" applyNumberFormat="1" applyFont="1" applyFill="1" applyBorder="1" applyAlignment="1" applyProtection="1">
      <alignment vertical="center"/>
    </xf>
    <xf numFmtId="4" fontId="45" fillId="0" borderId="53" xfId="0" applyNumberFormat="1" applyFont="1" applyFill="1" applyBorder="1" applyAlignment="1" applyProtection="1">
      <alignment horizontal="center" vertical="center"/>
    </xf>
    <xf numFmtId="4" fontId="77" fillId="0" borderId="5" xfId="0" applyNumberFormat="1" applyFont="1" applyFill="1" applyBorder="1" applyAlignment="1" applyProtection="1">
      <alignment horizontal="center" vertical="center"/>
    </xf>
    <xf numFmtId="3" fontId="45" fillId="0" borderId="53" xfId="0" applyNumberFormat="1" applyFont="1" applyFill="1" applyBorder="1" applyAlignment="1" applyProtection="1">
      <alignment horizontal="center" vertical="center"/>
    </xf>
    <xf numFmtId="3" fontId="77" fillId="0" borderId="5" xfId="0" applyNumberFormat="1" applyFont="1" applyFill="1" applyBorder="1" applyAlignment="1" applyProtection="1">
      <alignment horizontal="center" vertical="center"/>
    </xf>
    <xf numFmtId="0" fontId="75" fillId="0" borderId="53" xfId="0" applyNumberFormat="1" applyFont="1" applyFill="1" applyBorder="1" applyAlignment="1" applyProtection="1">
      <alignment horizontal="center" vertical="center"/>
    </xf>
    <xf numFmtId="0" fontId="77" fillId="0" borderId="5" xfId="0" applyNumberFormat="1" applyFont="1" applyFill="1" applyBorder="1" applyAlignment="1" applyProtection="1">
      <alignment horizontal="center" vertical="center"/>
    </xf>
    <xf numFmtId="0" fontId="75" fillId="0" borderId="58" xfId="0" applyNumberFormat="1" applyFont="1" applyFill="1" applyBorder="1" applyAlignment="1" applyProtection="1">
      <alignment vertical="center"/>
    </xf>
    <xf numFmtId="10" fontId="75" fillId="0" borderId="40" xfId="0" applyNumberFormat="1" applyFont="1" applyFill="1" applyBorder="1" applyAlignment="1" applyProtection="1">
      <alignment vertical="center"/>
    </xf>
    <xf numFmtId="3" fontId="75" fillId="0" borderId="37" xfId="0" applyNumberFormat="1" applyFont="1" applyFill="1" applyBorder="1" applyAlignment="1" applyProtection="1">
      <alignment vertical="center"/>
    </xf>
    <xf numFmtId="9" fontId="75" fillId="0" borderId="59" xfId="0" applyNumberFormat="1" applyFont="1" applyFill="1" applyBorder="1" applyAlignment="1" applyProtection="1">
      <alignment vertical="center"/>
    </xf>
    <xf numFmtId="0" fontId="75" fillId="0" borderId="28" xfId="0" applyNumberFormat="1" applyFont="1" applyFill="1" applyBorder="1" applyAlignment="1" applyProtection="1">
      <alignment vertical="center"/>
    </xf>
    <xf numFmtId="3" fontId="75" fillId="0" borderId="36" xfId="0" applyNumberFormat="1" applyFont="1" applyFill="1" applyBorder="1" applyAlignment="1" applyProtection="1">
      <alignment vertical="center"/>
    </xf>
    <xf numFmtId="0" fontId="75" fillId="0" borderId="60" xfId="0" applyNumberFormat="1" applyFont="1" applyFill="1" applyBorder="1" applyAlignment="1" applyProtection="1">
      <alignment vertical="center"/>
    </xf>
    <xf numFmtId="10" fontId="75" fillId="0" borderId="41" xfId="0" applyNumberFormat="1" applyFont="1" applyFill="1" applyBorder="1" applyAlignment="1" applyProtection="1">
      <alignment vertical="center"/>
    </xf>
    <xf numFmtId="10" fontId="75" fillId="0" borderId="61" xfId="0" applyNumberFormat="1" applyFont="1" applyFill="1" applyBorder="1" applyAlignment="1" applyProtection="1">
      <alignment vertical="center"/>
    </xf>
    <xf numFmtId="10" fontId="75" fillId="0" borderId="61" xfId="67" applyNumberFormat="1" applyFont="1" applyFill="1" applyBorder="1" applyAlignment="1">
      <alignment vertical="center"/>
    </xf>
    <xf numFmtId="10" fontId="45" fillId="0" borderId="61" xfId="0" applyNumberFormat="1" applyFont="1" applyFill="1" applyBorder="1" applyAlignment="1" applyProtection="1">
      <alignment vertical="center"/>
    </xf>
    <xf numFmtId="0" fontId="75" fillId="0" borderId="62"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75" fillId="0" borderId="27" xfId="0" applyNumberFormat="1" applyFont="1" applyFill="1" applyBorder="1" applyAlignment="1" applyProtection="1">
      <alignment horizontal="left" vertical="center"/>
    </xf>
    <xf numFmtId="1" fontId="75" fillId="0" borderId="26" xfId="0" applyNumberFormat="1" applyFont="1" applyFill="1" applyBorder="1" applyAlignment="1" applyProtection="1">
      <alignment horizontal="center" vertical="center"/>
    </xf>
    <xf numFmtId="1" fontId="75" fillId="0" borderId="6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vertical="center"/>
    </xf>
    <xf numFmtId="10" fontId="75" fillId="0" borderId="53" xfId="67" applyNumberFormat="1" applyFont="1" applyFill="1" applyBorder="1" applyAlignment="1">
      <alignment vertical="center"/>
    </xf>
    <xf numFmtId="10" fontId="75" fillId="0" borderId="53" xfId="0" applyNumberFormat="1" applyFont="1" applyFill="1" applyBorder="1" applyAlignment="1" applyProtection="1">
      <alignment vertical="center"/>
    </xf>
    <xf numFmtId="0" fontId="75" fillId="0" borderId="25" xfId="0" applyNumberFormat="1" applyFont="1" applyFill="1" applyBorder="1" applyAlignment="1" applyProtection="1">
      <alignment vertical="center"/>
    </xf>
    <xf numFmtId="3" fontId="75" fillId="0" borderId="24" xfId="67" applyNumberFormat="1" applyFont="1" applyFill="1" applyBorder="1" applyAlignment="1">
      <alignment vertical="center"/>
    </xf>
    <xf numFmtId="0" fontId="75" fillId="0" borderId="65" xfId="0" applyNumberFormat="1" applyFont="1" applyFill="1" applyBorder="1" applyAlignment="1" applyProtection="1">
      <alignment vertical="center"/>
    </xf>
    <xf numFmtId="0" fontId="75" fillId="0" borderId="66" xfId="0" applyNumberFormat="1" applyFont="1" applyFill="1" applyBorder="1" applyAlignment="1" applyProtection="1">
      <alignment vertical="center"/>
    </xf>
    <xf numFmtId="0" fontId="72" fillId="0" borderId="27" xfId="0" applyNumberFormat="1" applyFont="1" applyFill="1" applyBorder="1" applyAlignment="1" applyProtection="1">
      <alignment vertical="center"/>
    </xf>
    <xf numFmtId="3" fontId="75" fillId="0" borderId="53" xfId="0" applyNumberFormat="1" applyFont="1" applyFill="1" applyBorder="1" applyAlignment="1" applyProtection="1">
      <alignment vertical="center"/>
    </xf>
    <xf numFmtId="3" fontId="75" fillId="0" borderId="67" xfId="0" applyNumberFormat="1" applyFont="1" applyFill="1" applyBorder="1" applyAlignment="1" applyProtection="1">
      <alignment vertical="center"/>
    </xf>
    <xf numFmtId="3" fontId="75" fillId="0" borderId="24" xfId="0" applyNumberFormat="1" applyFont="1" applyFill="1" applyBorder="1" applyAlignment="1" applyProtection="1">
      <alignment vertical="center"/>
    </xf>
    <xf numFmtId="3" fontId="75" fillId="0" borderId="68" xfId="0" applyNumberFormat="1" applyFont="1" applyFill="1" applyBorder="1" applyAlignment="1" applyProtection="1">
      <alignment vertical="center"/>
    </xf>
    <xf numFmtId="3" fontId="78" fillId="0" borderId="0" xfId="0" applyNumberFormat="1" applyFont="1" applyFill="1" applyBorder="1" applyAlignment="1" applyProtection="1">
      <alignment horizontal="center" vertical="center"/>
    </xf>
    <xf numFmtId="3" fontId="78" fillId="0" borderId="66"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horizontal="left" vertical="center"/>
    </xf>
    <xf numFmtId="3" fontId="75" fillId="0" borderId="53" xfId="0" applyNumberFormat="1" applyFont="1" applyFill="1" applyBorder="1" applyAlignment="1" applyProtection="1">
      <alignment horizontal="right" vertical="center"/>
    </xf>
    <xf numFmtId="166" fontId="75" fillId="0" borderId="53" xfId="0" applyNumberFormat="1" applyFont="1" applyFill="1" applyBorder="1" applyAlignment="1" applyProtection="1">
      <alignment vertical="center"/>
    </xf>
    <xf numFmtId="0" fontId="72" fillId="0" borderId="64" xfId="0" applyNumberFormat="1" applyFont="1" applyFill="1" applyBorder="1" applyAlignment="1" applyProtection="1">
      <alignment horizontal="left" vertical="center"/>
    </xf>
    <xf numFmtId="175" fontId="71" fillId="0" borderId="53"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xf>
    <xf numFmtId="175" fontId="75" fillId="0" borderId="53" xfId="0" applyNumberFormat="1" applyFont="1" applyFill="1" applyBorder="1" applyAlignment="1" applyProtection="1">
      <alignment vertical="center"/>
    </xf>
    <xf numFmtId="0" fontId="72" fillId="0" borderId="25" xfId="0" applyNumberFormat="1" applyFont="1" applyFill="1" applyBorder="1" applyAlignment="1" applyProtection="1">
      <alignment horizontal="left" vertical="center"/>
    </xf>
    <xf numFmtId="175" fontId="71" fillId="0" borderId="24" xfId="0" applyNumberFormat="1" applyFont="1" applyFill="1" applyBorder="1" applyAlignment="1" applyProtection="1">
      <alignment horizontal="center" vertical="center"/>
    </xf>
    <xf numFmtId="169" fontId="78" fillId="0" borderId="0" xfId="0" applyNumberFormat="1" applyFont="1" applyFill="1" applyBorder="1" applyAlignment="1" applyProtection="1">
      <alignment horizontal="center" vertical="center"/>
    </xf>
    <xf numFmtId="0" fontId="72" fillId="0" borderId="64" xfId="0" applyNumberFormat="1" applyFont="1" applyFill="1" applyBorder="1" applyAlignment="1" applyProtection="1">
      <alignment vertical="center"/>
    </xf>
    <xf numFmtId="3" fontId="45" fillId="0" borderId="53" xfId="67" applyNumberFormat="1" applyFont="1" applyFill="1" applyBorder="1" applyAlignment="1">
      <alignment vertical="center"/>
    </xf>
    <xf numFmtId="0" fontId="75" fillId="0" borderId="64" xfId="0" applyNumberFormat="1" applyFont="1" applyFill="1" applyBorder="1" applyAlignment="1" applyProtection="1">
      <alignment horizontal="left" vertical="center" wrapText="1"/>
    </xf>
    <xf numFmtId="176" fontId="45" fillId="0" borderId="53" xfId="0" applyNumberFormat="1" applyFont="1" applyFill="1" applyBorder="1" applyAlignment="1" applyProtection="1">
      <alignment horizontal="center"/>
    </xf>
    <xf numFmtId="172" fontId="71" fillId="0" borderId="53" xfId="0" applyNumberFormat="1" applyFont="1" applyFill="1" applyBorder="1" applyAlignment="1" applyProtection="1">
      <alignment horizontal="center" vertical="center"/>
    </xf>
    <xf numFmtId="164" fontId="71" fillId="0" borderId="53" xfId="0" applyNumberFormat="1" applyFont="1" applyFill="1" applyBorder="1" applyAlignment="1" applyProtection="1">
      <alignment horizontal="center" vertical="center"/>
    </xf>
    <xf numFmtId="0" fontId="72" fillId="0" borderId="25" xfId="0" applyNumberFormat="1" applyFont="1" applyFill="1" applyBorder="1" applyAlignment="1" applyProtection="1">
      <alignment vertical="center"/>
    </xf>
    <xf numFmtId="164" fontId="71" fillId="0" borderId="24" xfId="0" applyNumberFormat="1" applyFont="1" applyFill="1" applyBorder="1" applyAlignment="1" applyProtection="1">
      <alignment horizontal="center" vertical="center"/>
    </xf>
    <xf numFmtId="0" fontId="75" fillId="0" borderId="69" xfId="0" applyNumberFormat="1" applyFont="1" applyFill="1" applyBorder="1" applyAlignment="1" applyProtection="1">
      <alignment vertical="center"/>
    </xf>
    <xf numFmtId="173" fontId="75" fillId="0" borderId="0" xfId="0" applyNumberFormat="1" applyFont="1" applyFill="1" applyBorder="1" applyAlignment="1" applyProtection="1">
      <alignment vertical="center"/>
    </xf>
    <xf numFmtId="0" fontId="75" fillId="26"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6" fontId="75" fillId="0" borderId="70" xfId="0" applyNumberFormat="1" applyFont="1" applyBorder="1" applyAlignment="1">
      <alignment vertical="center"/>
    </xf>
    <xf numFmtId="175" fontId="75" fillId="0" borderId="70"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5"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5"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3"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5" fillId="0" borderId="55" xfId="0" applyNumberFormat="1" applyFont="1" applyFill="1" applyBorder="1" applyAlignment="1" applyProtection="1">
      <alignment horizontal="center" vertical="center"/>
    </xf>
    <xf numFmtId="0" fontId="75" fillId="0" borderId="56" xfId="0" applyNumberFormat="1" applyFont="1" applyFill="1" applyBorder="1" applyAlignment="1" applyProtection="1">
      <alignment horizontal="center" vertical="center"/>
    </xf>
    <xf numFmtId="0" fontId="75" fillId="0" borderId="57"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wrapText="1"/>
    </xf>
    <xf numFmtId="0" fontId="73" fillId="0" borderId="0" xfId="0" applyNumberFormat="1" applyFont="1" applyFill="1" applyBorder="1" applyAlignment="1" applyProtection="1">
      <alignment horizontal="center" vertical="center" wrapText="1"/>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7" xfId="2"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5"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2" xfId="1"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5/J%2019-15_&#1087;&#1072;&#1089;&#1087;&#1086;&#1088;&#1090;_&#1082;&#1072;&#1088;&#1090;&#1072;/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C20" sqref="C20"/>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78" t="s">
        <v>608</v>
      </c>
      <c r="B5" s="378"/>
      <c r="C5" s="378"/>
      <c r="D5" s="149"/>
      <c r="E5" s="149"/>
      <c r="F5" s="149"/>
      <c r="G5" s="149"/>
      <c r="H5" s="149"/>
      <c r="I5" s="149"/>
      <c r="J5" s="149"/>
    </row>
    <row r="6" spans="1:22" s="15" customFormat="1" ht="18.75" x14ac:dyDescent="0.3">
      <c r="A6" s="188"/>
      <c r="H6" s="187"/>
    </row>
    <row r="7" spans="1:22" s="15" customFormat="1" ht="18.75" x14ac:dyDescent="0.2">
      <c r="A7" s="382" t="s">
        <v>6</v>
      </c>
      <c r="B7" s="382"/>
      <c r="C7" s="382"/>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83" t="s">
        <v>570</v>
      </c>
      <c r="B9" s="383"/>
      <c r="C9" s="383"/>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79" t="s">
        <v>5</v>
      </c>
      <c r="B10" s="379"/>
      <c r="C10" s="379"/>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84" t="s">
        <v>587</v>
      </c>
      <c r="B12" s="384"/>
      <c r="C12" s="384"/>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85" t="s">
        <v>4</v>
      </c>
      <c r="B13" s="385"/>
      <c r="C13" s="385"/>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86" t="s">
        <v>582</v>
      </c>
      <c r="B15" s="387"/>
      <c r="C15" s="387"/>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79" t="s">
        <v>3</v>
      </c>
      <c r="B16" s="379"/>
      <c r="C16" s="379"/>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80" t="s">
        <v>438</v>
      </c>
      <c r="B18" s="381"/>
      <c r="C18" s="381"/>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39"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75"/>
      <c r="B24" s="376"/>
      <c r="C24" s="377"/>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75"/>
      <c r="B39" s="376"/>
      <c r="C39" s="377"/>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35"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75"/>
      <c r="B47" s="376"/>
      <c r="C47" s="377"/>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3.8902892696705909</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3.2419077247254924</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60"/>
      <c r="B5" s="60"/>
      <c r="C5" s="60"/>
      <c r="D5" s="60"/>
      <c r="E5" s="60"/>
      <c r="F5" s="60"/>
      <c r="L5" s="60"/>
      <c r="M5" s="60"/>
      <c r="AC5" s="14"/>
    </row>
    <row r="6" spans="1:29"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88" t="str">
        <f>'1. паспорт местоположение'!A15</f>
        <v>Строительство КЛ 15 кВ от  РП-1 до ТП-1 пер. Комсомольский, г. Пионерский</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61" t="s">
        <v>183</v>
      </c>
      <c r="B20" s="461" t="s">
        <v>182</v>
      </c>
      <c r="C20" s="459" t="s">
        <v>181</v>
      </c>
      <c r="D20" s="459"/>
      <c r="E20" s="464" t="s">
        <v>180</v>
      </c>
      <c r="F20" s="464"/>
      <c r="G20" s="470" t="s">
        <v>561</v>
      </c>
      <c r="H20" s="456" t="s">
        <v>551</v>
      </c>
      <c r="I20" s="457"/>
      <c r="J20" s="457"/>
      <c r="K20" s="457"/>
      <c r="L20" s="456" t="s">
        <v>552</v>
      </c>
      <c r="M20" s="457"/>
      <c r="N20" s="457"/>
      <c r="O20" s="457"/>
      <c r="P20" s="456" t="s">
        <v>553</v>
      </c>
      <c r="Q20" s="457"/>
      <c r="R20" s="457"/>
      <c r="S20" s="457"/>
      <c r="T20" s="456" t="s">
        <v>554</v>
      </c>
      <c r="U20" s="457"/>
      <c r="V20" s="457"/>
      <c r="W20" s="457"/>
      <c r="X20" s="456" t="s">
        <v>555</v>
      </c>
      <c r="Y20" s="457"/>
      <c r="Z20" s="457"/>
      <c r="AA20" s="457"/>
      <c r="AB20" s="466" t="s">
        <v>179</v>
      </c>
      <c r="AC20" s="467"/>
      <c r="AD20" s="79"/>
      <c r="AE20" s="79"/>
      <c r="AF20" s="79"/>
    </row>
    <row r="21" spans="1:32" ht="99.75" customHeight="1" x14ac:dyDescent="0.25">
      <c r="A21" s="462"/>
      <c r="B21" s="462"/>
      <c r="C21" s="459"/>
      <c r="D21" s="459"/>
      <c r="E21" s="464"/>
      <c r="F21" s="464"/>
      <c r="G21" s="471"/>
      <c r="H21" s="458" t="s">
        <v>1</v>
      </c>
      <c r="I21" s="458"/>
      <c r="J21" s="458" t="s">
        <v>550</v>
      </c>
      <c r="K21" s="458"/>
      <c r="L21" s="458" t="s">
        <v>1</v>
      </c>
      <c r="M21" s="458"/>
      <c r="N21" s="458" t="s">
        <v>550</v>
      </c>
      <c r="O21" s="458"/>
      <c r="P21" s="458" t="s">
        <v>1</v>
      </c>
      <c r="Q21" s="458"/>
      <c r="R21" s="458" t="s">
        <v>178</v>
      </c>
      <c r="S21" s="458"/>
      <c r="T21" s="458" t="s">
        <v>1</v>
      </c>
      <c r="U21" s="458"/>
      <c r="V21" s="458" t="s">
        <v>178</v>
      </c>
      <c r="W21" s="458"/>
      <c r="X21" s="458" t="s">
        <v>1</v>
      </c>
      <c r="Y21" s="458"/>
      <c r="Z21" s="458" t="s">
        <v>178</v>
      </c>
      <c r="AA21" s="458"/>
      <c r="AB21" s="468"/>
      <c r="AC21" s="469"/>
    </row>
    <row r="22" spans="1:32" ht="89.25" customHeight="1" x14ac:dyDescent="0.25">
      <c r="A22" s="463"/>
      <c r="B22" s="463"/>
      <c r="C22" s="217" t="s">
        <v>1</v>
      </c>
      <c r="D22" s="217" t="s">
        <v>178</v>
      </c>
      <c r="E22" s="225" t="s">
        <v>557</v>
      </c>
      <c r="F22" s="78" t="s">
        <v>562</v>
      </c>
      <c r="G22" s="472"/>
      <c r="H22" s="226" t="s">
        <v>404</v>
      </c>
      <c r="I22" s="226" t="s">
        <v>405</v>
      </c>
      <c r="J22" s="226" t="s">
        <v>404</v>
      </c>
      <c r="K22" s="226" t="s">
        <v>405</v>
      </c>
      <c r="L22" s="226" t="s">
        <v>404</v>
      </c>
      <c r="M22" s="226" t="s">
        <v>405</v>
      </c>
      <c r="N22" s="226" t="s">
        <v>404</v>
      </c>
      <c r="O22" s="226" t="s">
        <v>405</v>
      </c>
      <c r="P22" s="226" t="s">
        <v>404</v>
      </c>
      <c r="Q22" s="226" t="s">
        <v>405</v>
      </c>
      <c r="R22" s="226" t="s">
        <v>404</v>
      </c>
      <c r="S22" s="226" t="s">
        <v>405</v>
      </c>
      <c r="T22" s="226" t="s">
        <v>404</v>
      </c>
      <c r="U22" s="226" t="s">
        <v>405</v>
      </c>
      <c r="V22" s="226" t="s">
        <v>404</v>
      </c>
      <c r="W22" s="226" t="s">
        <v>405</v>
      </c>
      <c r="X22" s="226" t="s">
        <v>404</v>
      </c>
      <c r="Y22" s="226" t="s">
        <v>405</v>
      </c>
      <c r="Z22" s="226" t="s">
        <v>404</v>
      </c>
      <c r="AA22" s="226" t="s">
        <v>405</v>
      </c>
      <c r="AB22" s="217" t="s">
        <v>1</v>
      </c>
      <c r="AC22" s="217" t="s">
        <v>8</v>
      </c>
    </row>
    <row r="23" spans="1:32" ht="19.5" customHeight="1" x14ac:dyDescent="0.25">
      <c r="A23" s="71">
        <v>1</v>
      </c>
      <c r="B23" s="71">
        <v>2</v>
      </c>
      <c r="C23" s="227">
        <f t="shared" ref="C23:AC23" si="0">B23+1</f>
        <v>3</v>
      </c>
      <c r="D23" s="227">
        <f t="shared" si="0"/>
        <v>4</v>
      </c>
      <c r="E23" s="227">
        <f t="shared" si="0"/>
        <v>5</v>
      </c>
      <c r="F23" s="227">
        <f t="shared" si="0"/>
        <v>6</v>
      </c>
      <c r="G23" s="227">
        <f t="shared" si="0"/>
        <v>7</v>
      </c>
      <c r="H23" s="227">
        <f t="shared" si="0"/>
        <v>8</v>
      </c>
      <c r="I23" s="227">
        <f t="shared" si="0"/>
        <v>9</v>
      </c>
      <c r="J23" s="227">
        <f t="shared" si="0"/>
        <v>10</v>
      </c>
      <c r="K23" s="227">
        <f t="shared" si="0"/>
        <v>11</v>
      </c>
      <c r="L23" s="227">
        <f t="shared" si="0"/>
        <v>12</v>
      </c>
      <c r="M23" s="227">
        <f t="shared" si="0"/>
        <v>13</v>
      </c>
      <c r="N23" s="227">
        <f t="shared" si="0"/>
        <v>14</v>
      </c>
      <c r="O23" s="227">
        <f t="shared" si="0"/>
        <v>15</v>
      </c>
      <c r="P23" s="227">
        <f t="shared" si="0"/>
        <v>16</v>
      </c>
      <c r="Q23" s="227">
        <f t="shared" si="0"/>
        <v>17</v>
      </c>
      <c r="R23" s="227">
        <f t="shared" si="0"/>
        <v>18</v>
      </c>
      <c r="S23" s="227">
        <f t="shared" si="0"/>
        <v>19</v>
      </c>
      <c r="T23" s="227">
        <f t="shared" si="0"/>
        <v>20</v>
      </c>
      <c r="U23" s="227">
        <f t="shared" si="0"/>
        <v>21</v>
      </c>
      <c r="V23" s="227">
        <f t="shared" si="0"/>
        <v>22</v>
      </c>
      <c r="W23" s="227">
        <f t="shared" si="0"/>
        <v>23</v>
      </c>
      <c r="X23" s="227">
        <f t="shared" si="0"/>
        <v>24</v>
      </c>
      <c r="Y23" s="227">
        <f t="shared" si="0"/>
        <v>25</v>
      </c>
      <c r="Z23" s="227">
        <f t="shared" si="0"/>
        <v>26</v>
      </c>
      <c r="AA23" s="227">
        <f t="shared" si="0"/>
        <v>27</v>
      </c>
      <c r="AB23" s="227">
        <f>AA23+1</f>
        <v>28</v>
      </c>
      <c r="AC23" s="227">
        <f t="shared" si="0"/>
        <v>29</v>
      </c>
    </row>
    <row r="24" spans="1:32" ht="47.25" customHeight="1" x14ac:dyDescent="0.25">
      <c r="A24" s="76">
        <v>1</v>
      </c>
      <c r="B24" s="75" t="s">
        <v>177</v>
      </c>
      <c r="C24" s="174">
        <f t="shared" ref="C24:C29" si="1">AB24</f>
        <v>1.5714928417674427</v>
      </c>
      <c r="D24" s="174">
        <v>0</v>
      </c>
      <c r="E24" s="223">
        <f t="shared" ref="E24:F24" si="2">SUM(E25:E29)</f>
        <v>1.5714928417674427</v>
      </c>
      <c r="F24" s="223">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4">
        <f>G25+H25+L25+P25+T25+X25</f>
        <v>0</v>
      </c>
      <c r="F25" s="223">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4">
        <f>G26+H26+L26+P26+T26+X26</f>
        <v>0</v>
      </c>
      <c r="F26" s="223">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4">
        <f>G27+H27+L27+P27+T27+X27</f>
        <v>1.5714928417674427</v>
      </c>
      <c r="F27" s="223">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4">
        <f>G28+AB28</f>
        <v>0</v>
      </c>
      <c r="F28" s="223">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4">
        <v>0</v>
      </c>
      <c r="F29" s="223">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3">
        <v>1.3317735947181697</v>
      </c>
      <c r="F30" s="223">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3">
        <v>2.3572392626511604E-2</v>
      </c>
      <c r="F31" s="223">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3">
        <v>1.2583928696491984</v>
      </c>
      <c r="F32" s="223">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3">
        <v>3.1962566273236069E-3</v>
      </c>
      <c r="F33" s="223">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3">
        <v>4.6612075815135941E-2</v>
      </c>
      <c r="F34" s="223">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3">
        <v>0</v>
      </c>
      <c r="F35" s="223">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3">
        <f t="shared" ref="E36:E42" si="7">G36+AB36</f>
        <v>0</v>
      </c>
      <c r="F36" s="223">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3">
        <f t="shared" si="7"/>
        <v>0</v>
      </c>
      <c r="F37" s="223">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3">
        <f t="shared" si="7"/>
        <v>0</v>
      </c>
      <c r="F38" s="223">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3">
        <f t="shared" si="7"/>
        <v>0</v>
      </c>
      <c r="F39" s="223">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3">
        <f t="shared" si="7"/>
        <v>0</v>
      </c>
      <c r="F40" s="223">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3">
        <f t="shared" si="7"/>
        <v>0.26</v>
      </c>
      <c r="F41" s="223">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3">
        <f t="shared" si="7"/>
        <v>0</v>
      </c>
      <c r="F42" s="223">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3">
        <v>0</v>
      </c>
      <c r="F43" s="223">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3">
        <f t="shared" ref="E44:E50" si="8">G44+AB44</f>
        <v>0</v>
      </c>
      <c r="F44" s="223">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3">
        <f t="shared" si="8"/>
        <v>0</v>
      </c>
      <c r="F45" s="223">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3">
        <f t="shared" si="8"/>
        <v>0</v>
      </c>
      <c r="F46" s="223">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3">
        <f t="shared" si="8"/>
        <v>0</v>
      </c>
      <c r="F47" s="223">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3">
        <f t="shared" si="8"/>
        <v>0</v>
      </c>
      <c r="F48" s="223">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3">
        <f t="shared" si="8"/>
        <v>0.26</v>
      </c>
      <c r="F49" s="223">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3">
        <f t="shared" si="8"/>
        <v>0</v>
      </c>
      <c r="F50" s="223">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3">
        <v>0</v>
      </c>
      <c r="F51" s="223">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3">
        <f>C52</f>
        <v>1.3317735947181719</v>
      </c>
      <c r="F52" s="223">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3">
        <f>G53+AB53</f>
        <v>0</v>
      </c>
      <c r="F53" s="223">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3">
        <f>G54+AB54</f>
        <v>0</v>
      </c>
      <c r="F54" s="223">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3">
        <f>G55+AB55</f>
        <v>0</v>
      </c>
      <c r="F55" s="223">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3">
        <f>G56+AB56</f>
        <v>0.26</v>
      </c>
      <c r="F56" s="223">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3">
        <f>G57+AB57</f>
        <v>0</v>
      </c>
      <c r="F57" s="223">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3">
        <v>0</v>
      </c>
      <c r="F58" s="223">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3">
        <v>0</v>
      </c>
      <c r="F59" s="223">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3">
        <v>0</v>
      </c>
      <c r="F60" s="223">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3">
        <v>0</v>
      </c>
      <c r="F61" s="223">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3">
        <v>0</v>
      </c>
      <c r="F62" s="223">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3">
        <v>0</v>
      </c>
      <c r="F63" s="223">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3">
        <v>0</v>
      </c>
      <c r="F64" s="223">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5"/>
      <c r="C66" s="475"/>
      <c r="D66" s="475"/>
      <c r="E66" s="475"/>
      <c r="F66" s="475"/>
      <c r="G66" s="475"/>
      <c r="H66" s="475"/>
      <c r="I66" s="475"/>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6"/>
      <c r="C68" s="476"/>
      <c r="D68" s="476"/>
      <c r="E68" s="476"/>
      <c r="F68" s="476"/>
      <c r="G68" s="476"/>
      <c r="H68" s="476"/>
      <c r="I68" s="476"/>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5"/>
      <c r="C70" s="475"/>
      <c r="D70" s="475"/>
      <c r="E70" s="475"/>
      <c r="F70" s="475"/>
      <c r="G70" s="475"/>
      <c r="H70" s="475"/>
      <c r="I70" s="475"/>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5"/>
      <c r="C72" s="475"/>
      <c r="D72" s="475"/>
      <c r="E72" s="475"/>
      <c r="F72" s="475"/>
      <c r="G72" s="475"/>
      <c r="H72" s="475"/>
      <c r="I72" s="475"/>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6"/>
      <c r="C73" s="476"/>
      <c r="D73" s="476"/>
      <c r="E73" s="476"/>
      <c r="F73" s="476"/>
      <c r="G73" s="476"/>
      <c r="H73" s="476"/>
      <c r="I73" s="476"/>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5"/>
      <c r="C74" s="475"/>
      <c r="D74" s="475"/>
      <c r="E74" s="475"/>
      <c r="F74" s="475"/>
      <c r="G74" s="475"/>
      <c r="H74" s="475"/>
      <c r="I74" s="475"/>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3"/>
      <c r="C75" s="473"/>
      <c r="D75" s="473"/>
      <c r="E75" s="473"/>
      <c r="F75" s="473"/>
      <c r="G75" s="473"/>
      <c r="H75" s="473"/>
      <c r="I75" s="473"/>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4"/>
      <c r="C77" s="474"/>
      <c r="D77" s="474"/>
      <c r="E77" s="474"/>
      <c r="F77" s="474"/>
      <c r="G77" s="474"/>
      <c r="H77" s="474"/>
      <c r="I77" s="474"/>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3" zoomScale="70" zoomScaleNormal="70" zoomScaleSheetLayoutView="70" workbookViewId="0">
      <selection activeCell="R24" sqref="R24:R6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78" t="str">
        <f>'6.1. Паспорт сетевой график'!A5:K5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C5" s="187"/>
    </row>
    <row r="6" spans="1:29" ht="18.75" x14ac:dyDescent="0.25">
      <c r="A6" s="477" t="s">
        <v>6</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477"/>
      <c r="AB6" s="477"/>
      <c r="AC6" s="477"/>
    </row>
    <row r="7" spans="1:29" ht="18.75" x14ac:dyDescent="0.25">
      <c r="A7" s="370"/>
      <c r="B7" s="370"/>
      <c r="C7" s="370"/>
      <c r="D7" s="370"/>
      <c r="E7" s="370"/>
      <c r="F7" s="370"/>
      <c r="G7" s="370"/>
      <c r="H7" s="239"/>
      <c r="I7" s="239"/>
      <c r="J7" s="239"/>
      <c r="K7" s="239"/>
      <c r="L7" s="239"/>
      <c r="M7" s="239"/>
      <c r="N7" s="239"/>
      <c r="O7" s="239"/>
      <c r="P7" s="239"/>
      <c r="Q7" s="239"/>
      <c r="R7" s="239"/>
      <c r="S7" s="239"/>
      <c r="T7" s="239"/>
      <c r="U7" s="239"/>
      <c r="V7" s="239"/>
      <c r="W7" s="239"/>
      <c r="X7" s="239"/>
      <c r="Y7" s="239"/>
      <c r="Z7" s="239"/>
      <c r="AA7" s="239"/>
      <c r="AB7" s="239"/>
      <c r="AC7" s="239"/>
    </row>
    <row r="8" spans="1:29" x14ac:dyDescent="0.25">
      <c r="A8" s="478" t="str">
        <f>'6.1. Паспорт сетевой график'!A9</f>
        <v xml:space="preserve">Акционерное общество "Западная энергетическая компания" </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row>
    <row r="9" spans="1:29"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370"/>
      <c r="B10" s="370"/>
      <c r="C10" s="370"/>
      <c r="D10" s="370"/>
      <c r="E10" s="370"/>
      <c r="F10" s="370"/>
      <c r="G10" s="370"/>
      <c r="H10" s="239"/>
      <c r="I10" s="239"/>
      <c r="J10" s="239"/>
      <c r="K10" s="239"/>
      <c r="L10" s="239"/>
      <c r="M10" s="239"/>
      <c r="N10" s="239"/>
      <c r="O10" s="239"/>
      <c r="P10" s="239"/>
      <c r="Q10" s="239"/>
      <c r="R10" s="239"/>
      <c r="S10" s="239"/>
      <c r="T10" s="239"/>
      <c r="U10" s="239"/>
      <c r="V10" s="239"/>
      <c r="W10" s="239"/>
      <c r="X10" s="239"/>
      <c r="Y10" s="239"/>
      <c r="Z10" s="239"/>
      <c r="AA10" s="239"/>
      <c r="AB10" s="239"/>
      <c r="AC10" s="239"/>
    </row>
    <row r="11" spans="1:29" x14ac:dyDescent="0.25">
      <c r="A11" s="478" t="str">
        <f>'6.1. Паспорт сетевой график'!A12</f>
        <v>J 19-15</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row>
    <row r="12" spans="1:29"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40"/>
      <c r="B13" s="240"/>
      <c r="C13" s="240"/>
      <c r="D13" s="240"/>
      <c r="E13" s="240"/>
      <c r="F13" s="240"/>
      <c r="G13" s="240"/>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87" t="str">
        <f>'6.1. Паспорт сетевой график'!A15</f>
        <v>Строительство КЛ 15 кВ от  РП-1 до ТП-1 пер. Комсомольский, г. Пионерский</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8" spans="1:32"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20" spans="1:32" ht="33" customHeight="1" x14ac:dyDescent="0.25">
      <c r="A20" s="461" t="s">
        <v>183</v>
      </c>
      <c r="B20" s="461" t="s">
        <v>182</v>
      </c>
      <c r="C20" s="479" t="s">
        <v>181</v>
      </c>
      <c r="D20" s="479"/>
      <c r="E20" s="480" t="s">
        <v>180</v>
      </c>
      <c r="F20" s="480"/>
      <c r="G20" s="461" t="s">
        <v>593</v>
      </c>
      <c r="H20" s="481">
        <v>2020</v>
      </c>
      <c r="I20" s="482"/>
      <c r="J20" s="482"/>
      <c r="K20" s="483"/>
      <c r="L20" s="484">
        <v>2021</v>
      </c>
      <c r="M20" s="485"/>
      <c r="N20" s="485"/>
      <c r="O20" s="485"/>
      <c r="P20" s="484">
        <v>2022</v>
      </c>
      <c r="Q20" s="485"/>
      <c r="R20" s="485"/>
      <c r="S20" s="485"/>
      <c r="T20" s="484">
        <v>2023</v>
      </c>
      <c r="U20" s="485"/>
      <c r="V20" s="485"/>
      <c r="W20" s="485"/>
      <c r="X20" s="484">
        <v>2024</v>
      </c>
      <c r="Y20" s="485"/>
      <c r="Z20" s="485"/>
      <c r="AA20" s="485"/>
      <c r="AB20" s="486" t="s">
        <v>179</v>
      </c>
      <c r="AC20" s="486"/>
      <c r="AD20" s="371"/>
      <c r="AE20" s="371"/>
      <c r="AF20" s="371"/>
    </row>
    <row r="21" spans="1:32" ht="99.75" customHeight="1" x14ac:dyDescent="0.25">
      <c r="A21" s="462"/>
      <c r="B21" s="462"/>
      <c r="C21" s="479"/>
      <c r="D21" s="479"/>
      <c r="E21" s="480"/>
      <c r="F21" s="480"/>
      <c r="G21" s="462"/>
      <c r="H21" s="479" t="s">
        <v>572</v>
      </c>
      <c r="I21" s="479"/>
      <c r="J21" s="479" t="s">
        <v>8</v>
      </c>
      <c r="K21" s="479"/>
      <c r="L21" s="479" t="s">
        <v>573</v>
      </c>
      <c r="M21" s="479"/>
      <c r="N21" s="479" t="s">
        <v>8</v>
      </c>
      <c r="O21" s="479"/>
      <c r="P21" s="479" t="s">
        <v>1</v>
      </c>
      <c r="Q21" s="479"/>
      <c r="R21" s="479" t="s">
        <v>178</v>
      </c>
      <c r="S21" s="479"/>
      <c r="T21" s="479" t="s">
        <v>1</v>
      </c>
      <c r="U21" s="479"/>
      <c r="V21" s="479" t="s">
        <v>178</v>
      </c>
      <c r="W21" s="479"/>
      <c r="X21" s="479" t="s">
        <v>1</v>
      </c>
      <c r="Y21" s="479"/>
      <c r="Z21" s="479" t="s">
        <v>178</v>
      </c>
      <c r="AA21" s="479"/>
      <c r="AB21" s="486"/>
      <c r="AC21" s="486"/>
    </row>
    <row r="22" spans="1:32" ht="89.25" customHeight="1" x14ac:dyDescent="0.25">
      <c r="A22" s="463"/>
      <c r="B22" s="463"/>
      <c r="C22" s="368" t="s">
        <v>1</v>
      </c>
      <c r="D22" s="368" t="s">
        <v>178</v>
      </c>
      <c r="E22" s="78" t="s">
        <v>571</v>
      </c>
      <c r="F22" s="78" t="s">
        <v>609</v>
      </c>
      <c r="G22" s="463"/>
      <c r="H22" s="241" t="s">
        <v>404</v>
      </c>
      <c r="I22" s="241" t="s">
        <v>405</v>
      </c>
      <c r="J22" s="241" t="s">
        <v>404</v>
      </c>
      <c r="K22" s="241" t="s">
        <v>405</v>
      </c>
      <c r="L22" s="241" t="s">
        <v>404</v>
      </c>
      <c r="M22" s="241" t="s">
        <v>405</v>
      </c>
      <c r="N22" s="241" t="s">
        <v>404</v>
      </c>
      <c r="O22" s="241" t="s">
        <v>405</v>
      </c>
      <c r="P22" s="241" t="s">
        <v>404</v>
      </c>
      <c r="Q22" s="241" t="s">
        <v>405</v>
      </c>
      <c r="R22" s="241" t="s">
        <v>404</v>
      </c>
      <c r="S22" s="241" t="s">
        <v>405</v>
      </c>
      <c r="T22" s="241" t="s">
        <v>404</v>
      </c>
      <c r="U22" s="241" t="s">
        <v>405</v>
      </c>
      <c r="V22" s="241" t="s">
        <v>404</v>
      </c>
      <c r="W22" s="241" t="s">
        <v>405</v>
      </c>
      <c r="X22" s="241" t="s">
        <v>404</v>
      </c>
      <c r="Y22" s="241" t="s">
        <v>405</v>
      </c>
      <c r="Z22" s="241" t="s">
        <v>404</v>
      </c>
      <c r="AA22" s="241" t="s">
        <v>405</v>
      </c>
      <c r="AB22" s="368" t="s">
        <v>1</v>
      </c>
      <c r="AC22" s="368" t="s">
        <v>565</v>
      </c>
    </row>
    <row r="23" spans="1:32" ht="19.5" customHeight="1" x14ac:dyDescent="0.25">
      <c r="A23" s="369">
        <v>1</v>
      </c>
      <c r="B23" s="369">
        <v>2</v>
      </c>
      <c r="C23" s="369">
        <v>3</v>
      </c>
      <c r="D23" s="369">
        <v>4</v>
      </c>
      <c r="E23" s="369">
        <v>5</v>
      </c>
      <c r="F23" s="369">
        <v>6</v>
      </c>
      <c r="G23" s="369">
        <v>7</v>
      </c>
      <c r="H23" s="369">
        <v>8</v>
      </c>
      <c r="I23" s="369">
        <v>9</v>
      </c>
      <c r="J23" s="369">
        <v>10</v>
      </c>
      <c r="K23" s="369">
        <v>11</v>
      </c>
      <c r="L23" s="369">
        <v>12</v>
      </c>
      <c r="M23" s="369">
        <v>13</v>
      </c>
      <c r="N23" s="369">
        <v>14</v>
      </c>
      <c r="O23" s="369">
        <v>15</v>
      </c>
      <c r="P23" s="369">
        <v>16</v>
      </c>
      <c r="Q23" s="369">
        <v>17</v>
      </c>
      <c r="R23" s="369">
        <v>18</v>
      </c>
      <c r="S23" s="369">
        <v>19</v>
      </c>
      <c r="T23" s="369">
        <v>20</v>
      </c>
      <c r="U23" s="369">
        <v>21</v>
      </c>
      <c r="V23" s="369">
        <v>22</v>
      </c>
      <c r="W23" s="369">
        <v>23</v>
      </c>
      <c r="X23" s="369">
        <v>24</v>
      </c>
      <c r="Y23" s="369">
        <v>25</v>
      </c>
      <c r="Z23" s="369">
        <v>26</v>
      </c>
      <c r="AA23" s="369">
        <v>27</v>
      </c>
      <c r="AB23" s="369">
        <v>28</v>
      </c>
      <c r="AC23" s="369">
        <v>29</v>
      </c>
    </row>
    <row r="24" spans="1:32" ht="47.25" customHeight="1" x14ac:dyDescent="0.25">
      <c r="A24" s="242">
        <v>1</v>
      </c>
      <c r="B24" s="243" t="s">
        <v>177</v>
      </c>
      <c r="C24" s="244">
        <f>C30*1.2</f>
        <v>3.8902892696705909</v>
      </c>
      <c r="D24" s="244">
        <f>D30*1.2</f>
        <v>3.8902892696705909</v>
      </c>
      <c r="E24" s="244">
        <f>C24</f>
        <v>3.8902892696705909</v>
      </c>
      <c r="F24" s="244">
        <f>D24</f>
        <v>3.8902892696705909</v>
      </c>
      <c r="G24" s="244">
        <v>0</v>
      </c>
      <c r="H24" s="244">
        <v>0</v>
      </c>
      <c r="I24" s="244">
        <f t="shared" ref="I24:Y24" si="0">SUM(I25:I29)</f>
        <v>0</v>
      </c>
      <c r="J24" s="244">
        <v>0</v>
      </c>
      <c r="K24" s="244">
        <f t="shared" si="0"/>
        <v>0</v>
      </c>
      <c r="L24" s="244">
        <v>0</v>
      </c>
      <c r="M24" s="244">
        <f t="shared" si="0"/>
        <v>0</v>
      </c>
      <c r="N24" s="244">
        <v>0</v>
      </c>
      <c r="O24" s="244">
        <f t="shared" si="0"/>
        <v>0</v>
      </c>
      <c r="P24" s="244">
        <f t="shared" ref="P24:P34" si="1">C24</f>
        <v>3.8902892696705909</v>
      </c>
      <c r="Q24" s="244">
        <f t="shared" si="0"/>
        <v>0</v>
      </c>
      <c r="R24" s="244">
        <v>0</v>
      </c>
      <c r="S24" s="244">
        <f t="shared" ref="S24" si="2">SUM(S25:S29)</f>
        <v>0</v>
      </c>
      <c r="T24" s="244">
        <v>0</v>
      </c>
      <c r="U24" s="244">
        <f t="shared" si="0"/>
        <v>0</v>
      </c>
      <c r="V24" s="244">
        <v>3.8902892696705909</v>
      </c>
      <c r="W24" s="244">
        <f t="shared" ref="W24" si="3">SUM(W25:W29)</f>
        <v>0</v>
      </c>
      <c r="X24" s="244">
        <f t="shared" si="0"/>
        <v>0</v>
      </c>
      <c r="Y24" s="244">
        <f t="shared" si="0"/>
        <v>0</v>
      </c>
      <c r="Z24" s="244">
        <v>0</v>
      </c>
      <c r="AA24" s="244">
        <f t="shared" ref="AA24" si="4">SUM(AA25:AA29)</f>
        <v>0</v>
      </c>
      <c r="AB24" s="244">
        <f>H24+L24+P24+T24+X24</f>
        <v>3.8902892696705909</v>
      </c>
      <c r="AC24" s="255">
        <f>SUM(J24,N24,R24,V24,Z24)</f>
        <v>3.8902892696705909</v>
      </c>
    </row>
    <row r="25" spans="1:32" ht="24" customHeight="1" x14ac:dyDescent="0.25">
      <c r="A25" s="245" t="s">
        <v>176</v>
      </c>
      <c r="B25" s="246" t="s">
        <v>175</v>
      </c>
      <c r="C25" s="244">
        <f>'6.2. Паспорт фин осв ввод утв'!C25</f>
        <v>0</v>
      </c>
      <c r="D25" s="244">
        <f>'6.2. Паспорт фин осв ввод утв'!D25</f>
        <v>0</v>
      </c>
      <c r="E25" s="244">
        <f t="shared" ref="E25:E64" si="5">C25</f>
        <v>0</v>
      </c>
      <c r="F25" s="244">
        <f t="shared" ref="F25:F64" si="6">D25</f>
        <v>0</v>
      </c>
      <c r="G25" s="244">
        <v>0</v>
      </c>
      <c r="H25" s="244">
        <v>0</v>
      </c>
      <c r="I25" s="247">
        <v>0</v>
      </c>
      <c r="J25" s="247">
        <f t="shared" ref="J25:J64" si="7">H25</f>
        <v>0</v>
      </c>
      <c r="K25" s="247">
        <v>0</v>
      </c>
      <c r="L25" s="244">
        <f>C25</f>
        <v>0</v>
      </c>
      <c r="M25" s="247">
        <v>0</v>
      </c>
      <c r="N25" s="247">
        <f t="shared" ref="N25:N64" si="8">L25</f>
        <v>0</v>
      </c>
      <c r="O25" s="247">
        <v>0</v>
      </c>
      <c r="P25" s="244">
        <f t="shared" si="1"/>
        <v>0</v>
      </c>
      <c r="Q25" s="247">
        <v>0</v>
      </c>
      <c r="R25" s="244">
        <v>0</v>
      </c>
      <c r="S25" s="247">
        <v>0</v>
      </c>
      <c r="T25" s="244">
        <v>0</v>
      </c>
      <c r="U25" s="247">
        <v>0</v>
      </c>
      <c r="V25" s="244">
        <v>0</v>
      </c>
      <c r="W25" s="247">
        <v>0</v>
      </c>
      <c r="X25" s="247">
        <v>0</v>
      </c>
      <c r="Y25" s="247">
        <v>0</v>
      </c>
      <c r="Z25" s="244">
        <v>0</v>
      </c>
      <c r="AA25" s="247">
        <v>0</v>
      </c>
      <c r="AB25" s="244">
        <f t="shared" ref="AB25:AB64" si="9">H25+L25+P25+T25+X25</f>
        <v>0</v>
      </c>
      <c r="AC25" s="255">
        <f t="shared" ref="AC25:AC64" si="10">SUM(J25,N25,R25,V25,Z25)</f>
        <v>0</v>
      </c>
    </row>
    <row r="26" spans="1:32" x14ac:dyDescent="0.25">
      <c r="A26" s="245" t="s">
        <v>174</v>
      </c>
      <c r="B26" s="246" t="s">
        <v>173</v>
      </c>
      <c r="C26" s="244">
        <f>'6.2. Паспорт фин осв ввод утв'!C26</f>
        <v>0</v>
      </c>
      <c r="D26" s="244">
        <f>'6.2. Паспорт фин осв ввод утв'!D26</f>
        <v>0</v>
      </c>
      <c r="E26" s="244">
        <f t="shared" si="5"/>
        <v>0</v>
      </c>
      <c r="F26" s="244">
        <f t="shared" si="6"/>
        <v>0</v>
      </c>
      <c r="G26" s="244">
        <v>0</v>
      </c>
      <c r="H26" s="244">
        <v>0</v>
      </c>
      <c r="I26" s="247">
        <v>0</v>
      </c>
      <c r="J26" s="247">
        <f t="shared" si="7"/>
        <v>0</v>
      </c>
      <c r="K26" s="247">
        <v>0</v>
      </c>
      <c r="L26" s="244">
        <f>C26</f>
        <v>0</v>
      </c>
      <c r="M26" s="247">
        <v>0</v>
      </c>
      <c r="N26" s="247">
        <f t="shared" si="8"/>
        <v>0</v>
      </c>
      <c r="O26" s="247">
        <v>0</v>
      </c>
      <c r="P26" s="244">
        <f t="shared" si="1"/>
        <v>0</v>
      </c>
      <c r="Q26" s="247">
        <v>0</v>
      </c>
      <c r="R26" s="244">
        <v>0</v>
      </c>
      <c r="S26" s="247">
        <v>0</v>
      </c>
      <c r="T26" s="244">
        <v>0</v>
      </c>
      <c r="U26" s="247">
        <v>0</v>
      </c>
      <c r="V26" s="244">
        <v>0</v>
      </c>
      <c r="W26" s="247">
        <v>0</v>
      </c>
      <c r="X26" s="247">
        <v>0</v>
      </c>
      <c r="Y26" s="247">
        <v>0</v>
      </c>
      <c r="Z26" s="244">
        <v>0</v>
      </c>
      <c r="AA26" s="247">
        <v>0</v>
      </c>
      <c r="AB26" s="244">
        <f t="shared" si="9"/>
        <v>0</v>
      </c>
      <c r="AC26" s="255">
        <f t="shared" si="10"/>
        <v>0</v>
      </c>
    </row>
    <row r="27" spans="1:32" ht="31.5" x14ac:dyDescent="0.25">
      <c r="A27" s="245" t="s">
        <v>172</v>
      </c>
      <c r="B27" s="246" t="s">
        <v>360</v>
      </c>
      <c r="C27" s="244">
        <f>C24</f>
        <v>3.8902892696705909</v>
      </c>
      <c r="D27" s="244">
        <f>D24</f>
        <v>3.8902892696705909</v>
      </c>
      <c r="E27" s="244">
        <f t="shared" si="5"/>
        <v>3.8902892696705909</v>
      </c>
      <c r="F27" s="244">
        <f t="shared" si="6"/>
        <v>3.8902892696705909</v>
      </c>
      <c r="G27" s="244">
        <v>0</v>
      </c>
      <c r="H27" s="244">
        <v>0</v>
      </c>
      <c r="I27" s="247">
        <v>0</v>
      </c>
      <c r="J27" s="247">
        <v>0</v>
      </c>
      <c r="K27" s="247">
        <v>0</v>
      </c>
      <c r="L27" s="244">
        <v>0</v>
      </c>
      <c r="M27" s="247">
        <v>0</v>
      </c>
      <c r="N27" s="247">
        <v>0</v>
      </c>
      <c r="O27" s="247">
        <v>0</v>
      </c>
      <c r="P27" s="244">
        <f t="shared" si="1"/>
        <v>3.8902892696705909</v>
      </c>
      <c r="Q27" s="247">
        <v>0</v>
      </c>
      <c r="R27" s="244">
        <v>0</v>
      </c>
      <c r="S27" s="247">
        <v>0</v>
      </c>
      <c r="T27" s="244">
        <v>0</v>
      </c>
      <c r="U27" s="247">
        <v>0</v>
      </c>
      <c r="V27" s="244">
        <v>3.8902892696705909</v>
      </c>
      <c r="W27" s="247">
        <v>0</v>
      </c>
      <c r="X27" s="247">
        <v>0</v>
      </c>
      <c r="Y27" s="247">
        <v>0</v>
      </c>
      <c r="Z27" s="244">
        <v>0</v>
      </c>
      <c r="AA27" s="247">
        <v>0</v>
      </c>
      <c r="AB27" s="244">
        <f t="shared" si="9"/>
        <v>3.8902892696705909</v>
      </c>
      <c r="AC27" s="255">
        <f t="shared" si="10"/>
        <v>3.8902892696705909</v>
      </c>
    </row>
    <row r="28" spans="1:32" x14ac:dyDescent="0.25">
      <c r="A28" s="245" t="s">
        <v>171</v>
      </c>
      <c r="B28" s="246" t="s">
        <v>566</v>
      </c>
      <c r="C28" s="244">
        <f>'6.2. Паспорт фин осв ввод утв'!C28</f>
        <v>0</v>
      </c>
      <c r="D28" s="244">
        <f>'6.2. Паспорт фин осв ввод утв'!D28</f>
        <v>0</v>
      </c>
      <c r="E28" s="244">
        <f t="shared" si="5"/>
        <v>0</v>
      </c>
      <c r="F28" s="244">
        <f t="shared" si="6"/>
        <v>0</v>
      </c>
      <c r="G28" s="244">
        <v>0</v>
      </c>
      <c r="H28" s="244">
        <v>0</v>
      </c>
      <c r="I28" s="247">
        <v>0</v>
      </c>
      <c r="J28" s="247">
        <f t="shared" si="7"/>
        <v>0</v>
      </c>
      <c r="K28" s="247">
        <v>0</v>
      </c>
      <c r="L28" s="244">
        <f>C28</f>
        <v>0</v>
      </c>
      <c r="M28" s="247">
        <v>0</v>
      </c>
      <c r="N28" s="247">
        <f t="shared" si="8"/>
        <v>0</v>
      </c>
      <c r="O28" s="247">
        <v>0</v>
      </c>
      <c r="P28" s="244">
        <f t="shared" si="1"/>
        <v>0</v>
      </c>
      <c r="Q28" s="247">
        <v>0</v>
      </c>
      <c r="R28" s="244">
        <v>0</v>
      </c>
      <c r="S28" s="247">
        <v>0</v>
      </c>
      <c r="T28" s="244">
        <v>0</v>
      </c>
      <c r="U28" s="247">
        <v>0</v>
      </c>
      <c r="V28" s="244">
        <v>0</v>
      </c>
      <c r="W28" s="247">
        <v>0</v>
      </c>
      <c r="X28" s="247">
        <v>0</v>
      </c>
      <c r="Y28" s="247">
        <v>0</v>
      </c>
      <c r="Z28" s="244">
        <v>0</v>
      </c>
      <c r="AA28" s="247">
        <v>0</v>
      </c>
      <c r="AB28" s="244">
        <f t="shared" si="9"/>
        <v>0</v>
      </c>
      <c r="AC28" s="255">
        <f t="shared" si="10"/>
        <v>0</v>
      </c>
    </row>
    <row r="29" spans="1:32" x14ac:dyDescent="0.25">
      <c r="A29" s="245" t="s">
        <v>169</v>
      </c>
      <c r="B29" s="77" t="s">
        <v>168</v>
      </c>
      <c r="C29" s="244">
        <f>'6.2. Паспорт фин осв ввод утв'!C29</f>
        <v>0</v>
      </c>
      <c r="D29" s="244">
        <f>'6.2. Паспорт фин осв ввод утв'!D29</f>
        <v>0</v>
      </c>
      <c r="E29" s="244">
        <f t="shared" si="5"/>
        <v>0</v>
      </c>
      <c r="F29" s="244">
        <f t="shared" si="6"/>
        <v>0</v>
      </c>
      <c r="G29" s="244">
        <v>0</v>
      </c>
      <c r="H29" s="244">
        <v>0</v>
      </c>
      <c r="I29" s="247">
        <v>0</v>
      </c>
      <c r="J29" s="248">
        <f t="shared" si="7"/>
        <v>0</v>
      </c>
      <c r="K29" s="247">
        <v>0</v>
      </c>
      <c r="L29" s="244">
        <f>C29</f>
        <v>0</v>
      </c>
      <c r="M29" s="247">
        <v>0</v>
      </c>
      <c r="N29" s="248">
        <f t="shared" si="8"/>
        <v>0</v>
      </c>
      <c r="O29" s="247">
        <v>0</v>
      </c>
      <c r="P29" s="244">
        <f t="shared" si="1"/>
        <v>0</v>
      </c>
      <c r="Q29" s="247">
        <v>0</v>
      </c>
      <c r="R29" s="244">
        <v>0</v>
      </c>
      <c r="S29" s="247">
        <v>0</v>
      </c>
      <c r="T29" s="244">
        <v>0</v>
      </c>
      <c r="U29" s="247">
        <v>0</v>
      </c>
      <c r="V29" s="244">
        <v>0</v>
      </c>
      <c r="W29" s="247">
        <v>0</v>
      </c>
      <c r="X29" s="247">
        <v>0</v>
      </c>
      <c r="Y29" s="247">
        <v>0</v>
      </c>
      <c r="Z29" s="244">
        <v>0</v>
      </c>
      <c r="AA29" s="247">
        <v>0</v>
      </c>
      <c r="AB29" s="244">
        <f t="shared" si="9"/>
        <v>0</v>
      </c>
      <c r="AC29" s="255">
        <f t="shared" si="10"/>
        <v>0</v>
      </c>
    </row>
    <row r="30" spans="1:32" s="372" customFormat="1" ht="47.25" x14ac:dyDescent="0.25">
      <c r="A30" s="242" t="s">
        <v>60</v>
      </c>
      <c r="B30" s="243" t="s">
        <v>167</v>
      </c>
      <c r="C30" s="244">
        <f>SUM(C31:C34)</f>
        <v>3.2419077247254924</v>
      </c>
      <c r="D30" s="244">
        <f>SUM(D31:D34)</f>
        <v>3.2419077247254924</v>
      </c>
      <c r="E30" s="244">
        <f t="shared" si="5"/>
        <v>3.2419077247254924</v>
      </c>
      <c r="F30" s="244">
        <f t="shared" si="6"/>
        <v>3.2419077247254924</v>
      </c>
      <c r="G30" s="244">
        <v>0</v>
      </c>
      <c r="H30" s="244">
        <v>0</v>
      </c>
      <c r="I30" s="244">
        <v>0</v>
      </c>
      <c r="J30" s="244">
        <v>0</v>
      </c>
      <c r="K30" s="244">
        <v>0</v>
      </c>
      <c r="L30" s="244">
        <v>0</v>
      </c>
      <c r="M30" s="244">
        <v>0</v>
      </c>
      <c r="N30" s="244">
        <v>0</v>
      </c>
      <c r="O30" s="244">
        <v>0</v>
      </c>
      <c r="P30" s="244">
        <f t="shared" si="1"/>
        <v>3.2419077247254924</v>
      </c>
      <c r="Q30" s="244">
        <v>0</v>
      </c>
      <c r="R30" s="244">
        <v>0</v>
      </c>
      <c r="S30" s="244">
        <v>0</v>
      </c>
      <c r="T30" s="244">
        <v>0</v>
      </c>
      <c r="U30" s="244">
        <v>0</v>
      </c>
      <c r="V30" s="244">
        <v>3.2419077247254924</v>
      </c>
      <c r="W30" s="244">
        <v>0</v>
      </c>
      <c r="X30" s="244">
        <v>0</v>
      </c>
      <c r="Y30" s="244">
        <v>0</v>
      </c>
      <c r="Z30" s="244">
        <v>0</v>
      </c>
      <c r="AA30" s="244">
        <v>0</v>
      </c>
      <c r="AB30" s="244">
        <f t="shared" si="9"/>
        <v>3.2419077247254924</v>
      </c>
      <c r="AC30" s="255">
        <f t="shared" si="10"/>
        <v>3.2419077247254924</v>
      </c>
    </row>
    <row r="31" spans="1:32" x14ac:dyDescent="0.25">
      <c r="A31" s="242" t="s">
        <v>166</v>
      </c>
      <c r="B31" s="246" t="s">
        <v>165</v>
      </c>
      <c r="C31" s="244">
        <f>'[2]cводка затрат'!$D$22</f>
        <v>0.20255469605424434</v>
      </c>
      <c r="D31" s="244">
        <f>'[2]cводка затрат'!$D$22</f>
        <v>0.20255469605424434</v>
      </c>
      <c r="E31" s="244">
        <f t="shared" si="5"/>
        <v>0.20255469605424434</v>
      </c>
      <c r="F31" s="244">
        <f t="shared" si="6"/>
        <v>0.20255469605424434</v>
      </c>
      <c r="G31" s="244">
        <v>0</v>
      </c>
      <c r="H31" s="244">
        <v>0</v>
      </c>
      <c r="I31" s="247">
        <v>0</v>
      </c>
      <c r="J31" s="247">
        <f t="shared" si="7"/>
        <v>0</v>
      </c>
      <c r="K31" s="247">
        <v>0</v>
      </c>
      <c r="L31" s="244">
        <v>0</v>
      </c>
      <c r="M31" s="247">
        <v>0</v>
      </c>
      <c r="N31" s="247">
        <f t="shared" si="8"/>
        <v>0</v>
      </c>
      <c r="O31" s="247">
        <v>0</v>
      </c>
      <c r="P31" s="244">
        <f t="shared" si="1"/>
        <v>0.20255469605424434</v>
      </c>
      <c r="Q31" s="247">
        <v>0</v>
      </c>
      <c r="R31" s="244">
        <v>0</v>
      </c>
      <c r="S31" s="247">
        <v>0</v>
      </c>
      <c r="T31" s="244">
        <v>0</v>
      </c>
      <c r="U31" s="247">
        <v>0</v>
      </c>
      <c r="V31" s="244">
        <v>0.20255469605424434</v>
      </c>
      <c r="W31" s="247">
        <v>0</v>
      </c>
      <c r="X31" s="247">
        <v>0</v>
      </c>
      <c r="Y31" s="247">
        <v>0</v>
      </c>
      <c r="Z31" s="244">
        <v>0</v>
      </c>
      <c r="AA31" s="247">
        <v>0</v>
      </c>
      <c r="AB31" s="244">
        <f t="shared" si="9"/>
        <v>0.20255469605424434</v>
      </c>
      <c r="AC31" s="255">
        <f t="shared" si="10"/>
        <v>0.20255469605424434</v>
      </c>
    </row>
    <row r="32" spans="1:32" ht="31.5" x14ac:dyDescent="0.25">
      <c r="A32" s="242" t="s">
        <v>164</v>
      </c>
      <c r="B32" s="246" t="s">
        <v>163</v>
      </c>
      <c r="C32" s="244">
        <f>'[2]cводка затрат'!$E$22</f>
        <v>3.0288426354511868</v>
      </c>
      <c r="D32" s="244">
        <f>'[2]cводка затрат'!$E$22</f>
        <v>3.0288426354511868</v>
      </c>
      <c r="E32" s="244">
        <f t="shared" si="5"/>
        <v>3.0288426354511868</v>
      </c>
      <c r="F32" s="244">
        <f t="shared" si="6"/>
        <v>3.0288426354511868</v>
      </c>
      <c r="G32" s="244">
        <v>0</v>
      </c>
      <c r="H32" s="244">
        <v>0</v>
      </c>
      <c r="I32" s="247">
        <v>0</v>
      </c>
      <c r="J32" s="247">
        <f t="shared" si="7"/>
        <v>0</v>
      </c>
      <c r="K32" s="247">
        <v>0</v>
      </c>
      <c r="L32" s="244">
        <v>0</v>
      </c>
      <c r="M32" s="247">
        <v>0</v>
      </c>
      <c r="N32" s="247">
        <v>0</v>
      </c>
      <c r="O32" s="247">
        <v>0</v>
      </c>
      <c r="P32" s="244">
        <f t="shared" si="1"/>
        <v>3.0288426354511868</v>
      </c>
      <c r="Q32" s="247">
        <v>0</v>
      </c>
      <c r="R32" s="244">
        <v>0</v>
      </c>
      <c r="S32" s="247">
        <v>0</v>
      </c>
      <c r="T32" s="244">
        <v>0</v>
      </c>
      <c r="U32" s="247">
        <v>0</v>
      </c>
      <c r="V32" s="244">
        <v>3.0288426354511868</v>
      </c>
      <c r="W32" s="247">
        <v>0</v>
      </c>
      <c r="X32" s="247">
        <v>0</v>
      </c>
      <c r="Y32" s="247">
        <v>0</v>
      </c>
      <c r="Z32" s="244">
        <v>0</v>
      </c>
      <c r="AA32" s="247">
        <v>0</v>
      </c>
      <c r="AB32" s="244">
        <f t="shared" si="9"/>
        <v>3.0288426354511868</v>
      </c>
      <c r="AC32" s="255">
        <f t="shared" si="10"/>
        <v>3.0288426354511868</v>
      </c>
    </row>
    <row r="33" spans="1:29" x14ac:dyDescent="0.25">
      <c r="A33" s="242" t="s">
        <v>162</v>
      </c>
      <c r="B33" s="246" t="s">
        <v>161</v>
      </c>
      <c r="C33" s="244">
        <f>'[2]cводка затрат'!$F$22</f>
        <v>0</v>
      </c>
      <c r="D33" s="244">
        <f>'[2]cводка затрат'!$F$22</f>
        <v>0</v>
      </c>
      <c r="E33" s="244">
        <f t="shared" si="5"/>
        <v>0</v>
      </c>
      <c r="F33" s="244">
        <f t="shared" si="6"/>
        <v>0</v>
      </c>
      <c r="G33" s="244">
        <v>0</v>
      </c>
      <c r="H33" s="244">
        <v>0</v>
      </c>
      <c r="I33" s="247">
        <v>0</v>
      </c>
      <c r="J33" s="247">
        <f t="shared" si="7"/>
        <v>0</v>
      </c>
      <c r="K33" s="247">
        <v>0</v>
      </c>
      <c r="L33" s="244">
        <f>C33</f>
        <v>0</v>
      </c>
      <c r="M33" s="247">
        <v>0</v>
      </c>
      <c r="N33" s="247">
        <f t="shared" si="8"/>
        <v>0</v>
      </c>
      <c r="O33" s="247">
        <v>0</v>
      </c>
      <c r="P33" s="244">
        <f t="shared" si="1"/>
        <v>0</v>
      </c>
      <c r="Q33" s="247">
        <v>0</v>
      </c>
      <c r="R33" s="244">
        <v>0</v>
      </c>
      <c r="S33" s="247">
        <v>0</v>
      </c>
      <c r="T33" s="244">
        <v>0</v>
      </c>
      <c r="U33" s="247">
        <v>0</v>
      </c>
      <c r="V33" s="244">
        <v>0</v>
      </c>
      <c r="W33" s="247">
        <v>0</v>
      </c>
      <c r="X33" s="247">
        <v>0</v>
      </c>
      <c r="Y33" s="247">
        <v>0</v>
      </c>
      <c r="Z33" s="244">
        <v>0</v>
      </c>
      <c r="AA33" s="247">
        <v>0</v>
      </c>
      <c r="AB33" s="244">
        <f t="shared" si="9"/>
        <v>0</v>
      </c>
      <c r="AC33" s="255">
        <f t="shared" si="10"/>
        <v>0</v>
      </c>
    </row>
    <row r="34" spans="1:29" x14ac:dyDescent="0.25">
      <c r="A34" s="242" t="s">
        <v>160</v>
      </c>
      <c r="B34" s="246" t="s">
        <v>159</v>
      </c>
      <c r="C34" s="244">
        <f>'[2]cводка затрат'!$G$22+'[2]cводка затрат'!$H$22</f>
        <v>1.0510393220061424E-2</v>
      </c>
      <c r="D34" s="244">
        <f>'[2]cводка затрат'!$G$22+'[2]cводка затрат'!$H$22</f>
        <v>1.0510393220061424E-2</v>
      </c>
      <c r="E34" s="244">
        <f t="shared" si="5"/>
        <v>1.0510393220061424E-2</v>
      </c>
      <c r="F34" s="244">
        <f t="shared" si="6"/>
        <v>1.0510393220061424E-2</v>
      </c>
      <c r="G34" s="244">
        <v>0</v>
      </c>
      <c r="H34" s="244">
        <v>0</v>
      </c>
      <c r="I34" s="247">
        <v>0</v>
      </c>
      <c r="J34" s="247">
        <f t="shared" si="7"/>
        <v>0</v>
      </c>
      <c r="K34" s="247">
        <v>0</v>
      </c>
      <c r="L34" s="244">
        <v>0</v>
      </c>
      <c r="M34" s="247">
        <v>0</v>
      </c>
      <c r="N34" s="247">
        <v>0</v>
      </c>
      <c r="O34" s="247">
        <v>0</v>
      </c>
      <c r="P34" s="244">
        <f t="shared" si="1"/>
        <v>1.0510393220061424E-2</v>
      </c>
      <c r="Q34" s="247">
        <v>0</v>
      </c>
      <c r="R34" s="244">
        <v>0</v>
      </c>
      <c r="S34" s="247">
        <v>0</v>
      </c>
      <c r="T34" s="244">
        <v>0</v>
      </c>
      <c r="U34" s="247">
        <v>0</v>
      </c>
      <c r="V34" s="244">
        <v>1.0510393220061424E-2</v>
      </c>
      <c r="W34" s="247">
        <v>0</v>
      </c>
      <c r="X34" s="247">
        <v>0</v>
      </c>
      <c r="Y34" s="247">
        <v>0</v>
      </c>
      <c r="Z34" s="244">
        <v>0</v>
      </c>
      <c r="AA34" s="247">
        <v>0</v>
      </c>
      <c r="AB34" s="244">
        <f t="shared" si="9"/>
        <v>1.0510393220061424E-2</v>
      </c>
      <c r="AC34" s="255">
        <f t="shared" si="10"/>
        <v>1.0510393220061424E-2</v>
      </c>
    </row>
    <row r="35" spans="1:29" s="372" customFormat="1" ht="31.5" x14ac:dyDescent="0.25">
      <c r="A35" s="242" t="s">
        <v>59</v>
      </c>
      <c r="B35" s="243" t="s">
        <v>158</v>
      </c>
      <c r="C35" s="244">
        <f>'6.2. Паспорт фин осв ввод утв'!C35</f>
        <v>0</v>
      </c>
      <c r="D35" s="244">
        <f>'6.2. Паспорт фин осв ввод утв'!D35</f>
        <v>0</v>
      </c>
      <c r="E35" s="244">
        <f t="shared" si="5"/>
        <v>0</v>
      </c>
      <c r="F35" s="244">
        <f t="shared" si="6"/>
        <v>0</v>
      </c>
      <c r="G35" s="244">
        <v>0</v>
      </c>
      <c r="H35" s="244">
        <v>0</v>
      </c>
      <c r="I35" s="244">
        <v>0</v>
      </c>
      <c r="J35" s="244">
        <f t="shared" si="7"/>
        <v>0</v>
      </c>
      <c r="K35" s="244">
        <v>0</v>
      </c>
      <c r="L35" s="244">
        <f t="shared" ref="L35:L40" si="11">C35</f>
        <v>0</v>
      </c>
      <c r="M35" s="244">
        <v>0</v>
      </c>
      <c r="N35" s="244">
        <f t="shared" si="8"/>
        <v>0</v>
      </c>
      <c r="O35" s="244">
        <v>0</v>
      </c>
      <c r="P35" s="244">
        <f t="shared" ref="P35:P64" si="12">C35</f>
        <v>0</v>
      </c>
      <c r="Q35" s="244">
        <v>0</v>
      </c>
      <c r="R35" s="244">
        <v>0</v>
      </c>
      <c r="S35" s="244">
        <v>0</v>
      </c>
      <c r="T35" s="244">
        <v>0</v>
      </c>
      <c r="U35" s="244">
        <v>0</v>
      </c>
      <c r="V35" s="244">
        <v>0</v>
      </c>
      <c r="W35" s="244">
        <v>0</v>
      </c>
      <c r="X35" s="244">
        <v>0</v>
      </c>
      <c r="Y35" s="244">
        <v>0</v>
      </c>
      <c r="Z35" s="244">
        <v>0</v>
      </c>
      <c r="AA35" s="244">
        <v>0</v>
      </c>
      <c r="AB35" s="244">
        <f t="shared" si="9"/>
        <v>0</v>
      </c>
      <c r="AC35" s="255">
        <f t="shared" si="10"/>
        <v>0</v>
      </c>
    </row>
    <row r="36" spans="1:29" ht="31.5" x14ac:dyDescent="0.25">
      <c r="A36" s="245" t="s">
        <v>157</v>
      </c>
      <c r="B36" s="249" t="s">
        <v>156</v>
      </c>
      <c r="C36" s="244">
        <f>'6.2. Паспорт фин осв ввод утв'!C36</f>
        <v>0</v>
      </c>
      <c r="D36" s="244">
        <f>'6.2. Паспорт фин осв ввод утв'!D36</f>
        <v>0</v>
      </c>
      <c r="E36" s="244">
        <f t="shared" si="5"/>
        <v>0</v>
      </c>
      <c r="F36" s="244">
        <f t="shared" si="6"/>
        <v>0</v>
      </c>
      <c r="G36" s="244">
        <v>0</v>
      </c>
      <c r="H36" s="244">
        <v>0</v>
      </c>
      <c r="I36" s="247">
        <v>0</v>
      </c>
      <c r="J36" s="250">
        <f t="shared" si="7"/>
        <v>0</v>
      </c>
      <c r="K36" s="247">
        <v>0</v>
      </c>
      <c r="L36" s="244">
        <f t="shared" si="11"/>
        <v>0</v>
      </c>
      <c r="M36" s="247">
        <v>0</v>
      </c>
      <c r="N36" s="250">
        <f t="shared" si="8"/>
        <v>0</v>
      </c>
      <c r="O36" s="247">
        <v>0</v>
      </c>
      <c r="P36" s="244">
        <f t="shared" si="12"/>
        <v>0</v>
      </c>
      <c r="Q36" s="247">
        <v>0</v>
      </c>
      <c r="R36" s="244">
        <v>0</v>
      </c>
      <c r="S36" s="247">
        <v>0</v>
      </c>
      <c r="T36" s="244">
        <v>0</v>
      </c>
      <c r="U36" s="247">
        <v>0</v>
      </c>
      <c r="V36" s="244">
        <v>0</v>
      </c>
      <c r="W36" s="247">
        <v>0</v>
      </c>
      <c r="X36" s="247">
        <v>0</v>
      </c>
      <c r="Y36" s="247">
        <v>0</v>
      </c>
      <c r="Z36" s="244">
        <v>0</v>
      </c>
      <c r="AA36" s="247">
        <v>0</v>
      </c>
      <c r="AB36" s="244">
        <f t="shared" si="9"/>
        <v>0</v>
      </c>
      <c r="AC36" s="255">
        <f t="shared" si="10"/>
        <v>0</v>
      </c>
    </row>
    <row r="37" spans="1:29" x14ac:dyDescent="0.25">
      <c r="A37" s="245" t="s">
        <v>155</v>
      </c>
      <c r="B37" s="249" t="s">
        <v>145</v>
      </c>
      <c r="C37" s="244">
        <f>'6.2. Паспорт фин осв ввод утв'!C37</f>
        <v>0</v>
      </c>
      <c r="D37" s="244">
        <f>'6.2. Паспорт фин осв ввод утв'!D37</f>
        <v>0</v>
      </c>
      <c r="E37" s="244">
        <f t="shared" si="5"/>
        <v>0</v>
      </c>
      <c r="F37" s="244">
        <f t="shared" si="6"/>
        <v>0</v>
      </c>
      <c r="G37" s="244">
        <v>0</v>
      </c>
      <c r="H37" s="244">
        <v>0</v>
      </c>
      <c r="I37" s="247">
        <v>0</v>
      </c>
      <c r="J37" s="250">
        <f t="shared" si="7"/>
        <v>0</v>
      </c>
      <c r="K37" s="247">
        <v>0</v>
      </c>
      <c r="L37" s="244">
        <f t="shared" si="11"/>
        <v>0</v>
      </c>
      <c r="M37" s="247">
        <v>0</v>
      </c>
      <c r="N37" s="250">
        <f t="shared" si="8"/>
        <v>0</v>
      </c>
      <c r="O37" s="247">
        <v>0</v>
      </c>
      <c r="P37" s="244">
        <f t="shared" si="12"/>
        <v>0</v>
      </c>
      <c r="Q37" s="247">
        <v>0</v>
      </c>
      <c r="R37" s="244">
        <v>0</v>
      </c>
      <c r="S37" s="247">
        <v>0</v>
      </c>
      <c r="T37" s="244">
        <v>0</v>
      </c>
      <c r="U37" s="247">
        <v>0</v>
      </c>
      <c r="V37" s="244">
        <v>0</v>
      </c>
      <c r="W37" s="247">
        <v>0</v>
      </c>
      <c r="X37" s="247">
        <v>0</v>
      </c>
      <c r="Y37" s="247">
        <v>0</v>
      </c>
      <c r="Z37" s="244">
        <v>0</v>
      </c>
      <c r="AA37" s="247">
        <v>0</v>
      </c>
      <c r="AB37" s="244">
        <f t="shared" si="9"/>
        <v>0</v>
      </c>
      <c r="AC37" s="255">
        <f t="shared" si="10"/>
        <v>0</v>
      </c>
    </row>
    <row r="38" spans="1:29" x14ac:dyDescent="0.25">
      <c r="A38" s="245" t="s">
        <v>154</v>
      </c>
      <c r="B38" s="249" t="s">
        <v>143</v>
      </c>
      <c r="C38" s="244">
        <f>'6.2. Паспорт фин осв ввод утв'!C38</f>
        <v>0</v>
      </c>
      <c r="D38" s="244">
        <f>'6.2. Паспорт фин осв ввод утв'!D38</f>
        <v>0</v>
      </c>
      <c r="E38" s="244">
        <f t="shared" si="5"/>
        <v>0</v>
      </c>
      <c r="F38" s="244">
        <f t="shared" si="6"/>
        <v>0</v>
      </c>
      <c r="G38" s="244">
        <v>0</v>
      </c>
      <c r="H38" s="244">
        <v>0</v>
      </c>
      <c r="I38" s="247">
        <v>0</v>
      </c>
      <c r="J38" s="250">
        <f t="shared" si="7"/>
        <v>0</v>
      </c>
      <c r="K38" s="247">
        <v>0</v>
      </c>
      <c r="L38" s="244">
        <f t="shared" si="11"/>
        <v>0</v>
      </c>
      <c r="M38" s="247">
        <v>0</v>
      </c>
      <c r="N38" s="250">
        <f t="shared" si="8"/>
        <v>0</v>
      </c>
      <c r="O38" s="247">
        <v>0</v>
      </c>
      <c r="P38" s="244">
        <f t="shared" si="12"/>
        <v>0</v>
      </c>
      <c r="Q38" s="247">
        <v>0</v>
      </c>
      <c r="R38" s="244">
        <v>0</v>
      </c>
      <c r="S38" s="247">
        <v>0</v>
      </c>
      <c r="T38" s="244">
        <v>0</v>
      </c>
      <c r="U38" s="247">
        <v>0</v>
      </c>
      <c r="V38" s="244">
        <v>0</v>
      </c>
      <c r="W38" s="247">
        <v>0</v>
      </c>
      <c r="X38" s="247">
        <v>0</v>
      </c>
      <c r="Y38" s="247">
        <v>0</v>
      </c>
      <c r="Z38" s="244">
        <v>0</v>
      </c>
      <c r="AA38" s="247">
        <v>0</v>
      </c>
      <c r="AB38" s="244">
        <f t="shared" si="9"/>
        <v>0</v>
      </c>
      <c r="AC38" s="255">
        <f t="shared" si="10"/>
        <v>0</v>
      </c>
    </row>
    <row r="39" spans="1:29" ht="31.5" x14ac:dyDescent="0.25">
      <c r="A39" s="245" t="s">
        <v>153</v>
      </c>
      <c r="B39" s="246" t="s">
        <v>141</v>
      </c>
      <c r="C39" s="244">
        <f>'6.2. Паспорт фин осв ввод утв'!C39</f>
        <v>0</v>
      </c>
      <c r="D39" s="244">
        <f>'6.2. Паспорт фин осв ввод утв'!D39</f>
        <v>0</v>
      </c>
      <c r="E39" s="244">
        <f t="shared" si="5"/>
        <v>0</v>
      </c>
      <c r="F39" s="244">
        <f t="shared" si="6"/>
        <v>0</v>
      </c>
      <c r="G39" s="244">
        <v>0</v>
      </c>
      <c r="H39" s="244">
        <v>0</v>
      </c>
      <c r="I39" s="247">
        <v>0</v>
      </c>
      <c r="J39" s="247">
        <f t="shared" si="7"/>
        <v>0</v>
      </c>
      <c r="K39" s="247">
        <v>0</v>
      </c>
      <c r="L39" s="244">
        <f t="shared" si="11"/>
        <v>0</v>
      </c>
      <c r="M39" s="247">
        <v>0</v>
      </c>
      <c r="N39" s="247">
        <f t="shared" si="8"/>
        <v>0</v>
      </c>
      <c r="O39" s="247">
        <v>0</v>
      </c>
      <c r="P39" s="244">
        <f t="shared" si="12"/>
        <v>0</v>
      </c>
      <c r="Q39" s="247">
        <v>0</v>
      </c>
      <c r="R39" s="244">
        <v>0</v>
      </c>
      <c r="S39" s="247">
        <v>0</v>
      </c>
      <c r="T39" s="244">
        <v>0</v>
      </c>
      <c r="U39" s="247">
        <v>0</v>
      </c>
      <c r="V39" s="244">
        <v>0</v>
      </c>
      <c r="W39" s="247">
        <v>0</v>
      </c>
      <c r="X39" s="247">
        <v>0</v>
      </c>
      <c r="Y39" s="247">
        <v>0</v>
      </c>
      <c r="Z39" s="244">
        <v>0</v>
      </c>
      <c r="AA39" s="247">
        <v>0</v>
      </c>
      <c r="AB39" s="244">
        <f t="shared" si="9"/>
        <v>0</v>
      </c>
      <c r="AC39" s="255">
        <f t="shared" si="10"/>
        <v>0</v>
      </c>
    </row>
    <row r="40" spans="1:29" ht="31.5" x14ac:dyDescent="0.25">
      <c r="A40" s="245" t="s">
        <v>152</v>
      </c>
      <c r="B40" s="246" t="s">
        <v>139</v>
      </c>
      <c r="C40" s="244">
        <f>'6.2. Паспорт фин осв ввод утв'!C40</f>
        <v>0</v>
      </c>
      <c r="D40" s="244">
        <f>'6.2. Паспорт фин осв ввод утв'!D40</f>
        <v>0</v>
      </c>
      <c r="E40" s="244">
        <f t="shared" si="5"/>
        <v>0</v>
      </c>
      <c r="F40" s="244">
        <f t="shared" si="6"/>
        <v>0</v>
      </c>
      <c r="G40" s="244">
        <v>0</v>
      </c>
      <c r="H40" s="244">
        <v>0</v>
      </c>
      <c r="I40" s="247">
        <v>0</v>
      </c>
      <c r="J40" s="247">
        <f t="shared" si="7"/>
        <v>0</v>
      </c>
      <c r="K40" s="247">
        <v>0</v>
      </c>
      <c r="L40" s="244">
        <f t="shared" si="11"/>
        <v>0</v>
      </c>
      <c r="M40" s="247">
        <v>0</v>
      </c>
      <c r="N40" s="247">
        <f t="shared" si="8"/>
        <v>0</v>
      </c>
      <c r="O40" s="247">
        <v>0</v>
      </c>
      <c r="P40" s="244">
        <f t="shared" si="12"/>
        <v>0</v>
      </c>
      <c r="Q40" s="247">
        <v>0</v>
      </c>
      <c r="R40" s="244">
        <v>0</v>
      </c>
      <c r="S40" s="247">
        <v>0</v>
      </c>
      <c r="T40" s="244">
        <v>0</v>
      </c>
      <c r="U40" s="247">
        <v>0</v>
      </c>
      <c r="V40" s="244">
        <v>0</v>
      </c>
      <c r="W40" s="247">
        <v>0</v>
      </c>
      <c r="X40" s="247">
        <v>0</v>
      </c>
      <c r="Y40" s="247">
        <v>0</v>
      </c>
      <c r="Z40" s="244">
        <v>0</v>
      </c>
      <c r="AA40" s="247">
        <v>0</v>
      </c>
      <c r="AB40" s="244">
        <f t="shared" si="9"/>
        <v>0</v>
      </c>
      <c r="AC40" s="255">
        <f t="shared" si="10"/>
        <v>0</v>
      </c>
    </row>
    <row r="41" spans="1:29" x14ac:dyDescent="0.25">
      <c r="A41" s="245" t="s">
        <v>151</v>
      </c>
      <c r="B41" s="246" t="s">
        <v>137</v>
      </c>
      <c r="C41" s="244">
        <v>0.6</v>
      </c>
      <c r="D41" s="244">
        <v>0.6</v>
      </c>
      <c r="E41" s="244">
        <f t="shared" si="5"/>
        <v>0.6</v>
      </c>
      <c r="F41" s="244">
        <f t="shared" si="6"/>
        <v>0.6</v>
      </c>
      <c r="G41" s="244">
        <v>0</v>
      </c>
      <c r="H41" s="244">
        <v>0</v>
      </c>
      <c r="I41" s="247">
        <v>0</v>
      </c>
      <c r="J41" s="247">
        <f t="shared" si="7"/>
        <v>0</v>
      </c>
      <c r="K41" s="247">
        <v>0</v>
      </c>
      <c r="L41" s="244">
        <v>0</v>
      </c>
      <c r="M41" s="247">
        <v>0</v>
      </c>
      <c r="N41" s="247">
        <v>0</v>
      </c>
      <c r="O41" s="247">
        <v>0</v>
      </c>
      <c r="P41" s="244">
        <f t="shared" si="12"/>
        <v>0.6</v>
      </c>
      <c r="Q41" s="247">
        <v>0</v>
      </c>
      <c r="R41" s="244">
        <v>0</v>
      </c>
      <c r="S41" s="247">
        <v>0</v>
      </c>
      <c r="T41" s="244">
        <v>0</v>
      </c>
      <c r="U41" s="247">
        <v>0</v>
      </c>
      <c r="V41" s="244">
        <v>0.6</v>
      </c>
      <c r="W41" s="247">
        <v>0</v>
      </c>
      <c r="X41" s="247">
        <v>0</v>
      </c>
      <c r="Y41" s="247">
        <v>0</v>
      </c>
      <c r="Z41" s="244">
        <v>0</v>
      </c>
      <c r="AA41" s="247">
        <v>0</v>
      </c>
      <c r="AB41" s="244">
        <f t="shared" si="9"/>
        <v>0.6</v>
      </c>
      <c r="AC41" s="255">
        <f t="shared" si="10"/>
        <v>0.6</v>
      </c>
    </row>
    <row r="42" spans="1:29" ht="18.75" x14ac:dyDescent="0.25">
      <c r="A42" s="245" t="s">
        <v>150</v>
      </c>
      <c r="B42" s="249" t="s">
        <v>567</v>
      </c>
      <c r="C42" s="244">
        <f>'6.2. Паспорт фин осв ввод утв'!C42</f>
        <v>0</v>
      </c>
      <c r="D42" s="244">
        <f>'6.2. Паспорт фин осв ввод утв'!D42</f>
        <v>0</v>
      </c>
      <c r="E42" s="244">
        <f t="shared" si="5"/>
        <v>0</v>
      </c>
      <c r="F42" s="244">
        <f t="shared" si="6"/>
        <v>0</v>
      </c>
      <c r="G42" s="244">
        <v>0</v>
      </c>
      <c r="H42" s="244">
        <v>0</v>
      </c>
      <c r="I42" s="247">
        <v>0</v>
      </c>
      <c r="J42" s="250">
        <f t="shared" si="7"/>
        <v>0</v>
      </c>
      <c r="K42" s="247">
        <v>0</v>
      </c>
      <c r="L42" s="244">
        <f t="shared" ref="L42:L48" si="13">C42</f>
        <v>0</v>
      </c>
      <c r="M42" s="247">
        <v>0</v>
      </c>
      <c r="N42" s="250">
        <f t="shared" si="8"/>
        <v>0</v>
      </c>
      <c r="O42" s="247">
        <v>0</v>
      </c>
      <c r="P42" s="244">
        <f t="shared" si="12"/>
        <v>0</v>
      </c>
      <c r="Q42" s="247">
        <v>0</v>
      </c>
      <c r="R42" s="244">
        <v>0</v>
      </c>
      <c r="S42" s="247">
        <v>0</v>
      </c>
      <c r="T42" s="244">
        <v>0</v>
      </c>
      <c r="U42" s="247">
        <v>0</v>
      </c>
      <c r="V42" s="244">
        <v>0</v>
      </c>
      <c r="W42" s="247">
        <v>0</v>
      </c>
      <c r="X42" s="247">
        <v>0</v>
      </c>
      <c r="Y42" s="247">
        <v>0</v>
      </c>
      <c r="Z42" s="244">
        <v>0</v>
      </c>
      <c r="AA42" s="247">
        <v>0</v>
      </c>
      <c r="AB42" s="244">
        <f t="shared" si="9"/>
        <v>0</v>
      </c>
      <c r="AC42" s="255">
        <f t="shared" si="10"/>
        <v>0</v>
      </c>
    </row>
    <row r="43" spans="1:29" s="372" customFormat="1" x14ac:dyDescent="0.25">
      <c r="A43" s="242" t="s">
        <v>58</v>
      </c>
      <c r="B43" s="243" t="s">
        <v>149</v>
      </c>
      <c r="C43" s="244">
        <f>'6.2. Паспорт фин осв ввод утв'!C43</f>
        <v>0</v>
      </c>
      <c r="D43" s="244">
        <f>'6.2. Паспорт фин осв ввод утв'!D43</f>
        <v>0</v>
      </c>
      <c r="E43" s="244">
        <f t="shared" si="5"/>
        <v>0</v>
      </c>
      <c r="F43" s="244">
        <f t="shared" si="6"/>
        <v>0</v>
      </c>
      <c r="G43" s="244">
        <v>0</v>
      </c>
      <c r="H43" s="244">
        <v>0</v>
      </c>
      <c r="I43" s="244">
        <v>0</v>
      </c>
      <c r="J43" s="244">
        <f t="shared" si="7"/>
        <v>0</v>
      </c>
      <c r="K43" s="244">
        <v>0</v>
      </c>
      <c r="L43" s="244">
        <f t="shared" si="13"/>
        <v>0</v>
      </c>
      <c r="M43" s="244">
        <v>0</v>
      </c>
      <c r="N43" s="244">
        <f t="shared" si="8"/>
        <v>0</v>
      </c>
      <c r="O43" s="244">
        <v>0</v>
      </c>
      <c r="P43" s="244">
        <f t="shared" si="12"/>
        <v>0</v>
      </c>
      <c r="Q43" s="244">
        <v>0</v>
      </c>
      <c r="R43" s="244">
        <v>0</v>
      </c>
      <c r="S43" s="244">
        <v>0</v>
      </c>
      <c r="T43" s="244">
        <v>0</v>
      </c>
      <c r="U43" s="244">
        <v>0</v>
      </c>
      <c r="V43" s="244">
        <v>0</v>
      </c>
      <c r="W43" s="244">
        <v>0</v>
      </c>
      <c r="X43" s="244">
        <v>0</v>
      </c>
      <c r="Y43" s="244">
        <v>0</v>
      </c>
      <c r="Z43" s="244">
        <v>0</v>
      </c>
      <c r="AA43" s="244">
        <v>0</v>
      </c>
      <c r="AB43" s="244">
        <f t="shared" si="9"/>
        <v>0</v>
      </c>
      <c r="AC43" s="255">
        <f t="shared" si="10"/>
        <v>0</v>
      </c>
    </row>
    <row r="44" spans="1:29" x14ac:dyDescent="0.25">
      <c r="A44" s="245" t="s">
        <v>148</v>
      </c>
      <c r="B44" s="246" t="s">
        <v>147</v>
      </c>
      <c r="C44" s="244">
        <f>'6.2. Паспорт фин осв ввод утв'!C44</f>
        <v>0</v>
      </c>
      <c r="D44" s="244">
        <f>'6.2. Паспорт фин осв ввод утв'!D44</f>
        <v>0</v>
      </c>
      <c r="E44" s="244">
        <f t="shared" si="5"/>
        <v>0</v>
      </c>
      <c r="F44" s="244">
        <f t="shared" si="6"/>
        <v>0</v>
      </c>
      <c r="G44" s="244">
        <v>0</v>
      </c>
      <c r="H44" s="244">
        <v>0</v>
      </c>
      <c r="I44" s="247">
        <v>0</v>
      </c>
      <c r="J44" s="247">
        <f t="shared" si="7"/>
        <v>0</v>
      </c>
      <c r="K44" s="247">
        <v>0</v>
      </c>
      <c r="L44" s="244">
        <f t="shared" si="13"/>
        <v>0</v>
      </c>
      <c r="M44" s="247">
        <v>0</v>
      </c>
      <c r="N44" s="247">
        <f t="shared" si="8"/>
        <v>0</v>
      </c>
      <c r="O44" s="247">
        <v>0</v>
      </c>
      <c r="P44" s="244">
        <f t="shared" si="12"/>
        <v>0</v>
      </c>
      <c r="Q44" s="247">
        <v>0</v>
      </c>
      <c r="R44" s="244">
        <v>0</v>
      </c>
      <c r="S44" s="247">
        <v>0</v>
      </c>
      <c r="T44" s="244">
        <v>0</v>
      </c>
      <c r="U44" s="247">
        <v>0</v>
      </c>
      <c r="V44" s="244">
        <v>0</v>
      </c>
      <c r="W44" s="247">
        <v>0</v>
      </c>
      <c r="X44" s="247">
        <v>0</v>
      </c>
      <c r="Y44" s="247">
        <v>0</v>
      </c>
      <c r="Z44" s="244">
        <v>0</v>
      </c>
      <c r="AA44" s="247">
        <v>0</v>
      </c>
      <c r="AB44" s="244">
        <f t="shared" si="9"/>
        <v>0</v>
      </c>
      <c r="AC44" s="255">
        <f t="shared" si="10"/>
        <v>0</v>
      </c>
    </row>
    <row r="45" spans="1:29" x14ac:dyDescent="0.25">
      <c r="A45" s="245" t="s">
        <v>146</v>
      </c>
      <c r="B45" s="246" t="s">
        <v>145</v>
      </c>
      <c r="C45" s="244">
        <f>'6.2. Паспорт фин осв ввод утв'!C45</f>
        <v>0</v>
      </c>
      <c r="D45" s="244">
        <f>'6.2. Паспорт фин осв ввод утв'!D45</f>
        <v>0</v>
      </c>
      <c r="E45" s="244">
        <f t="shared" si="5"/>
        <v>0</v>
      </c>
      <c r="F45" s="244">
        <f t="shared" si="6"/>
        <v>0</v>
      </c>
      <c r="G45" s="244">
        <v>0</v>
      </c>
      <c r="H45" s="244">
        <v>0</v>
      </c>
      <c r="I45" s="247">
        <v>0</v>
      </c>
      <c r="J45" s="247">
        <f t="shared" si="7"/>
        <v>0</v>
      </c>
      <c r="K45" s="247">
        <v>0</v>
      </c>
      <c r="L45" s="244">
        <f t="shared" si="13"/>
        <v>0</v>
      </c>
      <c r="M45" s="247">
        <v>0</v>
      </c>
      <c r="N45" s="247">
        <f t="shared" si="8"/>
        <v>0</v>
      </c>
      <c r="O45" s="247">
        <v>0</v>
      </c>
      <c r="P45" s="244">
        <f t="shared" si="12"/>
        <v>0</v>
      </c>
      <c r="Q45" s="247">
        <v>0</v>
      </c>
      <c r="R45" s="244">
        <v>0</v>
      </c>
      <c r="S45" s="247">
        <v>0</v>
      </c>
      <c r="T45" s="244">
        <v>0</v>
      </c>
      <c r="U45" s="247">
        <v>0</v>
      </c>
      <c r="V45" s="244">
        <v>0</v>
      </c>
      <c r="W45" s="247">
        <v>0</v>
      </c>
      <c r="X45" s="247">
        <v>0</v>
      </c>
      <c r="Y45" s="247">
        <v>0</v>
      </c>
      <c r="Z45" s="244">
        <v>0</v>
      </c>
      <c r="AA45" s="247">
        <v>0</v>
      </c>
      <c r="AB45" s="244">
        <f t="shared" si="9"/>
        <v>0</v>
      </c>
      <c r="AC45" s="255">
        <f t="shared" si="10"/>
        <v>0</v>
      </c>
    </row>
    <row r="46" spans="1:29" x14ac:dyDescent="0.25">
      <c r="A46" s="245" t="s">
        <v>144</v>
      </c>
      <c r="B46" s="246" t="s">
        <v>143</v>
      </c>
      <c r="C46" s="244">
        <f>'6.2. Паспорт фин осв ввод утв'!C46</f>
        <v>0</v>
      </c>
      <c r="D46" s="244">
        <f>'6.2. Паспорт фин осв ввод утв'!D46</f>
        <v>0</v>
      </c>
      <c r="E46" s="244">
        <f t="shared" si="5"/>
        <v>0</v>
      </c>
      <c r="F46" s="244">
        <f t="shared" si="6"/>
        <v>0</v>
      </c>
      <c r="G46" s="244">
        <v>0</v>
      </c>
      <c r="H46" s="244">
        <v>0</v>
      </c>
      <c r="I46" s="247">
        <v>0</v>
      </c>
      <c r="J46" s="247">
        <f t="shared" si="7"/>
        <v>0</v>
      </c>
      <c r="K46" s="247">
        <v>0</v>
      </c>
      <c r="L46" s="244">
        <f t="shared" si="13"/>
        <v>0</v>
      </c>
      <c r="M46" s="247">
        <v>0</v>
      </c>
      <c r="N46" s="247">
        <f t="shared" si="8"/>
        <v>0</v>
      </c>
      <c r="O46" s="247">
        <v>0</v>
      </c>
      <c r="P46" s="244">
        <f t="shared" si="12"/>
        <v>0</v>
      </c>
      <c r="Q46" s="247">
        <v>0</v>
      </c>
      <c r="R46" s="244">
        <v>0</v>
      </c>
      <c r="S46" s="247">
        <v>0</v>
      </c>
      <c r="T46" s="244">
        <v>0</v>
      </c>
      <c r="U46" s="247">
        <v>0</v>
      </c>
      <c r="V46" s="244">
        <v>0</v>
      </c>
      <c r="W46" s="247">
        <v>0</v>
      </c>
      <c r="X46" s="247">
        <v>0</v>
      </c>
      <c r="Y46" s="247">
        <v>0</v>
      </c>
      <c r="Z46" s="244">
        <v>0</v>
      </c>
      <c r="AA46" s="247">
        <v>0</v>
      </c>
      <c r="AB46" s="244">
        <f t="shared" si="9"/>
        <v>0</v>
      </c>
      <c r="AC46" s="255">
        <f t="shared" si="10"/>
        <v>0</v>
      </c>
    </row>
    <row r="47" spans="1:29" ht="31.5" x14ac:dyDescent="0.25">
      <c r="A47" s="245" t="s">
        <v>142</v>
      </c>
      <c r="B47" s="246" t="s">
        <v>141</v>
      </c>
      <c r="C47" s="244">
        <f>'6.2. Паспорт фин осв ввод утв'!C47</f>
        <v>0</v>
      </c>
      <c r="D47" s="244">
        <f>'6.2. Паспорт фин осв ввод утв'!D47</f>
        <v>0</v>
      </c>
      <c r="E47" s="244">
        <f t="shared" si="5"/>
        <v>0</v>
      </c>
      <c r="F47" s="244">
        <f t="shared" si="6"/>
        <v>0</v>
      </c>
      <c r="G47" s="244">
        <v>0</v>
      </c>
      <c r="H47" s="244">
        <v>0</v>
      </c>
      <c r="I47" s="247">
        <v>0</v>
      </c>
      <c r="J47" s="247">
        <f t="shared" si="7"/>
        <v>0</v>
      </c>
      <c r="K47" s="247">
        <v>0</v>
      </c>
      <c r="L47" s="244">
        <f t="shared" si="13"/>
        <v>0</v>
      </c>
      <c r="M47" s="247">
        <v>0</v>
      </c>
      <c r="N47" s="247">
        <f t="shared" si="8"/>
        <v>0</v>
      </c>
      <c r="O47" s="247">
        <v>0</v>
      </c>
      <c r="P47" s="244">
        <f t="shared" si="12"/>
        <v>0</v>
      </c>
      <c r="Q47" s="247">
        <v>0</v>
      </c>
      <c r="R47" s="244">
        <v>0</v>
      </c>
      <c r="S47" s="247">
        <v>0</v>
      </c>
      <c r="T47" s="244">
        <v>0</v>
      </c>
      <c r="U47" s="247">
        <v>0</v>
      </c>
      <c r="V47" s="244">
        <v>0</v>
      </c>
      <c r="W47" s="247">
        <v>0</v>
      </c>
      <c r="X47" s="247">
        <v>0</v>
      </c>
      <c r="Y47" s="247">
        <v>0</v>
      </c>
      <c r="Z47" s="244">
        <v>0</v>
      </c>
      <c r="AA47" s="247">
        <v>0</v>
      </c>
      <c r="AB47" s="244">
        <f t="shared" si="9"/>
        <v>0</v>
      </c>
      <c r="AC47" s="255">
        <f t="shared" si="10"/>
        <v>0</v>
      </c>
    </row>
    <row r="48" spans="1:29" ht="31.5" x14ac:dyDescent="0.25">
      <c r="A48" s="245" t="s">
        <v>140</v>
      </c>
      <c r="B48" s="246" t="s">
        <v>139</v>
      </c>
      <c r="C48" s="244">
        <f>'6.2. Паспорт фин осв ввод утв'!C48</f>
        <v>0</v>
      </c>
      <c r="D48" s="244">
        <f>'6.2. Паспорт фин осв ввод утв'!D48</f>
        <v>0</v>
      </c>
      <c r="E48" s="244">
        <f t="shared" si="5"/>
        <v>0</v>
      </c>
      <c r="F48" s="244">
        <f t="shared" si="6"/>
        <v>0</v>
      </c>
      <c r="G48" s="244">
        <v>0</v>
      </c>
      <c r="H48" s="244">
        <v>0</v>
      </c>
      <c r="I48" s="247">
        <v>0</v>
      </c>
      <c r="J48" s="247">
        <f t="shared" si="7"/>
        <v>0</v>
      </c>
      <c r="K48" s="247">
        <v>0</v>
      </c>
      <c r="L48" s="244">
        <f t="shared" si="13"/>
        <v>0</v>
      </c>
      <c r="M48" s="247">
        <v>0</v>
      </c>
      <c r="N48" s="247">
        <f t="shared" si="8"/>
        <v>0</v>
      </c>
      <c r="O48" s="247">
        <v>0</v>
      </c>
      <c r="P48" s="244">
        <f t="shared" si="12"/>
        <v>0</v>
      </c>
      <c r="Q48" s="247">
        <v>0</v>
      </c>
      <c r="R48" s="244">
        <v>0</v>
      </c>
      <c r="S48" s="247">
        <v>0</v>
      </c>
      <c r="T48" s="244">
        <v>0</v>
      </c>
      <c r="U48" s="247">
        <v>0</v>
      </c>
      <c r="V48" s="244">
        <v>0</v>
      </c>
      <c r="W48" s="247">
        <v>0</v>
      </c>
      <c r="X48" s="247">
        <v>0</v>
      </c>
      <c r="Y48" s="247">
        <v>0</v>
      </c>
      <c r="Z48" s="244">
        <v>0</v>
      </c>
      <c r="AA48" s="247">
        <v>0</v>
      </c>
      <c r="AB48" s="244">
        <f t="shared" si="9"/>
        <v>0</v>
      </c>
      <c r="AC48" s="255">
        <f t="shared" si="10"/>
        <v>0</v>
      </c>
    </row>
    <row r="49" spans="1:29" x14ac:dyDescent="0.25">
      <c r="A49" s="245" t="s">
        <v>138</v>
      </c>
      <c r="B49" s="246" t="s">
        <v>137</v>
      </c>
      <c r="C49" s="244">
        <f>C41</f>
        <v>0.6</v>
      </c>
      <c r="D49" s="244">
        <f>D41</f>
        <v>0.6</v>
      </c>
      <c r="E49" s="244">
        <f t="shared" si="5"/>
        <v>0.6</v>
      </c>
      <c r="F49" s="244">
        <f t="shared" si="6"/>
        <v>0.6</v>
      </c>
      <c r="G49" s="244">
        <v>0</v>
      </c>
      <c r="H49" s="244">
        <v>0</v>
      </c>
      <c r="I49" s="247">
        <v>0</v>
      </c>
      <c r="J49" s="247">
        <f t="shared" si="7"/>
        <v>0</v>
      </c>
      <c r="K49" s="247">
        <v>0</v>
      </c>
      <c r="L49" s="244">
        <v>0</v>
      </c>
      <c r="M49" s="247">
        <v>0</v>
      </c>
      <c r="N49" s="247">
        <f t="shared" si="8"/>
        <v>0</v>
      </c>
      <c r="O49" s="247">
        <v>0</v>
      </c>
      <c r="P49" s="244">
        <f t="shared" si="12"/>
        <v>0.6</v>
      </c>
      <c r="Q49" s="247">
        <v>0</v>
      </c>
      <c r="R49" s="244">
        <v>0</v>
      </c>
      <c r="S49" s="247">
        <v>0</v>
      </c>
      <c r="T49" s="244">
        <v>0</v>
      </c>
      <c r="U49" s="247">
        <v>0</v>
      </c>
      <c r="V49" s="244">
        <v>0.6</v>
      </c>
      <c r="W49" s="247">
        <v>0</v>
      </c>
      <c r="X49" s="247">
        <v>0</v>
      </c>
      <c r="Y49" s="247">
        <v>0</v>
      </c>
      <c r="Z49" s="244">
        <v>0</v>
      </c>
      <c r="AA49" s="247">
        <v>0</v>
      </c>
      <c r="AB49" s="244">
        <f t="shared" si="9"/>
        <v>0.6</v>
      </c>
      <c r="AC49" s="255">
        <f t="shared" si="10"/>
        <v>0.6</v>
      </c>
    </row>
    <row r="50" spans="1:29" ht="18.75" x14ac:dyDescent="0.25">
      <c r="A50" s="245" t="s">
        <v>136</v>
      </c>
      <c r="B50" s="249" t="s">
        <v>567</v>
      </c>
      <c r="C50" s="244">
        <f>'6.2. Паспорт фин осв ввод утв'!C50</f>
        <v>0</v>
      </c>
      <c r="D50" s="244">
        <f>'6.2. Паспорт фин осв ввод утв'!D50</f>
        <v>0</v>
      </c>
      <c r="E50" s="244">
        <f t="shared" si="5"/>
        <v>0</v>
      </c>
      <c r="F50" s="244">
        <f t="shared" si="6"/>
        <v>0</v>
      </c>
      <c r="G50" s="244">
        <v>0</v>
      </c>
      <c r="H50" s="244">
        <v>0</v>
      </c>
      <c r="I50" s="247">
        <v>0</v>
      </c>
      <c r="J50" s="250">
        <f t="shared" si="7"/>
        <v>0</v>
      </c>
      <c r="K50" s="247">
        <v>0</v>
      </c>
      <c r="L50" s="244">
        <f>C50</f>
        <v>0</v>
      </c>
      <c r="M50" s="247">
        <v>0</v>
      </c>
      <c r="N50" s="250">
        <f t="shared" si="8"/>
        <v>0</v>
      </c>
      <c r="O50" s="247">
        <v>0</v>
      </c>
      <c r="P50" s="244">
        <f t="shared" si="12"/>
        <v>0</v>
      </c>
      <c r="Q50" s="247">
        <v>0</v>
      </c>
      <c r="R50" s="244">
        <v>0</v>
      </c>
      <c r="S50" s="247">
        <v>0</v>
      </c>
      <c r="T50" s="244">
        <v>0</v>
      </c>
      <c r="U50" s="247">
        <v>0</v>
      </c>
      <c r="V50" s="244">
        <v>0</v>
      </c>
      <c r="W50" s="247">
        <v>0</v>
      </c>
      <c r="X50" s="247">
        <v>0</v>
      </c>
      <c r="Y50" s="247">
        <v>0</v>
      </c>
      <c r="Z50" s="244">
        <v>0</v>
      </c>
      <c r="AA50" s="247">
        <v>0</v>
      </c>
      <c r="AB50" s="244">
        <f t="shared" si="9"/>
        <v>0</v>
      </c>
      <c r="AC50" s="255">
        <f t="shared" si="10"/>
        <v>0</v>
      </c>
    </row>
    <row r="51" spans="1:29" s="372" customFormat="1" ht="35.25" customHeight="1" x14ac:dyDescent="0.25">
      <c r="A51" s="242" t="s">
        <v>56</v>
      </c>
      <c r="B51" s="243" t="s">
        <v>134</v>
      </c>
      <c r="C51" s="244">
        <f>'6.2. Паспорт фин осв ввод утв'!C51</f>
        <v>0</v>
      </c>
      <c r="D51" s="244">
        <f>'6.2. Паспорт фин осв ввод утв'!D51</f>
        <v>0</v>
      </c>
      <c r="E51" s="244">
        <f t="shared" si="5"/>
        <v>0</v>
      </c>
      <c r="F51" s="244">
        <f t="shared" si="6"/>
        <v>0</v>
      </c>
      <c r="G51" s="244">
        <v>0</v>
      </c>
      <c r="H51" s="244">
        <v>0</v>
      </c>
      <c r="I51" s="244">
        <v>0</v>
      </c>
      <c r="J51" s="244">
        <f t="shared" si="7"/>
        <v>0</v>
      </c>
      <c r="K51" s="244">
        <v>0</v>
      </c>
      <c r="L51" s="244">
        <f>C51</f>
        <v>0</v>
      </c>
      <c r="M51" s="244">
        <v>0</v>
      </c>
      <c r="N51" s="244">
        <f t="shared" si="8"/>
        <v>0</v>
      </c>
      <c r="O51" s="244">
        <v>0</v>
      </c>
      <c r="P51" s="244">
        <f t="shared" si="12"/>
        <v>0</v>
      </c>
      <c r="Q51" s="244">
        <v>0</v>
      </c>
      <c r="R51" s="244">
        <v>0</v>
      </c>
      <c r="S51" s="244">
        <v>0</v>
      </c>
      <c r="T51" s="244">
        <v>0</v>
      </c>
      <c r="U51" s="244">
        <v>0</v>
      </c>
      <c r="V51" s="244">
        <v>0</v>
      </c>
      <c r="W51" s="244">
        <v>0</v>
      </c>
      <c r="X51" s="244">
        <v>0</v>
      </c>
      <c r="Y51" s="244">
        <v>0</v>
      </c>
      <c r="Z51" s="244">
        <v>0</v>
      </c>
      <c r="AA51" s="244">
        <v>0</v>
      </c>
      <c r="AB51" s="244">
        <f t="shared" si="9"/>
        <v>0</v>
      </c>
      <c r="AC51" s="255">
        <f t="shared" si="10"/>
        <v>0</v>
      </c>
    </row>
    <row r="52" spans="1:29" x14ac:dyDescent="0.25">
      <c r="A52" s="245" t="s">
        <v>133</v>
      </c>
      <c r="B52" s="246" t="s">
        <v>132</v>
      </c>
      <c r="C52" s="244">
        <f>C30</f>
        <v>3.2419077247254924</v>
      </c>
      <c r="D52" s="244">
        <f>D30</f>
        <v>3.2419077247254924</v>
      </c>
      <c r="E52" s="244">
        <f t="shared" si="5"/>
        <v>3.2419077247254924</v>
      </c>
      <c r="F52" s="244">
        <f t="shared" si="6"/>
        <v>3.2419077247254924</v>
      </c>
      <c r="G52" s="244">
        <v>0</v>
      </c>
      <c r="H52" s="244">
        <v>0</v>
      </c>
      <c r="I52" s="247">
        <v>0</v>
      </c>
      <c r="J52" s="247">
        <f t="shared" si="7"/>
        <v>0</v>
      </c>
      <c r="K52" s="247">
        <v>0</v>
      </c>
      <c r="L52" s="244">
        <v>0</v>
      </c>
      <c r="M52" s="247">
        <v>0</v>
      </c>
      <c r="N52" s="247">
        <v>0</v>
      </c>
      <c r="O52" s="247">
        <v>0</v>
      </c>
      <c r="P52" s="244">
        <f t="shared" si="12"/>
        <v>3.2419077247254924</v>
      </c>
      <c r="Q52" s="247">
        <v>0</v>
      </c>
      <c r="R52" s="244">
        <v>0</v>
      </c>
      <c r="S52" s="247">
        <v>0</v>
      </c>
      <c r="T52" s="244">
        <v>0</v>
      </c>
      <c r="U52" s="247">
        <v>0</v>
      </c>
      <c r="V52" s="244">
        <v>3.2419077247254924</v>
      </c>
      <c r="W52" s="247">
        <v>0</v>
      </c>
      <c r="X52" s="247">
        <v>0</v>
      </c>
      <c r="Y52" s="247">
        <v>0</v>
      </c>
      <c r="Z52" s="244">
        <v>0</v>
      </c>
      <c r="AA52" s="247">
        <v>0</v>
      </c>
      <c r="AB52" s="244">
        <f t="shared" si="9"/>
        <v>3.2419077247254924</v>
      </c>
      <c r="AC52" s="255">
        <f t="shared" si="10"/>
        <v>3.2419077247254924</v>
      </c>
    </row>
    <row r="53" spans="1:29" x14ac:dyDescent="0.25">
      <c r="A53" s="245" t="s">
        <v>131</v>
      </c>
      <c r="B53" s="246" t="s">
        <v>125</v>
      </c>
      <c r="C53" s="244">
        <f>'6.2. Паспорт фин осв ввод утв'!C53</f>
        <v>0</v>
      </c>
      <c r="D53" s="244">
        <f>'6.2. Паспорт фин осв ввод утв'!D53</f>
        <v>0</v>
      </c>
      <c r="E53" s="244">
        <f t="shared" si="5"/>
        <v>0</v>
      </c>
      <c r="F53" s="244">
        <f t="shared" si="6"/>
        <v>0</v>
      </c>
      <c r="G53" s="244">
        <v>0</v>
      </c>
      <c r="H53" s="244">
        <v>0</v>
      </c>
      <c r="I53" s="247">
        <v>0</v>
      </c>
      <c r="J53" s="247">
        <f t="shared" si="7"/>
        <v>0</v>
      </c>
      <c r="K53" s="247">
        <v>0</v>
      </c>
      <c r="L53" s="244">
        <f>C53</f>
        <v>0</v>
      </c>
      <c r="M53" s="247">
        <v>0</v>
      </c>
      <c r="N53" s="247">
        <f t="shared" si="8"/>
        <v>0</v>
      </c>
      <c r="O53" s="247">
        <v>0</v>
      </c>
      <c r="P53" s="244">
        <f t="shared" si="12"/>
        <v>0</v>
      </c>
      <c r="Q53" s="247">
        <v>0</v>
      </c>
      <c r="R53" s="244">
        <v>0</v>
      </c>
      <c r="S53" s="247">
        <v>0</v>
      </c>
      <c r="T53" s="244">
        <v>0</v>
      </c>
      <c r="U53" s="247">
        <v>0</v>
      </c>
      <c r="V53" s="244">
        <v>0</v>
      </c>
      <c r="W53" s="247">
        <v>0</v>
      </c>
      <c r="X53" s="247">
        <v>0</v>
      </c>
      <c r="Y53" s="247">
        <v>0</v>
      </c>
      <c r="Z53" s="244">
        <v>0</v>
      </c>
      <c r="AA53" s="247">
        <v>0</v>
      </c>
      <c r="AB53" s="244">
        <f t="shared" si="9"/>
        <v>0</v>
      </c>
      <c r="AC53" s="255">
        <f t="shared" si="10"/>
        <v>0</v>
      </c>
    </row>
    <row r="54" spans="1:29" x14ac:dyDescent="0.25">
      <c r="A54" s="245" t="s">
        <v>130</v>
      </c>
      <c r="B54" s="249" t="s">
        <v>124</v>
      </c>
      <c r="C54" s="244">
        <f>'6.2. Паспорт фин осв ввод утв'!C54</f>
        <v>0</v>
      </c>
      <c r="D54" s="244">
        <f>'6.2. Паспорт фин осв ввод утв'!D54</f>
        <v>0</v>
      </c>
      <c r="E54" s="244">
        <f t="shared" si="5"/>
        <v>0</v>
      </c>
      <c r="F54" s="244">
        <f t="shared" si="6"/>
        <v>0</v>
      </c>
      <c r="G54" s="244">
        <v>0</v>
      </c>
      <c r="H54" s="244">
        <v>0</v>
      </c>
      <c r="I54" s="247">
        <v>0</v>
      </c>
      <c r="J54" s="250">
        <f t="shared" si="7"/>
        <v>0</v>
      </c>
      <c r="K54" s="247">
        <v>0</v>
      </c>
      <c r="L54" s="244">
        <f>C54</f>
        <v>0</v>
      </c>
      <c r="M54" s="247">
        <v>0</v>
      </c>
      <c r="N54" s="250">
        <f t="shared" si="8"/>
        <v>0</v>
      </c>
      <c r="O54" s="247">
        <v>0</v>
      </c>
      <c r="P54" s="244">
        <f t="shared" si="12"/>
        <v>0</v>
      </c>
      <c r="Q54" s="247">
        <v>0</v>
      </c>
      <c r="R54" s="244">
        <v>0</v>
      </c>
      <c r="S54" s="247">
        <v>0</v>
      </c>
      <c r="T54" s="244">
        <v>0</v>
      </c>
      <c r="U54" s="247">
        <v>0</v>
      </c>
      <c r="V54" s="244">
        <v>0</v>
      </c>
      <c r="W54" s="247">
        <v>0</v>
      </c>
      <c r="X54" s="247">
        <v>0</v>
      </c>
      <c r="Y54" s="247">
        <v>0</v>
      </c>
      <c r="Z54" s="244">
        <v>0</v>
      </c>
      <c r="AA54" s="247">
        <v>0</v>
      </c>
      <c r="AB54" s="244">
        <f t="shared" si="9"/>
        <v>0</v>
      </c>
      <c r="AC54" s="255">
        <f t="shared" si="10"/>
        <v>0</v>
      </c>
    </row>
    <row r="55" spans="1:29" x14ac:dyDescent="0.25">
      <c r="A55" s="245" t="s">
        <v>129</v>
      </c>
      <c r="B55" s="249" t="s">
        <v>123</v>
      </c>
      <c r="C55" s="244">
        <f>'6.2. Паспорт фин осв ввод утв'!C55</f>
        <v>0</v>
      </c>
      <c r="D55" s="244">
        <f>'6.2. Паспорт фин осв ввод утв'!D55</f>
        <v>0</v>
      </c>
      <c r="E55" s="244">
        <f t="shared" si="5"/>
        <v>0</v>
      </c>
      <c r="F55" s="244">
        <f t="shared" si="6"/>
        <v>0</v>
      </c>
      <c r="G55" s="244">
        <v>0</v>
      </c>
      <c r="H55" s="244">
        <v>0</v>
      </c>
      <c r="I55" s="247">
        <v>0</v>
      </c>
      <c r="J55" s="250">
        <f t="shared" si="7"/>
        <v>0</v>
      </c>
      <c r="K55" s="247">
        <v>0</v>
      </c>
      <c r="L55" s="244">
        <f>C55</f>
        <v>0</v>
      </c>
      <c r="M55" s="247">
        <v>0</v>
      </c>
      <c r="N55" s="250">
        <f t="shared" si="8"/>
        <v>0</v>
      </c>
      <c r="O55" s="247">
        <v>0</v>
      </c>
      <c r="P55" s="244">
        <f t="shared" si="12"/>
        <v>0</v>
      </c>
      <c r="Q55" s="247">
        <v>0</v>
      </c>
      <c r="R55" s="244">
        <v>0</v>
      </c>
      <c r="S55" s="247">
        <v>0</v>
      </c>
      <c r="T55" s="244">
        <v>0</v>
      </c>
      <c r="U55" s="247">
        <v>0</v>
      </c>
      <c r="V55" s="244">
        <v>0</v>
      </c>
      <c r="W55" s="247">
        <v>0</v>
      </c>
      <c r="X55" s="247">
        <v>0</v>
      </c>
      <c r="Y55" s="247">
        <v>0</v>
      </c>
      <c r="Z55" s="244">
        <v>0</v>
      </c>
      <c r="AA55" s="247">
        <v>0</v>
      </c>
      <c r="AB55" s="244">
        <f t="shared" si="9"/>
        <v>0</v>
      </c>
      <c r="AC55" s="255">
        <f t="shared" si="10"/>
        <v>0</v>
      </c>
    </row>
    <row r="56" spans="1:29" x14ac:dyDescent="0.25">
      <c r="A56" s="245" t="s">
        <v>128</v>
      </c>
      <c r="B56" s="249" t="s">
        <v>122</v>
      </c>
      <c r="C56" s="244">
        <v>0.6</v>
      </c>
      <c r="D56" s="244">
        <v>0.6</v>
      </c>
      <c r="E56" s="244">
        <f t="shared" si="5"/>
        <v>0.6</v>
      </c>
      <c r="F56" s="244">
        <f t="shared" si="6"/>
        <v>0.6</v>
      </c>
      <c r="G56" s="244">
        <v>0</v>
      </c>
      <c r="H56" s="244">
        <v>0</v>
      </c>
      <c r="I56" s="247">
        <v>0</v>
      </c>
      <c r="J56" s="250">
        <f t="shared" si="7"/>
        <v>0</v>
      </c>
      <c r="K56" s="247">
        <v>0</v>
      </c>
      <c r="L56" s="244">
        <v>0</v>
      </c>
      <c r="M56" s="247">
        <v>0</v>
      </c>
      <c r="N56" s="250">
        <v>0</v>
      </c>
      <c r="O56" s="247">
        <v>0</v>
      </c>
      <c r="P56" s="244">
        <f t="shared" si="12"/>
        <v>0.6</v>
      </c>
      <c r="Q56" s="247">
        <v>0</v>
      </c>
      <c r="R56" s="244">
        <v>0</v>
      </c>
      <c r="S56" s="247">
        <v>0</v>
      </c>
      <c r="T56" s="244">
        <v>0</v>
      </c>
      <c r="U56" s="247">
        <v>0</v>
      </c>
      <c r="V56" s="244">
        <v>0.6</v>
      </c>
      <c r="W56" s="247">
        <v>0</v>
      </c>
      <c r="X56" s="247">
        <v>0</v>
      </c>
      <c r="Y56" s="247">
        <v>0</v>
      </c>
      <c r="Z56" s="244">
        <v>0</v>
      </c>
      <c r="AA56" s="247">
        <v>0</v>
      </c>
      <c r="AB56" s="244">
        <f t="shared" si="9"/>
        <v>0.6</v>
      </c>
      <c r="AC56" s="255">
        <f t="shared" si="10"/>
        <v>0.6</v>
      </c>
    </row>
    <row r="57" spans="1:29" ht="18.75" x14ac:dyDescent="0.25">
      <c r="A57" s="245" t="s">
        <v>127</v>
      </c>
      <c r="B57" s="249" t="s">
        <v>568</v>
      </c>
      <c r="C57" s="244">
        <f>'6.2. Паспорт фин осв ввод утв'!C57</f>
        <v>0</v>
      </c>
      <c r="D57" s="244">
        <f>'6.2. Паспорт фин осв ввод утв'!D57</f>
        <v>0</v>
      </c>
      <c r="E57" s="244">
        <f t="shared" si="5"/>
        <v>0</v>
      </c>
      <c r="F57" s="244">
        <f t="shared" si="6"/>
        <v>0</v>
      </c>
      <c r="G57" s="244">
        <v>0</v>
      </c>
      <c r="H57" s="244">
        <v>0</v>
      </c>
      <c r="I57" s="247">
        <v>0</v>
      </c>
      <c r="J57" s="250">
        <f t="shared" si="7"/>
        <v>0</v>
      </c>
      <c r="K57" s="247">
        <v>0</v>
      </c>
      <c r="L57" s="244">
        <f t="shared" ref="L57:L62" si="14">C57</f>
        <v>0</v>
      </c>
      <c r="M57" s="247">
        <v>0</v>
      </c>
      <c r="N57" s="250">
        <f t="shared" si="8"/>
        <v>0</v>
      </c>
      <c r="O57" s="247">
        <v>0</v>
      </c>
      <c r="P57" s="244">
        <f t="shared" si="12"/>
        <v>0</v>
      </c>
      <c r="Q57" s="247">
        <v>0</v>
      </c>
      <c r="R57" s="244">
        <v>0</v>
      </c>
      <c r="S57" s="247">
        <v>0</v>
      </c>
      <c r="T57" s="244">
        <v>0</v>
      </c>
      <c r="U57" s="247">
        <v>0</v>
      </c>
      <c r="V57" s="244">
        <v>0</v>
      </c>
      <c r="W57" s="247">
        <v>0</v>
      </c>
      <c r="X57" s="247">
        <v>0</v>
      </c>
      <c r="Y57" s="247">
        <v>0</v>
      </c>
      <c r="Z57" s="244">
        <v>0</v>
      </c>
      <c r="AA57" s="247">
        <v>0</v>
      </c>
      <c r="AB57" s="244">
        <f t="shared" si="9"/>
        <v>0</v>
      </c>
      <c r="AC57" s="255">
        <f t="shared" si="10"/>
        <v>0</v>
      </c>
    </row>
    <row r="58" spans="1:29" s="372" customFormat="1" ht="36.75" customHeight="1" x14ac:dyDescent="0.25">
      <c r="A58" s="242" t="s">
        <v>55</v>
      </c>
      <c r="B58" s="251" t="s">
        <v>225</v>
      </c>
      <c r="C58" s="244">
        <f>'6.2. Паспорт фин осв ввод утв'!C58</f>
        <v>0</v>
      </c>
      <c r="D58" s="244">
        <f>'6.2. Паспорт фин осв ввод утв'!D58</f>
        <v>0</v>
      </c>
      <c r="E58" s="244">
        <f t="shared" si="5"/>
        <v>0</v>
      </c>
      <c r="F58" s="244">
        <f t="shared" si="6"/>
        <v>0</v>
      </c>
      <c r="G58" s="244">
        <v>0</v>
      </c>
      <c r="H58" s="244">
        <v>0</v>
      </c>
      <c r="I58" s="244">
        <v>0</v>
      </c>
      <c r="J58" s="252">
        <f t="shared" si="7"/>
        <v>0</v>
      </c>
      <c r="K58" s="244">
        <v>0</v>
      </c>
      <c r="L58" s="244">
        <f t="shared" si="14"/>
        <v>0</v>
      </c>
      <c r="M58" s="244">
        <v>0</v>
      </c>
      <c r="N58" s="252">
        <f t="shared" si="8"/>
        <v>0</v>
      </c>
      <c r="O58" s="244">
        <v>0</v>
      </c>
      <c r="P58" s="244">
        <f t="shared" si="12"/>
        <v>0</v>
      </c>
      <c r="Q58" s="244">
        <v>0</v>
      </c>
      <c r="R58" s="244">
        <v>0</v>
      </c>
      <c r="S58" s="244">
        <v>0</v>
      </c>
      <c r="T58" s="244">
        <v>0</v>
      </c>
      <c r="U58" s="244">
        <v>0</v>
      </c>
      <c r="V58" s="244">
        <v>0</v>
      </c>
      <c r="W58" s="244">
        <v>0</v>
      </c>
      <c r="X58" s="244">
        <v>0</v>
      </c>
      <c r="Y58" s="244">
        <v>0</v>
      </c>
      <c r="Z58" s="244">
        <v>0</v>
      </c>
      <c r="AA58" s="244">
        <v>0</v>
      </c>
      <c r="AB58" s="244">
        <f t="shared" si="9"/>
        <v>0</v>
      </c>
      <c r="AC58" s="255">
        <f t="shared" si="10"/>
        <v>0</v>
      </c>
    </row>
    <row r="59" spans="1:29" s="372" customFormat="1" x14ac:dyDescent="0.25">
      <c r="A59" s="242" t="s">
        <v>53</v>
      </c>
      <c r="B59" s="243" t="s">
        <v>126</v>
      </c>
      <c r="C59" s="244">
        <f>'6.2. Паспорт фин осв ввод утв'!C59</f>
        <v>0</v>
      </c>
      <c r="D59" s="244">
        <f>'6.2. Паспорт фин осв ввод утв'!D59</f>
        <v>0</v>
      </c>
      <c r="E59" s="244">
        <f t="shared" si="5"/>
        <v>0</v>
      </c>
      <c r="F59" s="244">
        <f t="shared" si="6"/>
        <v>0</v>
      </c>
      <c r="G59" s="244">
        <v>0</v>
      </c>
      <c r="H59" s="244">
        <v>0</v>
      </c>
      <c r="I59" s="244">
        <v>0</v>
      </c>
      <c r="J59" s="244">
        <f t="shared" si="7"/>
        <v>0</v>
      </c>
      <c r="K59" s="244">
        <v>0</v>
      </c>
      <c r="L59" s="244">
        <f t="shared" si="14"/>
        <v>0</v>
      </c>
      <c r="M59" s="244">
        <v>0</v>
      </c>
      <c r="N59" s="244">
        <f t="shared" si="8"/>
        <v>0</v>
      </c>
      <c r="O59" s="244">
        <v>0</v>
      </c>
      <c r="P59" s="244">
        <f t="shared" si="12"/>
        <v>0</v>
      </c>
      <c r="Q59" s="244">
        <v>0</v>
      </c>
      <c r="R59" s="244">
        <v>0</v>
      </c>
      <c r="S59" s="244">
        <v>0</v>
      </c>
      <c r="T59" s="244">
        <v>0</v>
      </c>
      <c r="U59" s="244">
        <v>0</v>
      </c>
      <c r="V59" s="244">
        <v>0</v>
      </c>
      <c r="W59" s="244">
        <v>0</v>
      </c>
      <c r="X59" s="244">
        <v>0</v>
      </c>
      <c r="Y59" s="244">
        <v>0</v>
      </c>
      <c r="Z59" s="244">
        <v>0</v>
      </c>
      <c r="AA59" s="244">
        <v>0</v>
      </c>
      <c r="AB59" s="244">
        <f t="shared" si="9"/>
        <v>0</v>
      </c>
      <c r="AC59" s="255">
        <f t="shared" si="10"/>
        <v>0</v>
      </c>
    </row>
    <row r="60" spans="1:29" x14ac:dyDescent="0.25">
      <c r="A60" s="245" t="s">
        <v>219</v>
      </c>
      <c r="B60" s="253" t="s">
        <v>147</v>
      </c>
      <c r="C60" s="244">
        <f>'6.2. Паспорт фин осв ввод утв'!C60</f>
        <v>0</v>
      </c>
      <c r="D60" s="244">
        <f>'6.2. Паспорт фин осв ввод утв'!D60</f>
        <v>0</v>
      </c>
      <c r="E60" s="244">
        <f t="shared" si="5"/>
        <v>0</v>
      </c>
      <c r="F60" s="244">
        <f t="shared" si="6"/>
        <v>0</v>
      </c>
      <c r="G60" s="244">
        <v>0</v>
      </c>
      <c r="H60" s="244">
        <v>0</v>
      </c>
      <c r="I60" s="247">
        <v>0</v>
      </c>
      <c r="J60" s="254">
        <f t="shared" si="7"/>
        <v>0</v>
      </c>
      <c r="K60" s="247">
        <v>0</v>
      </c>
      <c r="L60" s="244">
        <f t="shared" si="14"/>
        <v>0</v>
      </c>
      <c r="M60" s="247">
        <v>0</v>
      </c>
      <c r="N60" s="254">
        <f t="shared" si="8"/>
        <v>0</v>
      </c>
      <c r="O60" s="247">
        <v>0</v>
      </c>
      <c r="P60" s="244">
        <f t="shared" si="12"/>
        <v>0</v>
      </c>
      <c r="Q60" s="247">
        <v>0</v>
      </c>
      <c r="R60" s="244">
        <v>0</v>
      </c>
      <c r="S60" s="247">
        <v>0</v>
      </c>
      <c r="T60" s="244">
        <v>0</v>
      </c>
      <c r="U60" s="247">
        <v>0</v>
      </c>
      <c r="V60" s="244">
        <v>0</v>
      </c>
      <c r="W60" s="247">
        <v>0</v>
      </c>
      <c r="X60" s="247">
        <v>0</v>
      </c>
      <c r="Y60" s="247">
        <v>0</v>
      </c>
      <c r="Z60" s="244">
        <v>0</v>
      </c>
      <c r="AA60" s="247">
        <v>0</v>
      </c>
      <c r="AB60" s="244">
        <f t="shared" si="9"/>
        <v>0</v>
      </c>
      <c r="AC60" s="255">
        <f t="shared" si="10"/>
        <v>0</v>
      </c>
    </row>
    <row r="61" spans="1:29" x14ac:dyDescent="0.25">
      <c r="A61" s="245" t="s">
        <v>220</v>
      </c>
      <c r="B61" s="253" t="s">
        <v>145</v>
      </c>
      <c r="C61" s="244">
        <f>'6.2. Паспорт фин осв ввод утв'!C61</f>
        <v>0</v>
      </c>
      <c r="D61" s="244">
        <f>'6.2. Паспорт фин осв ввод утв'!D61</f>
        <v>0</v>
      </c>
      <c r="E61" s="244">
        <f t="shared" si="5"/>
        <v>0</v>
      </c>
      <c r="F61" s="244">
        <f t="shared" si="6"/>
        <v>0</v>
      </c>
      <c r="G61" s="244">
        <v>0</v>
      </c>
      <c r="H61" s="244">
        <v>0</v>
      </c>
      <c r="I61" s="247">
        <v>0</v>
      </c>
      <c r="J61" s="254">
        <f t="shared" si="7"/>
        <v>0</v>
      </c>
      <c r="K61" s="247">
        <v>0</v>
      </c>
      <c r="L61" s="244">
        <f t="shared" si="14"/>
        <v>0</v>
      </c>
      <c r="M61" s="247">
        <v>0</v>
      </c>
      <c r="N61" s="254">
        <f t="shared" si="8"/>
        <v>0</v>
      </c>
      <c r="O61" s="247">
        <v>0</v>
      </c>
      <c r="P61" s="244">
        <f t="shared" si="12"/>
        <v>0</v>
      </c>
      <c r="Q61" s="247">
        <v>0</v>
      </c>
      <c r="R61" s="244">
        <v>0</v>
      </c>
      <c r="S61" s="247">
        <v>0</v>
      </c>
      <c r="T61" s="244">
        <v>0</v>
      </c>
      <c r="U61" s="247">
        <v>0</v>
      </c>
      <c r="V61" s="244">
        <v>0</v>
      </c>
      <c r="W61" s="247">
        <v>0</v>
      </c>
      <c r="X61" s="247">
        <v>0</v>
      </c>
      <c r="Y61" s="247">
        <v>0</v>
      </c>
      <c r="Z61" s="244">
        <v>0</v>
      </c>
      <c r="AA61" s="247">
        <v>0</v>
      </c>
      <c r="AB61" s="244">
        <f t="shared" si="9"/>
        <v>0</v>
      </c>
      <c r="AC61" s="255">
        <f t="shared" si="10"/>
        <v>0</v>
      </c>
    </row>
    <row r="62" spans="1:29" x14ac:dyDescent="0.25">
      <c r="A62" s="245" t="s">
        <v>221</v>
      </c>
      <c r="B62" s="253" t="s">
        <v>143</v>
      </c>
      <c r="C62" s="244">
        <f>'6.2. Паспорт фин осв ввод утв'!C62</f>
        <v>0</v>
      </c>
      <c r="D62" s="244">
        <f>'6.2. Паспорт фин осв ввод утв'!D62</f>
        <v>0</v>
      </c>
      <c r="E62" s="244">
        <f t="shared" si="5"/>
        <v>0</v>
      </c>
      <c r="F62" s="244">
        <f t="shared" si="6"/>
        <v>0</v>
      </c>
      <c r="G62" s="244">
        <v>0</v>
      </c>
      <c r="H62" s="244">
        <v>0</v>
      </c>
      <c r="I62" s="247">
        <v>0</v>
      </c>
      <c r="J62" s="254">
        <f t="shared" si="7"/>
        <v>0</v>
      </c>
      <c r="K62" s="247">
        <v>0</v>
      </c>
      <c r="L62" s="244">
        <f t="shared" si="14"/>
        <v>0</v>
      </c>
      <c r="M62" s="247">
        <v>0</v>
      </c>
      <c r="N62" s="254">
        <f t="shared" si="8"/>
        <v>0</v>
      </c>
      <c r="O62" s="247">
        <v>0</v>
      </c>
      <c r="P62" s="244">
        <f t="shared" si="12"/>
        <v>0</v>
      </c>
      <c r="Q62" s="247">
        <v>0</v>
      </c>
      <c r="R62" s="244">
        <v>0</v>
      </c>
      <c r="S62" s="247">
        <v>0</v>
      </c>
      <c r="T62" s="244">
        <v>0</v>
      </c>
      <c r="U62" s="247">
        <v>0</v>
      </c>
      <c r="V62" s="244">
        <v>0</v>
      </c>
      <c r="W62" s="247">
        <v>0</v>
      </c>
      <c r="X62" s="247">
        <v>0</v>
      </c>
      <c r="Y62" s="247">
        <v>0</v>
      </c>
      <c r="Z62" s="244">
        <v>0</v>
      </c>
      <c r="AA62" s="247">
        <v>0</v>
      </c>
      <c r="AB62" s="244">
        <f t="shared" si="9"/>
        <v>0</v>
      </c>
      <c r="AC62" s="255">
        <f t="shared" si="10"/>
        <v>0</v>
      </c>
    </row>
    <row r="63" spans="1:29" x14ac:dyDescent="0.25">
      <c r="A63" s="245" t="s">
        <v>222</v>
      </c>
      <c r="B63" s="253" t="s">
        <v>224</v>
      </c>
      <c r="C63" s="244">
        <v>0</v>
      </c>
      <c r="D63" s="244">
        <v>0</v>
      </c>
      <c r="E63" s="244">
        <f t="shared" si="5"/>
        <v>0</v>
      </c>
      <c r="F63" s="244">
        <f t="shared" si="6"/>
        <v>0</v>
      </c>
      <c r="G63" s="244">
        <v>0</v>
      </c>
      <c r="H63" s="244">
        <v>0</v>
      </c>
      <c r="I63" s="247">
        <v>0</v>
      </c>
      <c r="J63" s="254">
        <f t="shared" si="7"/>
        <v>0</v>
      </c>
      <c r="K63" s="247">
        <v>0</v>
      </c>
      <c r="L63" s="244">
        <v>0</v>
      </c>
      <c r="M63" s="247">
        <v>0</v>
      </c>
      <c r="N63" s="254">
        <v>0</v>
      </c>
      <c r="O63" s="247">
        <v>0</v>
      </c>
      <c r="P63" s="244">
        <f t="shared" si="12"/>
        <v>0</v>
      </c>
      <c r="Q63" s="247">
        <v>0</v>
      </c>
      <c r="R63" s="244">
        <v>0</v>
      </c>
      <c r="S63" s="247">
        <v>0</v>
      </c>
      <c r="T63" s="244">
        <v>0</v>
      </c>
      <c r="U63" s="247">
        <v>0</v>
      </c>
      <c r="V63" s="244">
        <v>0</v>
      </c>
      <c r="W63" s="247">
        <v>0</v>
      </c>
      <c r="X63" s="247">
        <v>0</v>
      </c>
      <c r="Y63" s="247">
        <v>0</v>
      </c>
      <c r="Z63" s="244">
        <v>0</v>
      </c>
      <c r="AA63" s="247">
        <v>0</v>
      </c>
      <c r="AB63" s="244">
        <f t="shared" si="9"/>
        <v>0</v>
      </c>
      <c r="AC63" s="255">
        <f t="shared" si="10"/>
        <v>0</v>
      </c>
    </row>
    <row r="64" spans="1:29" ht="18.75" x14ac:dyDescent="0.25">
      <c r="A64" s="245" t="s">
        <v>223</v>
      </c>
      <c r="B64" s="249" t="s">
        <v>568</v>
      </c>
      <c r="C64" s="244">
        <f>'6.2. Паспорт фин осв ввод утв'!C64</f>
        <v>0</v>
      </c>
      <c r="D64" s="244">
        <f>'6.2. Паспорт фин осв ввод утв'!D64</f>
        <v>0</v>
      </c>
      <c r="E64" s="244">
        <f t="shared" si="5"/>
        <v>0</v>
      </c>
      <c r="F64" s="244">
        <f t="shared" si="6"/>
        <v>0</v>
      </c>
      <c r="G64" s="244">
        <v>0</v>
      </c>
      <c r="H64" s="244">
        <v>0</v>
      </c>
      <c r="I64" s="247">
        <v>0</v>
      </c>
      <c r="J64" s="250">
        <f t="shared" si="7"/>
        <v>0</v>
      </c>
      <c r="K64" s="247">
        <v>0</v>
      </c>
      <c r="L64" s="244">
        <f>C64</f>
        <v>0</v>
      </c>
      <c r="M64" s="247">
        <v>0</v>
      </c>
      <c r="N64" s="250">
        <f t="shared" si="8"/>
        <v>0</v>
      </c>
      <c r="O64" s="247">
        <v>0</v>
      </c>
      <c r="P64" s="244">
        <f t="shared" si="12"/>
        <v>0</v>
      </c>
      <c r="Q64" s="247">
        <v>0</v>
      </c>
      <c r="R64" s="244">
        <v>0</v>
      </c>
      <c r="S64" s="247">
        <v>0</v>
      </c>
      <c r="T64" s="244">
        <v>0</v>
      </c>
      <c r="U64" s="247">
        <v>0</v>
      </c>
      <c r="V64" s="244">
        <v>0</v>
      </c>
      <c r="W64" s="247">
        <v>0</v>
      </c>
      <c r="X64" s="247">
        <v>0</v>
      </c>
      <c r="Y64" s="247">
        <v>0</v>
      </c>
      <c r="Z64" s="244">
        <v>0</v>
      </c>
      <c r="AA64" s="247">
        <v>0</v>
      </c>
      <c r="AB64" s="244">
        <f t="shared" si="9"/>
        <v>0</v>
      </c>
      <c r="AC64" s="255">
        <f t="shared" si="10"/>
        <v>0</v>
      </c>
    </row>
    <row r="65" spans="1:28" x14ac:dyDescent="0.25">
      <c r="A65" s="69"/>
      <c r="B65" s="70"/>
      <c r="C65" s="70"/>
      <c r="D65" s="70"/>
      <c r="E65" s="70"/>
      <c r="F65" s="70"/>
      <c r="G65" s="70"/>
    </row>
    <row r="66" spans="1:28" ht="54" customHeight="1" x14ac:dyDescent="0.25">
      <c r="B66" s="475"/>
      <c r="C66" s="475"/>
      <c r="D66" s="475"/>
      <c r="E66" s="475"/>
      <c r="F66" s="475"/>
      <c r="G66" s="366"/>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76"/>
      <c r="C68" s="476"/>
      <c r="D68" s="476"/>
      <c r="E68" s="476"/>
      <c r="F68" s="476"/>
      <c r="G68" s="367"/>
    </row>
    <row r="70" spans="1:28" ht="36.75" customHeight="1" x14ac:dyDescent="0.25">
      <c r="B70" s="475"/>
      <c r="C70" s="475"/>
      <c r="D70" s="475"/>
      <c r="E70" s="475"/>
      <c r="F70" s="475"/>
      <c r="G70" s="366"/>
    </row>
    <row r="71" spans="1:28" x14ac:dyDescent="0.25">
      <c r="B71" s="67"/>
      <c r="C71" s="67"/>
      <c r="D71" s="67"/>
      <c r="E71" s="67"/>
      <c r="F71" s="67"/>
    </row>
    <row r="72" spans="1:28" ht="51" customHeight="1" x14ac:dyDescent="0.25">
      <c r="B72" s="475"/>
      <c r="C72" s="475"/>
      <c r="D72" s="475"/>
      <c r="E72" s="475"/>
      <c r="F72" s="475"/>
      <c r="G72" s="366"/>
    </row>
    <row r="73" spans="1:28" ht="32.25" customHeight="1" x14ac:dyDescent="0.25">
      <c r="B73" s="476"/>
      <c r="C73" s="476"/>
      <c r="D73" s="476"/>
      <c r="E73" s="476"/>
      <c r="F73" s="476"/>
      <c r="G73" s="367"/>
    </row>
    <row r="74" spans="1:28" ht="51.75" customHeight="1" x14ac:dyDescent="0.25">
      <c r="B74" s="475"/>
      <c r="C74" s="475"/>
      <c r="D74" s="475"/>
      <c r="E74" s="475"/>
      <c r="F74" s="475"/>
      <c r="G74" s="366"/>
    </row>
    <row r="75" spans="1:28" ht="21.75" customHeight="1" x14ac:dyDescent="0.25">
      <c r="B75" s="473"/>
      <c r="C75" s="473"/>
      <c r="D75" s="473"/>
      <c r="E75" s="473"/>
      <c r="F75" s="473"/>
      <c r="G75" s="364"/>
    </row>
    <row r="76" spans="1:28" ht="23.25" customHeight="1" x14ac:dyDescent="0.25">
      <c r="B76" s="62"/>
      <c r="C76" s="62"/>
      <c r="D76" s="62"/>
      <c r="E76" s="62"/>
      <c r="F76" s="62"/>
    </row>
    <row r="77" spans="1:28" ht="18.75" customHeight="1" x14ac:dyDescent="0.25">
      <c r="B77" s="474"/>
      <c r="C77" s="474"/>
      <c r="D77" s="474"/>
      <c r="E77" s="474"/>
      <c r="F77" s="474"/>
      <c r="G77" s="36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P25:P64">
    <cfRule type="cellIs" dxfId="40" priority="68" operator="greaterThan">
      <formula>0</formula>
    </cfRule>
  </conditionalFormatting>
  <conditionalFormatting sqref="C31">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U24 X24:Y24 C24:C64 M24:M64 O24:Q24 H24:K64 P25:P64 E24:E64 AB24:AB64">
    <cfRule type="cellIs" dxfId="36" priority="64" operator="notEqual">
      <formula>0</formula>
    </cfRule>
  </conditionalFormatting>
  <conditionalFormatting sqref="U24 X24:Y24">
    <cfRule type="cellIs" dxfId="35" priority="63" operator="greaterThan">
      <formula>0</formula>
    </cfRule>
  </conditionalFormatting>
  <conditionalFormatting sqref="U24 X24:Y24">
    <cfRule type="cellIs" dxfId="34" priority="62" operator="greaterThan">
      <formula>0</formula>
    </cfRule>
  </conditionalFormatting>
  <conditionalFormatting sqref="U24 X24:Y24">
    <cfRule type="cellIs" dxfId="33" priority="61" operator="greaterThan">
      <formula>0</formula>
    </cfRule>
  </conditionalFormatting>
  <conditionalFormatting sqref="U25:U64 X25:Y64 O25:O64 Q25:Q64">
    <cfRule type="cellIs" dxfId="32" priority="55" operator="notEqual">
      <formula>0</formula>
    </cfRule>
  </conditionalFormatting>
  <conditionalFormatting sqref="F24:F64">
    <cfRule type="cellIs" dxfId="31" priority="40" operator="notEqual">
      <formula>0</formula>
    </cfRule>
  </conditionalFormatting>
  <conditionalFormatting sqref="G24:G64">
    <cfRule type="cellIs" dxfId="30" priority="33" operator="greaterThan">
      <formula>0</formula>
    </cfRule>
  </conditionalFormatting>
  <conditionalFormatting sqref="G24:G64">
    <cfRule type="cellIs" dxfId="29" priority="32" operator="notEqual">
      <formula>0</formula>
    </cfRule>
  </conditionalFormatting>
  <conditionalFormatting sqref="L24:L64">
    <cfRule type="cellIs" dxfId="28" priority="31" operator="greaterThan">
      <formula>0</formula>
    </cfRule>
  </conditionalFormatting>
  <conditionalFormatting sqref="L24:L64">
    <cfRule type="cellIs" dxfId="27" priority="30" operator="notEqual">
      <formula>0</formula>
    </cfRule>
  </conditionalFormatting>
  <conditionalFormatting sqref="N24">
    <cfRule type="cellIs" dxfId="26" priority="29" operator="greaterThan">
      <formula>0</formula>
    </cfRule>
  </conditionalFormatting>
  <conditionalFormatting sqref="N24:N64">
    <cfRule type="cellIs" dxfId="25" priority="28" operator="notEqual">
      <formula>0</formula>
    </cfRule>
  </conditionalFormatting>
  <conditionalFormatting sqref="AC24:AC64">
    <cfRule type="cellIs" dxfId="24" priority="27" operator="notEqual">
      <formula>0</formula>
    </cfRule>
  </conditionalFormatting>
  <conditionalFormatting sqref="T24:T64">
    <cfRule type="cellIs" dxfId="23" priority="26" operator="greaterThan">
      <formula>0</formula>
    </cfRule>
  </conditionalFormatting>
  <conditionalFormatting sqref="T24:T64">
    <cfRule type="cellIs" dxfId="22" priority="25" operator="notEqual">
      <formula>0</formula>
    </cfRule>
  </conditionalFormatting>
  <conditionalFormatting sqref="D30">
    <cfRule type="cellIs" dxfId="21" priority="24" operator="greaterThan">
      <formula>0</formula>
    </cfRule>
  </conditionalFormatting>
  <conditionalFormatting sqref="D31">
    <cfRule type="cellIs" dxfId="20" priority="23" operator="greaterThan">
      <formula>0</formula>
    </cfRule>
  </conditionalFormatting>
  <conditionalFormatting sqref="D31">
    <cfRule type="cellIs" dxfId="19" priority="22" operator="greaterThan">
      <formula>0</formula>
    </cfRule>
  </conditionalFormatting>
  <conditionalFormatting sqref="D31">
    <cfRule type="cellIs" dxfId="18" priority="21" operator="greaterThan">
      <formula>0</formula>
    </cfRule>
  </conditionalFormatting>
  <conditionalFormatting sqref="D24:D64">
    <cfRule type="cellIs" dxfId="17" priority="20" operator="notEqual">
      <formula>0</formula>
    </cfRule>
  </conditionalFormatting>
  <conditionalFormatting sqref="R24:S24 R24:R64">
    <cfRule type="cellIs" dxfId="16" priority="19" operator="greaterThan">
      <formula>0</formula>
    </cfRule>
  </conditionalFormatting>
  <conditionalFormatting sqref="R24:S24 R24:R64">
    <cfRule type="cellIs" dxfId="15" priority="18" operator="notEqual">
      <formula>0</formula>
    </cfRule>
  </conditionalFormatting>
  <conditionalFormatting sqref="S25:S64">
    <cfRule type="cellIs" dxfId="14" priority="17" operator="notEqual">
      <formula>0</formula>
    </cfRule>
  </conditionalFormatting>
  <conditionalFormatting sqref="W24">
    <cfRule type="cellIs" dxfId="13" priority="16" operator="notEqual">
      <formula>0</formula>
    </cfRule>
  </conditionalFormatting>
  <conditionalFormatting sqref="W24">
    <cfRule type="cellIs" dxfId="12" priority="15" operator="greaterThan">
      <formula>0</formula>
    </cfRule>
  </conditionalFormatting>
  <conditionalFormatting sqref="W24">
    <cfRule type="cellIs" dxfId="11" priority="14" operator="greaterThan">
      <formula>0</formula>
    </cfRule>
  </conditionalFormatting>
  <conditionalFormatting sqref="W24">
    <cfRule type="cellIs" dxfId="10" priority="13" operator="greaterThan">
      <formula>0</formula>
    </cfRule>
  </conditionalFormatting>
  <conditionalFormatting sqref="W25:W64">
    <cfRule type="cellIs" dxfId="9" priority="12" operator="notEqual">
      <formula>0</formula>
    </cfRule>
  </conditionalFormatting>
  <conditionalFormatting sqref="AA24">
    <cfRule type="cellIs" dxfId="8" priority="9" operator="notEqual">
      <formula>0</formula>
    </cfRule>
  </conditionalFormatting>
  <conditionalFormatting sqref="AA24">
    <cfRule type="cellIs" dxfId="7" priority="8" operator="greaterThan">
      <formula>0</formula>
    </cfRule>
  </conditionalFormatting>
  <conditionalFormatting sqref="AA24">
    <cfRule type="cellIs" dxfId="6" priority="7" operator="greaterThan">
      <formula>0</formula>
    </cfRule>
  </conditionalFormatting>
  <conditionalFormatting sqref="AA24">
    <cfRule type="cellIs" dxfId="5" priority="6" operator="greaterThan">
      <formula>0</formula>
    </cfRule>
  </conditionalFormatting>
  <conditionalFormatting sqref="AA25:AA64">
    <cfRule type="cellIs" dxfId="4" priority="5" operator="notEqual">
      <formula>0</formula>
    </cfRule>
  </conditionalFormatting>
  <conditionalFormatting sqref="Z24:Z64">
    <cfRule type="cellIs" dxfId="3" priority="4" operator="greaterThan">
      <formula>0</formula>
    </cfRule>
  </conditionalFormatting>
  <conditionalFormatting sqref="Z24:Z64">
    <cfRule type="cellIs" dxfId="2" priority="3" operator="notEqual">
      <formula>0</formula>
    </cfRule>
  </conditionalFormatting>
  <conditionalFormatting sqref="V24:V64">
    <cfRule type="cellIs" dxfId="1" priority="2" operator="greaterThan">
      <formula>0</formula>
    </cfRule>
  </conditionalFormatting>
  <conditionalFormatting sqref="V24:V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4"/>
    </row>
    <row r="7" spans="1:48" ht="18.75" x14ac:dyDescent="0.25">
      <c r="A7" s="394" t="s">
        <v>6</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90" t="s">
        <v>5</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88" t="str">
        <f>'1. паспорт местоположение'!A12:C12</f>
        <v>J 19-15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90" t="s">
        <v>4</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90" t="s">
        <v>3</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5"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5" customFormat="1" x14ac:dyDescent="0.25">
      <c r="A21" s="487" t="s">
        <v>436</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5" customFormat="1" ht="58.5" customHeight="1" x14ac:dyDescent="0.25">
      <c r="A22" s="488" t="s">
        <v>49</v>
      </c>
      <c r="B22" s="491" t="s">
        <v>21</v>
      </c>
      <c r="C22" s="488" t="s">
        <v>48</v>
      </c>
      <c r="D22" s="488" t="s">
        <v>47</v>
      </c>
      <c r="E22" s="494" t="s">
        <v>447</v>
      </c>
      <c r="F22" s="495"/>
      <c r="G22" s="495"/>
      <c r="H22" s="495"/>
      <c r="I22" s="495"/>
      <c r="J22" s="495"/>
      <c r="K22" s="495"/>
      <c r="L22" s="496"/>
      <c r="M22" s="488" t="s">
        <v>46</v>
      </c>
      <c r="N22" s="488" t="s">
        <v>45</v>
      </c>
      <c r="O22" s="488" t="s">
        <v>44</v>
      </c>
      <c r="P22" s="497" t="s">
        <v>232</v>
      </c>
      <c r="Q22" s="497" t="s">
        <v>43</v>
      </c>
      <c r="R22" s="497" t="s">
        <v>42</v>
      </c>
      <c r="S22" s="497" t="s">
        <v>41</v>
      </c>
      <c r="T22" s="497"/>
      <c r="U22" s="498" t="s">
        <v>40</v>
      </c>
      <c r="V22" s="498" t="s">
        <v>39</v>
      </c>
      <c r="W22" s="497" t="s">
        <v>38</v>
      </c>
      <c r="X22" s="497" t="s">
        <v>37</v>
      </c>
      <c r="Y22" s="497" t="s">
        <v>36</v>
      </c>
      <c r="Z22" s="511" t="s">
        <v>35</v>
      </c>
      <c r="AA22" s="497" t="s">
        <v>34</v>
      </c>
      <c r="AB22" s="497" t="s">
        <v>33</v>
      </c>
      <c r="AC22" s="497" t="s">
        <v>32</v>
      </c>
      <c r="AD22" s="497" t="s">
        <v>31</v>
      </c>
      <c r="AE22" s="497" t="s">
        <v>30</v>
      </c>
      <c r="AF22" s="497" t="s">
        <v>29</v>
      </c>
      <c r="AG22" s="497"/>
      <c r="AH22" s="497"/>
      <c r="AI22" s="497"/>
      <c r="AJ22" s="497"/>
      <c r="AK22" s="497"/>
      <c r="AL22" s="497" t="s">
        <v>28</v>
      </c>
      <c r="AM22" s="497"/>
      <c r="AN22" s="497"/>
      <c r="AO22" s="497"/>
      <c r="AP22" s="497" t="s">
        <v>27</v>
      </c>
      <c r="AQ22" s="497"/>
      <c r="AR22" s="497" t="s">
        <v>26</v>
      </c>
      <c r="AS22" s="497" t="s">
        <v>25</v>
      </c>
      <c r="AT22" s="497" t="s">
        <v>24</v>
      </c>
      <c r="AU22" s="497" t="s">
        <v>23</v>
      </c>
      <c r="AV22" s="501" t="s">
        <v>22</v>
      </c>
    </row>
    <row r="23" spans="1:48" s="25" customFormat="1" ht="64.5" customHeight="1" x14ac:dyDescent="0.25">
      <c r="A23" s="489"/>
      <c r="B23" s="492"/>
      <c r="C23" s="489"/>
      <c r="D23" s="489"/>
      <c r="E23" s="503" t="s">
        <v>20</v>
      </c>
      <c r="F23" s="505" t="s">
        <v>125</v>
      </c>
      <c r="G23" s="505" t="s">
        <v>124</v>
      </c>
      <c r="H23" s="505" t="s">
        <v>123</v>
      </c>
      <c r="I23" s="509" t="s">
        <v>357</v>
      </c>
      <c r="J23" s="509" t="s">
        <v>358</v>
      </c>
      <c r="K23" s="509" t="s">
        <v>359</v>
      </c>
      <c r="L23" s="505" t="s">
        <v>73</v>
      </c>
      <c r="M23" s="489"/>
      <c r="N23" s="489"/>
      <c r="O23" s="489"/>
      <c r="P23" s="497"/>
      <c r="Q23" s="497"/>
      <c r="R23" s="497"/>
      <c r="S23" s="507" t="s">
        <v>1</v>
      </c>
      <c r="T23" s="507" t="s">
        <v>8</v>
      </c>
      <c r="U23" s="498"/>
      <c r="V23" s="498"/>
      <c r="W23" s="497"/>
      <c r="X23" s="497"/>
      <c r="Y23" s="497"/>
      <c r="Z23" s="497"/>
      <c r="AA23" s="497"/>
      <c r="AB23" s="497"/>
      <c r="AC23" s="497"/>
      <c r="AD23" s="497"/>
      <c r="AE23" s="497"/>
      <c r="AF23" s="497" t="s">
        <v>19</v>
      </c>
      <c r="AG23" s="497"/>
      <c r="AH23" s="497" t="s">
        <v>18</v>
      </c>
      <c r="AI23" s="497"/>
      <c r="AJ23" s="488" t="s">
        <v>17</v>
      </c>
      <c r="AK23" s="488" t="s">
        <v>16</v>
      </c>
      <c r="AL23" s="488" t="s">
        <v>15</v>
      </c>
      <c r="AM23" s="488" t="s">
        <v>14</v>
      </c>
      <c r="AN23" s="488" t="s">
        <v>13</v>
      </c>
      <c r="AO23" s="488" t="s">
        <v>12</v>
      </c>
      <c r="AP23" s="488" t="s">
        <v>11</v>
      </c>
      <c r="AQ23" s="499" t="s">
        <v>8</v>
      </c>
      <c r="AR23" s="497"/>
      <c r="AS23" s="497"/>
      <c r="AT23" s="497"/>
      <c r="AU23" s="497"/>
      <c r="AV23" s="502"/>
    </row>
    <row r="24" spans="1:48" s="25" customFormat="1" ht="96.75" customHeight="1" x14ac:dyDescent="0.25">
      <c r="A24" s="490"/>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37" t="s">
        <v>10</v>
      </c>
      <c r="AG24" s="137" t="s">
        <v>9</v>
      </c>
      <c r="AH24" s="138" t="s">
        <v>1</v>
      </c>
      <c r="AI24" s="138" t="s">
        <v>8</v>
      </c>
      <c r="AJ24" s="490"/>
      <c r="AK24" s="490"/>
      <c r="AL24" s="490"/>
      <c r="AM24" s="490"/>
      <c r="AN24" s="490"/>
      <c r="AO24" s="490"/>
      <c r="AP24" s="490"/>
      <c r="AQ24" s="500"/>
      <c r="AR24" s="497"/>
      <c r="AS24" s="497"/>
      <c r="AT24" s="497"/>
      <c r="AU24" s="497"/>
      <c r="AV24" s="50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8">
        <v>1</v>
      </c>
      <c r="B26" s="229"/>
      <c r="C26" s="229"/>
      <c r="D26" s="230"/>
      <c r="E26" s="22"/>
      <c r="F26" s="22"/>
      <c r="G26" s="22"/>
      <c r="H26" s="22"/>
      <c r="I26" s="22"/>
      <c r="J26" s="22"/>
      <c r="K26" s="25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2" t="str">
        <f>'1. паспорт местоположение'!A5:C5</f>
        <v>Год раскрытия информации: 2022 год</v>
      </c>
      <c r="B5" s="512"/>
      <c r="C5" s="82"/>
      <c r="D5" s="82"/>
      <c r="E5" s="82"/>
      <c r="F5" s="82"/>
      <c r="G5" s="82"/>
      <c r="H5" s="82"/>
    </row>
    <row r="6" spans="1:8" ht="18.75" x14ac:dyDescent="0.3">
      <c r="A6" s="167"/>
      <c r="B6" s="167"/>
      <c r="C6" s="167"/>
      <c r="D6" s="167"/>
      <c r="E6" s="167"/>
      <c r="F6" s="167"/>
      <c r="G6" s="167"/>
      <c r="H6" s="167"/>
    </row>
    <row r="7" spans="1:8" ht="18.75" x14ac:dyDescent="0.25">
      <c r="A7" s="394" t="s">
        <v>6</v>
      </c>
      <c r="B7" s="394"/>
      <c r="C7" s="142"/>
      <c r="D7" s="142"/>
      <c r="E7" s="142"/>
      <c r="F7" s="142"/>
      <c r="G7" s="142"/>
      <c r="H7" s="142"/>
    </row>
    <row r="8" spans="1:8" ht="18.75" x14ac:dyDescent="0.25">
      <c r="A8" s="142"/>
      <c r="B8" s="142"/>
      <c r="C8" s="142"/>
      <c r="D8" s="142"/>
      <c r="E8" s="142"/>
      <c r="F8" s="142"/>
      <c r="G8" s="142"/>
      <c r="H8" s="142"/>
    </row>
    <row r="9" spans="1:8" x14ac:dyDescent="0.25">
      <c r="A9" s="388" t="str">
        <f>'1. паспорт местоположение'!A9:C9</f>
        <v xml:space="preserve">Акционерное общество "Западная энергетическая компания" </v>
      </c>
      <c r="B9" s="388"/>
      <c r="C9" s="157"/>
      <c r="D9" s="157"/>
      <c r="E9" s="157"/>
      <c r="F9" s="157"/>
      <c r="G9" s="157"/>
      <c r="H9" s="157"/>
    </row>
    <row r="10" spans="1:8" x14ac:dyDescent="0.25">
      <c r="A10" s="390" t="s">
        <v>5</v>
      </c>
      <c r="B10" s="390"/>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88" t="str">
        <f>'1. паспорт местоположение'!A12:C12</f>
        <v>J 19-15</v>
      </c>
      <c r="B12" s="388"/>
      <c r="C12" s="157"/>
      <c r="D12" s="157"/>
      <c r="E12" s="157"/>
      <c r="F12" s="157"/>
      <c r="G12" s="157"/>
      <c r="H12" s="157"/>
    </row>
    <row r="13" spans="1:8" x14ac:dyDescent="0.25">
      <c r="A13" s="390" t="s">
        <v>4</v>
      </c>
      <c r="B13" s="390"/>
      <c r="C13" s="144"/>
      <c r="D13" s="144"/>
      <c r="E13" s="144"/>
      <c r="F13" s="144"/>
      <c r="G13" s="144"/>
      <c r="H13" s="144"/>
    </row>
    <row r="14" spans="1:8" ht="18.75" x14ac:dyDescent="0.25">
      <c r="A14" s="10"/>
      <c r="B14" s="10"/>
      <c r="C14" s="10"/>
      <c r="D14" s="10"/>
      <c r="E14" s="10"/>
      <c r="F14" s="10"/>
      <c r="G14" s="10"/>
      <c r="H14" s="10"/>
    </row>
    <row r="15" spans="1:8" ht="39" customHeight="1" x14ac:dyDescent="0.25">
      <c r="A15" s="513" t="str">
        <f>'1. паспорт местоположение'!A15:C15</f>
        <v>Строительство КЛ 15 кВ от  РП-1 до ТП-1 пер. Комсомольский, г. Пионерский</v>
      </c>
      <c r="B15" s="423"/>
      <c r="C15" s="157"/>
      <c r="D15" s="157"/>
      <c r="E15" s="157"/>
      <c r="F15" s="157"/>
      <c r="G15" s="157"/>
      <c r="H15" s="157"/>
    </row>
    <row r="16" spans="1:8" x14ac:dyDescent="0.25">
      <c r="A16" s="390" t="s">
        <v>3</v>
      </c>
      <c r="B16" s="390"/>
      <c r="C16" s="144"/>
      <c r="D16" s="144"/>
      <c r="E16" s="144"/>
      <c r="F16" s="144"/>
      <c r="G16" s="144"/>
      <c r="H16" s="144"/>
    </row>
    <row r="17" spans="1:2" x14ac:dyDescent="0.25">
      <c r="B17" s="112"/>
    </row>
    <row r="18" spans="1:2" ht="33.75" customHeight="1" x14ac:dyDescent="0.25">
      <c r="A18" s="514" t="s">
        <v>437</v>
      </c>
      <c r="B18" s="515"/>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ТП-1 пер. Комсомольский, г. Пионерский</v>
      </c>
    </row>
    <row r="22" spans="1:2" ht="16.5" thickBot="1" x14ac:dyDescent="0.3">
      <c r="A22" s="114" t="s">
        <v>308</v>
      </c>
      <c r="B22" s="277" t="str">
        <f>'1. паспорт местоположение'!C27</f>
        <v>Зеленоградский район</v>
      </c>
    </row>
    <row r="23" spans="1:2" ht="16.5" thickBot="1" x14ac:dyDescent="0.3">
      <c r="A23" s="114" t="s">
        <v>288</v>
      </c>
      <c r="B23" s="115" t="s">
        <v>581</v>
      </c>
    </row>
    <row r="24" spans="1:2" ht="16.5" thickBot="1" x14ac:dyDescent="0.3">
      <c r="A24" s="114" t="s">
        <v>309</v>
      </c>
      <c r="B24" s="115">
        <f>'6.2. Паспорт фин осв ввод'!C56</f>
        <v>0.6</v>
      </c>
    </row>
    <row r="25" spans="1:2" ht="16.5" thickBot="1" x14ac:dyDescent="0.3">
      <c r="A25" s="116" t="s">
        <v>310</v>
      </c>
      <c r="B25" s="270">
        <f>'6.1. Паспорт сетевой график'!H54</f>
        <v>45290</v>
      </c>
    </row>
    <row r="26" spans="1:2" ht="16.5" thickBot="1" x14ac:dyDescent="0.3">
      <c r="A26" s="117" t="s">
        <v>311</v>
      </c>
      <c r="B26" s="118" t="s">
        <v>559</v>
      </c>
    </row>
    <row r="27" spans="1:2" ht="29.25" thickBot="1" x14ac:dyDescent="0.3">
      <c r="A27" s="125" t="s">
        <v>588</v>
      </c>
      <c r="B27" s="276">
        <f>'6.2. Паспорт фин осв ввод'!C24</f>
        <v>3.8902892696705909</v>
      </c>
    </row>
    <row r="28" spans="1:2" ht="48" customHeight="1" thickBot="1" x14ac:dyDescent="0.3">
      <c r="A28" s="120" t="s">
        <v>312</v>
      </c>
      <c r="B28" s="234" t="s">
        <v>574</v>
      </c>
    </row>
    <row r="29" spans="1:2" ht="29.25" thickBot="1" x14ac:dyDescent="0.3">
      <c r="A29" s="126" t="s">
        <v>313</v>
      </c>
      <c r="B29" s="257">
        <f>B30</f>
        <v>0</v>
      </c>
    </row>
    <row r="30" spans="1:2" ht="29.25" thickBot="1" x14ac:dyDescent="0.3">
      <c r="A30" s="126" t="s">
        <v>314</v>
      </c>
      <c r="B30" s="257">
        <f>B32+B41+B58</f>
        <v>0</v>
      </c>
    </row>
    <row r="31" spans="1:2" ht="16.5" thickBot="1" x14ac:dyDescent="0.3">
      <c r="A31" s="120" t="s">
        <v>315</v>
      </c>
      <c r="B31" s="257"/>
    </row>
    <row r="32" spans="1:2" ht="29.25" thickBot="1" x14ac:dyDescent="0.3">
      <c r="A32" s="126" t="s">
        <v>316</v>
      </c>
      <c r="B32" s="257">
        <f>B33+B37</f>
        <v>0</v>
      </c>
    </row>
    <row r="33" spans="1:3" s="171" customFormat="1" ht="16.5" thickBot="1" x14ac:dyDescent="0.3">
      <c r="A33" s="180" t="s">
        <v>317</v>
      </c>
      <c r="B33" s="258">
        <v>0</v>
      </c>
    </row>
    <row r="34" spans="1:3" ht="16.5" thickBot="1" x14ac:dyDescent="0.3">
      <c r="A34" s="120" t="s">
        <v>318</v>
      </c>
      <c r="B34" s="172">
        <f>B33/$B$27</f>
        <v>0</v>
      </c>
    </row>
    <row r="35" spans="1:3" ht="16.5" thickBot="1" x14ac:dyDescent="0.3">
      <c r="A35" s="120" t="s">
        <v>319</v>
      </c>
      <c r="B35" s="257">
        <v>0</v>
      </c>
      <c r="C35" s="111">
        <v>1</v>
      </c>
    </row>
    <row r="36" spans="1:3" ht="16.5" thickBot="1" x14ac:dyDescent="0.3">
      <c r="A36" s="120" t="s">
        <v>320</v>
      </c>
      <c r="B36" s="257">
        <v>0</v>
      </c>
      <c r="C36" s="111">
        <v>2</v>
      </c>
    </row>
    <row r="37" spans="1:3" s="171" customFormat="1" ht="16.5" thickBot="1" x14ac:dyDescent="0.3">
      <c r="A37" s="180" t="s">
        <v>317</v>
      </c>
      <c r="B37" s="258">
        <v>0</v>
      </c>
    </row>
    <row r="38" spans="1:3" ht="16.5" thickBot="1" x14ac:dyDescent="0.3">
      <c r="A38" s="120" t="s">
        <v>318</v>
      </c>
      <c r="B38" s="172">
        <f>B37/$B$27</f>
        <v>0</v>
      </c>
    </row>
    <row r="39" spans="1:3" ht="16.5" thickBot="1" x14ac:dyDescent="0.3">
      <c r="A39" s="120" t="s">
        <v>319</v>
      </c>
      <c r="B39" s="257">
        <v>0</v>
      </c>
      <c r="C39" s="111">
        <v>1</v>
      </c>
    </row>
    <row r="40" spans="1:3" ht="16.5" thickBot="1" x14ac:dyDescent="0.3">
      <c r="A40" s="120" t="s">
        <v>320</v>
      </c>
      <c r="B40" s="257">
        <v>0</v>
      </c>
      <c r="C40" s="111">
        <v>2</v>
      </c>
    </row>
    <row r="41" spans="1:3" ht="29.25" thickBot="1" x14ac:dyDescent="0.3">
      <c r="A41" s="126" t="s">
        <v>321</v>
      </c>
      <c r="B41" s="257">
        <f>B42+B46+B50+B54</f>
        <v>0</v>
      </c>
    </row>
    <row r="42" spans="1:3" s="171" customFormat="1" ht="16.5" thickBot="1" x14ac:dyDescent="0.3">
      <c r="A42" s="180" t="s">
        <v>317</v>
      </c>
      <c r="B42" s="258">
        <v>0</v>
      </c>
    </row>
    <row r="43" spans="1:3" ht="16.5" thickBot="1" x14ac:dyDescent="0.3">
      <c r="A43" s="120" t="s">
        <v>318</v>
      </c>
      <c r="B43" s="172">
        <f>B42/$B$27</f>
        <v>0</v>
      </c>
    </row>
    <row r="44" spans="1:3" ht="16.5" thickBot="1" x14ac:dyDescent="0.3">
      <c r="A44" s="120" t="s">
        <v>319</v>
      </c>
      <c r="B44" s="257">
        <v>0</v>
      </c>
      <c r="C44" s="111">
        <v>1</v>
      </c>
    </row>
    <row r="45" spans="1:3" ht="16.5" thickBot="1" x14ac:dyDescent="0.3">
      <c r="A45" s="120" t="s">
        <v>320</v>
      </c>
      <c r="B45" s="257">
        <v>0</v>
      </c>
      <c r="C45" s="111">
        <v>2</v>
      </c>
    </row>
    <row r="46" spans="1:3" s="171" customFormat="1" ht="16.5" thickBot="1" x14ac:dyDescent="0.3">
      <c r="A46" s="180" t="s">
        <v>317</v>
      </c>
      <c r="B46" s="258">
        <v>0</v>
      </c>
    </row>
    <row r="47" spans="1:3" ht="16.5" thickBot="1" x14ac:dyDescent="0.3">
      <c r="A47" s="120" t="s">
        <v>318</v>
      </c>
      <c r="B47" s="172">
        <f>B46/$B$27</f>
        <v>0</v>
      </c>
    </row>
    <row r="48" spans="1:3" ht="16.5" thickBot="1" x14ac:dyDescent="0.3">
      <c r="A48" s="120" t="s">
        <v>319</v>
      </c>
      <c r="B48" s="257">
        <v>0</v>
      </c>
      <c r="C48" s="111">
        <v>1</v>
      </c>
    </row>
    <row r="49" spans="1:3" ht="16.5" thickBot="1" x14ac:dyDescent="0.3">
      <c r="A49" s="120" t="s">
        <v>320</v>
      </c>
      <c r="B49" s="257">
        <v>0</v>
      </c>
      <c r="C49" s="111">
        <v>2</v>
      </c>
    </row>
    <row r="50" spans="1:3" s="171" customFormat="1" ht="16.5" thickBot="1" x14ac:dyDescent="0.3">
      <c r="A50" s="170" t="s">
        <v>317</v>
      </c>
      <c r="B50" s="258">
        <v>0</v>
      </c>
    </row>
    <row r="51" spans="1:3" ht="16.5" thickBot="1" x14ac:dyDescent="0.3">
      <c r="A51" s="120" t="s">
        <v>318</v>
      </c>
      <c r="B51" s="172">
        <f>B50/$B$27</f>
        <v>0</v>
      </c>
    </row>
    <row r="52" spans="1:3" ht="16.5" thickBot="1" x14ac:dyDescent="0.3">
      <c r="A52" s="120" t="s">
        <v>319</v>
      </c>
      <c r="B52" s="257">
        <v>0</v>
      </c>
      <c r="C52" s="111">
        <v>1</v>
      </c>
    </row>
    <row r="53" spans="1:3" ht="16.5" thickBot="1" x14ac:dyDescent="0.3">
      <c r="A53" s="120" t="s">
        <v>320</v>
      </c>
      <c r="B53" s="257">
        <v>0</v>
      </c>
      <c r="C53" s="111">
        <v>2</v>
      </c>
    </row>
    <row r="54" spans="1:3" s="171" customFormat="1" ht="16.5" thickBot="1" x14ac:dyDescent="0.3">
      <c r="A54" s="170" t="s">
        <v>317</v>
      </c>
      <c r="B54" s="258">
        <v>0</v>
      </c>
    </row>
    <row r="55" spans="1:3" ht="16.5" thickBot="1" x14ac:dyDescent="0.3">
      <c r="A55" s="120" t="s">
        <v>318</v>
      </c>
      <c r="B55" s="172">
        <f>B54/$B$27</f>
        <v>0</v>
      </c>
    </row>
    <row r="56" spans="1:3" ht="16.5" thickBot="1" x14ac:dyDescent="0.3">
      <c r="A56" s="120" t="s">
        <v>319</v>
      </c>
      <c r="B56" s="257">
        <v>0</v>
      </c>
      <c r="C56" s="111">
        <v>1</v>
      </c>
    </row>
    <row r="57" spans="1:3" ht="16.5" thickBot="1" x14ac:dyDescent="0.3">
      <c r="A57" s="120" t="s">
        <v>320</v>
      </c>
      <c r="B57" s="257">
        <v>0</v>
      </c>
      <c r="C57" s="111">
        <v>2</v>
      </c>
    </row>
    <row r="58" spans="1:3" ht="29.25" thickBot="1" x14ac:dyDescent="0.3">
      <c r="A58" s="126" t="s">
        <v>322</v>
      </c>
      <c r="B58" s="257">
        <f>B59+B63+B67+B71</f>
        <v>0</v>
      </c>
    </row>
    <row r="59" spans="1:3" s="171" customFormat="1" ht="16.5" thickBot="1" x14ac:dyDescent="0.3">
      <c r="A59" s="170" t="s">
        <v>317</v>
      </c>
      <c r="B59" s="258">
        <v>0</v>
      </c>
    </row>
    <row r="60" spans="1:3" ht="16.5" thickBot="1" x14ac:dyDescent="0.3">
      <c r="A60" s="120" t="s">
        <v>318</v>
      </c>
      <c r="B60" s="172">
        <f>B59/$B$27</f>
        <v>0</v>
      </c>
    </row>
    <row r="61" spans="1:3" ht="16.5" thickBot="1" x14ac:dyDescent="0.3">
      <c r="A61" s="120" t="s">
        <v>319</v>
      </c>
      <c r="B61" s="257">
        <v>0</v>
      </c>
      <c r="C61" s="111">
        <v>1</v>
      </c>
    </row>
    <row r="62" spans="1:3" ht="16.5" thickBot="1" x14ac:dyDescent="0.3">
      <c r="A62" s="120" t="s">
        <v>320</v>
      </c>
      <c r="B62" s="257">
        <v>0</v>
      </c>
      <c r="C62" s="111">
        <v>2</v>
      </c>
    </row>
    <row r="63" spans="1:3" s="171" customFormat="1" ht="16.5" thickBot="1" x14ac:dyDescent="0.3">
      <c r="A63" s="170" t="s">
        <v>317</v>
      </c>
      <c r="B63" s="258">
        <v>0</v>
      </c>
    </row>
    <row r="64" spans="1:3" ht="16.5" thickBot="1" x14ac:dyDescent="0.3">
      <c r="A64" s="120" t="s">
        <v>318</v>
      </c>
      <c r="B64" s="172">
        <f>B63/$B$27</f>
        <v>0</v>
      </c>
    </row>
    <row r="65" spans="1:3" ht="16.5" thickBot="1" x14ac:dyDescent="0.3">
      <c r="A65" s="120" t="s">
        <v>319</v>
      </c>
      <c r="B65" s="257">
        <v>0</v>
      </c>
      <c r="C65" s="111">
        <v>1</v>
      </c>
    </row>
    <row r="66" spans="1:3" ht="16.5" thickBot="1" x14ac:dyDescent="0.3">
      <c r="A66" s="120" t="s">
        <v>320</v>
      </c>
      <c r="B66" s="257">
        <v>0</v>
      </c>
      <c r="C66" s="111">
        <v>2</v>
      </c>
    </row>
    <row r="67" spans="1:3" s="171" customFormat="1" ht="16.5" thickBot="1" x14ac:dyDescent="0.3">
      <c r="A67" s="170" t="s">
        <v>317</v>
      </c>
      <c r="B67" s="258">
        <v>0</v>
      </c>
    </row>
    <row r="68" spans="1:3" ht="16.5" thickBot="1" x14ac:dyDescent="0.3">
      <c r="A68" s="120" t="s">
        <v>318</v>
      </c>
      <c r="B68" s="172">
        <f>B67/$B$27</f>
        <v>0</v>
      </c>
    </row>
    <row r="69" spans="1:3" ht="16.5" thickBot="1" x14ac:dyDescent="0.3">
      <c r="A69" s="120" t="s">
        <v>319</v>
      </c>
      <c r="B69" s="257">
        <v>0</v>
      </c>
      <c r="C69" s="111">
        <v>1</v>
      </c>
    </row>
    <row r="70" spans="1:3" ht="16.5" thickBot="1" x14ac:dyDescent="0.3">
      <c r="A70" s="120" t="s">
        <v>320</v>
      </c>
      <c r="B70" s="257">
        <v>0</v>
      </c>
      <c r="C70" s="111">
        <v>2</v>
      </c>
    </row>
    <row r="71" spans="1:3" s="171" customFormat="1" ht="16.5" thickBot="1" x14ac:dyDescent="0.3">
      <c r="A71" s="170" t="s">
        <v>317</v>
      </c>
      <c r="B71" s="258">
        <v>0</v>
      </c>
    </row>
    <row r="72" spans="1:3" ht="16.5" thickBot="1" x14ac:dyDescent="0.3">
      <c r="A72" s="120" t="s">
        <v>318</v>
      </c>
      <c r="B72" s="172">
        <f>B71/$B$27</f>
        <v>0</v>
      </c>
    </row>
    <row r="73" spans="1:3" ht="16.5" thickBot="1" x14ac:dyDescent="0.3">
      <c r="A73" s="120" t="s">
        <v>319</v>
      </c>
      <c r="B73" s="257">
        <v>0</v>
      </c>
      <c r="C73" s="111">
        <v>1</v>
      </c>
    </row>
    <row r="74" spans="1:3" ht="16.5" thickBot="1" x14ac:dyDescent="0.3">
      <c r="A74" s="120" t="s">
        <v>320</v>
      </c>
      <c r="B74" s="257">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59">
        <f xml:space="preserve"> SUMIF(C33:C74, 1,B33:B74)</f>
        <v>0</v>
      </c>
    </row>
    <row r="82" spans="1:2" ht="16.5" thickBot="1" x14ac:dyDescent="0.3">
      <c r="A82" s="116" t="s">
        <v>329</v>
      </c>
      <c r="B82" s="173">
        <f>B83/$B$27</f>
        <v>0</v>
      </c>
    </row>
    <row r="83" spans="1:2" ht="16.5" thickBot="1" x14ac:dyDescent="0.3">
      <c r="A83" s="117" t="s">
        <v>330</v>
      </c>
      <c r="B83" s="259">
        <f xml:space="preserve"> SUMIF(C35:C76, 2,B35:B76)</f>
        <v>0</v>
      </c>
    </row>
    <row r="84" spans="1:2" ht="15.6" customHeight="1" x14ac:dyDescent="0.25">
      <c r="A84" s="119" t="s">
        <v>331</v>
      </c>
      <c r="B84" s="121" t="s">
        <v>332</v>
      </c>
    </row>
    <row r="85" spans="1:2" x14ac:dyDescent="0.25">
      <c r="A85" s="123" t="s">
        <v>333</v>
      </c>
      <c r="B85" s="236"/>
    </row>
    <row r="86" spans="1:2" x14ac:dyDescent="0.25">
      <c r="A86" s="123" t="s">
        <v>334</v>
      </c>
      <c r="B86" s="236"/>
    </row>
    <row r="87" spans="1:2" x14ac:dyDescent="0.25">
      <c r="A87" s="123" t="s">
        <v>335</v>
      </c>
      <c r="B87" s="236"/>
    </row>
    <row r="88" spans="1:2" x14ac:dyDescent="0.25">
      <c r="A88" s="123" t="s">
        <v>336</v>
      </c>
      <c r="B88" s="236"/>
    </row>
    <row r="89" spans="1:2" ht="16.5" thickBot="1" x14ac:dyDescent="0.3">
      <c r="A89" s="124" t="s">
        <v>337</v>
      </c>
      <c r="B89" s="237"/>
    </row>
    <row r="90" spans="1:2" ht="30.75" thickBot="1" x14ac:dyDescent="0.3">
      <c r="A90" s="121" t="s">
        <v>338</v>
      </c>
      <c r="B90" s="122"/>
    </row>
    <row r="91" spans="1:2" ht="29.25" thickBot="1" x14ac:dyDescent="0.3">
      <c r="A91" s="116" t="s">
        <v>339</v>
      </c>
      <c r="B91" s="234"/>
    </row>
    <row r="92" spans="1:2" ht="16.5" thickBot="1" x14ac:dyDescent="0.3">
      <c r="A92" s="121" t="s">
        <v>315</v>
      </c>
      <c r="B92" s="260"/>
    </row>
    <row r="93" spans="1:2" ht="16.5" thickBot="1" x14ac:dyDescent="0.3">
      <c r="A93" s="121" t="s">
        <v>340</v>
      </c>
      <c r="B93" s="234"/>
    </row>
    <row r="94" spans="1:2" ht="16.5" thickBot="1" x14ac:dyDescent="0.3">
      <c r="A94" s="121" t="s">
        <v>341</v>
      </c>
      <c r="B94" s="260"/>
    </row>
    <row r="95" spans="1:2" ht="16.5" thickBot="1" x14ac:dyDescent="0.3">
      <c r="A95" s="129" t="s">
        <v>342</v>
      </c>
      <c r="B95" s="166" t="s">
        <v>542</v>
      </c>
    </row>
    <row r="96" spans="1:2" ht="16.5" thickBot="1" x14ac:dyDescent="0.3">
      <c r="A96" s="116" t="s">
        <v>343</v>
      </c>
      <c r="B96" s="127"/>
    </row>
    <row r="97" spans="1:2" ht="16.5" thickBot="1" x14ac:dyDescent="0.3">
      <c r="A97" s="123" t="s">
        <v>344</v>
      </c>
      <c r="B97" s="261">
        <f>'6.1. Паспорт сетевой график'!H43</f>
        <v>45125</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16"/>
    </row>
    <row r="102" spans="1:2" x14ac:dyDescent="0.25">
      <c r="A102" s="123" t="s">
        <v>349</v>
      </c>
      <c r="B102" s="517"/>
    </row>
    <row r="103" spans="1:2" x14ac:dyDescent="0.25">
      <c r="A103" s="123" t="s">
        <v>350</v>
      </c>
      <c r="B103" s="517"/>
    </row>
    <row r="104" spans="1:2" x14ac:dyDescent="0.25">
      <c r="A104" s="123" t="s">
        <v>351</v>
      </c>
      <c r="B104" s="517"/>
    </row>
    <row r="105" spans="1:2" x14ac:dyDescent="0.25">
      <c r="A105" s="123" t="s">
        <v>352</v>
      </c>
      <c r="B105" s="517"/>
    </row>
    <row r="106" spans="1:2" ht="16.5" thickBot="1" x14ac:dyDescent="0.3">
      <c r="A106" s="132" t="s">
        <v>353</v>
      </c>
      <c r="B106" s="518"/>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5_карты_КЛ РП-1-ТП-1.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9" t="s">
        <v>468</v>
      </c>
    </row>
    <row r="2" spans="1:1" ht="25.5" customHeight="1" x14ac:dyDescent="0.25">
      <c r="A2" s="519"/>
    </row>
    <row r="3" spans="1:1" ht="25.5" customHeight="1" x14ac:dyDescent="0.25">
      <c r="A3" s="519"/>
    </row>
    <row r="4" spans="1:1" ht="25.5" customHeight="1" x14ac:dyDescent="0.25">
      <c r="A4" s="519"/>
    </row>
    <row r="5" spans="1:1" ht="25.5" customHeight="1" x14ac:dyDescent="0.25">
      <c r="A5" s="519"/>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C19"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row>
    <row r="5" spans="1:28" s="11" customFormat="1" ht="15.75" x14ac:dyDescent="0.2">
      <c r="A5" s="16"/>
    </row>
    <row r="6" spans="1:28" s="11" customFormat="1" ht="18.75" x14ac:dyDescent="0.2">
      <c r="A6" s="394" t="s">
        <v>6</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12"/>
      <c r="U8" s="12"/>
      <c r="V8" s="12"/>
      <c r="W8" s="12"/>
      <c r="X8" s="12"/>
      <c r="Y8" s="12"/>
      <c r="Z8" s="12"/>
      <c r="AA8" s="12"/>
      <c r="AB8" s="12"/>
    </row>
    <row r="9" spans="1:28" s="11" customFormat="1" ht="18.75" x14ac:dyDescent="0.2">
      <c r="A9" s="390" t="s">
        <v>5</v>
      </c>
      <c r="B9" s="390"/>
      <c r="C9" s="390"/>
      <c r="D9" s="390"/>
      <c r="E9" s="390"/>
      <c r="F9" s="390"/>
      <c r="G9" s="390"/>
      <c r="H9" s="390"/>
      <c r="I9" s="390"/>
      <c r="J9" s="390"/>
      <c r="K9" s="390"/>
      <c r="L9" s="390"/>
      <c r="M9" s="390"/>
      <c r="N9" s="390"/>
      <c r="O9" s="390"/>
      <c r="P9" s="390"/>
      <c r="Q9" s="390"/>
      <c r="R9" s="390"/>
      <c r="S9" s="390"/>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12"/>
      <c r="U11" s="12"/>
      <c r="V11" s="12"/>
      <c r="W11" s="12"/>
      <c r="X11" s="12"/>
      <c r="Y11" s="12"/>
      <c r="Z11" s="12"/>
      <c r="AA11" s="12"/>
      <c r="AB11" s="12"/>
    </row>
    <row r="12" spans="1:28" s="11" customFormat="1" ht="18.75" x14ac:dyDescent="0.2">
      <c r="A12" s="390" t="s">
        <v>4</v>
      </c>
      <c r="B12" s="390"/>
      <c r="C12" s="390"/>
      <c r="D12" s="390"/>
      <c r="E12" s="390"/>
      <c r="F12" s="390"/>
      <c r="G12" s="390"/>
      <c r="H12" s="390"/>
      <c r="I12" s="390"/>
      <c r="J12" s="390"/>
      <c r="K12" s="390"/>
      <c r="L12" s="390"/>
      <c r="M12" s="390"/>
      <c r="N12" s="390"/>
      <c r="O12" s="390"/>
      <c r="P12" s="390"/>
      <c r="Q12" s="390"/>
      <c r="R12" s="390"/>
      <c r="S12" s="390"/>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88" t="str">
        <f>'1. паспорт местоположение'!A9:C9</f>
        <v xml:space="preserve">Акционерное общество "Западная энергетическая компания" </v>
      </c>
      <c r="B14" s="388"/>
      <c r="C14" s="388"/>
      <c r="D14" s="388"/>
      <c r="E14" s="388"/>
      <c r="F14" s="388"/>
      <c r="G14" s="388"/>
      <c r="H14" s="388"/>
      <c r="I14" s="388"/>
      <c r="J14" s="388"/>
      <c r="K14" s="388"/>
      <c r="L14" s="388"/>
      <c r="M14" s="388"/>
      <c r="N14" s="388"/>
      <c r="O14" s="388"/>
      <c r="P14" s="388"/>
      <c r="Q14" s="388"/>
      <c r="R14" s="388"/>
      <c r="S14" s="388"/>
      <c r="T14" s="7"/>
      <c r="U14" s="7"/>
      <c r="V14" s="7"/>
      <c r="W14" s="7"/>
      <c r="X14" s="7"/>
      <c r="Y14" s="7"/>
      <c r="Z14" s="7"/>
      <c r="AA14" s="7"/>
      <c r="AB14" s="7"/>
    </row>
    <row r="15" spans="1:28" s="3" customFormat="1" ht="15" customHeight="1" x14ac:dyDescent="0.2">
      <c r="A15" s="389" t="str">
        <f>'1. паспорт местоположение'!A15:C15</f>
        <v>Строительство КЛ 15 кВ от  РП-1 до ТП-1 пер. Комсомольский, г. Пионерский</v>
      </c>
      <c r="B15" s="390"/>
      <c r="C15" s="390"/>
      <c r="D15" s="390"/>
      <c r="E15" s="390"/>
      <c r="F15" s="390"/>
      <c r="G15" s="390"/>
      <c r="H15" s="390"/>
      <c r="I15" s="390"/>
      <c r="J15" s="390"/>
      <c r="K15" s="390"/>
      <c r="L15" s="390"/>
      <c r="M15" s="390"/>
      <c r="N15" s="390"/>
      <c r="O15" s="390"/>
      <c r="P15" s="390"/>
      <c r="Q15" s="390"/>
      <c r="R15" s="390"/>
      <c r="S15" s="390"/>
      <c r="T15" s="5"/>
      <c r="U15" s="5"/>
      <c r="V15" s="5"/>
      <c r="W15" s="5"/>
      <c r="X15" s="5"/>
      <c r="Y15" s="5"/>
      <c r="Z15" s="5"/>
      <c r="AA15" s="5"/>
      <c r="AB15" s="5"/>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92" t="s">
        <v>412</v>
      </c>
      <c r="B17" s="392"/>
      <c r="C17" s="392"/>
      <c r="D17" s="392"/>
      <c r="E17" s="392"/>
      <c r="F17" s="392"/>
      <c r="G17" s="392"/>
      <c r="H17" s="392"/>
      <c r="I17" s="392"/>
      <c r="J17" s="392"/>
      <c r="K17" s="392"/>
      <c r="L17" s="392"/>
      <c r="M17" s="392"/>
      <c r="N17" s="392"/>
      <c r="O17" s="392"/>
      <c r="P17" s="392"/>
      <c r="Q17" s="392"/>
      <c r="R17" s="392"/>
      <c r="S17" s="392"/>
      <c r="T17" s="6"/>
      <c r="U17" s="6"/>
      <c r="V17" s="6"/>
      <c r="W17" s="6"/>
      <c r="X17" s="6"/>
      <c r="Y17" s="6"/>
      <c r="Z17" s="6"/>
      <c r="AA17" s="6"/>
      <c r="AB17" s="6"/>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6" t="s">
        <v>2</v>
      </c>
      <c r="B19" s="396" t="s">
        <v>93</v>
      </c>
      <c r="C19" s="397" t="s">
        <v>306</v>
      </c>
      <c r="D19" s="396" t="s">
        <v>305</v>
      </c>
      <c r="E19" s="396" t="s">
        <v>92</v>
      </c>
      <c r="F19" s="396" t="s">
        <v>91</v>
      </c>
      <c r="G19" s="396" t="s">
        <v>301</v>
      </c>
      <c r="H19" s="396" t="s">
        <v>90</v>
      </c>
      <c r="I19" s="396" t="s">
        <v>89</v>
      </c>
      <c r="J19" s="396" t="s">
        <v>88</v>
      </c>
      <c r="K19" s="396" t="s">
        <v>87</v>
      </c>
      <c r="L19" s="396" t="s">
        <v>86</v>
      </c>
      <c r="M19" s="396" t="s">
        <v>85</v>
      </c>
      <c r="N19" s="396" t="s">
        <v>84</v>
      </c>
      <c r="O19" s="396" t="s">
        <v>83</v>
      </c>
      <c r="P19" s="396" t="s">
        <v>82</v>
      </c>
      <c r="Q19" s="396" t="s">
        <v>304</v>
      </c>
      <c r="R19" s="396"/>
      <c r="S19" s="399" t="s">
        <v>406</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0" t="s">
        <v>302</v>
      </c>
      <c r="R20" s="41" t="s">
        <v>303</v>
      </c>
      <c r="S20" s="399"/>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583</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8" t="str">
        <f>'1. паспорт местоположение'!A5:C5</f>
        <v>Год раскрытия информации: 2022 год</v>
      </c>
      <c r="B6" s="378"/>
      <c r="C6" s="378"/>
      <c r="D6" s="378"/>
      <c r="E6" s="378"/>
      <c r="F6" s="378"/>
      <c r="G6" s="378"/>
      <c r="H6" s="378"/>
      <c r="I6" s="378"/>
      <c r="J6" s="378"/>
      <c r="K6" s="378"/>
      <c r="L6" s="378"/>
      <c r="M6" s="378"/>
      <c r="N6" s="378"/>
      <c r="O6" s="378"/>
      <c r="P6" s="378"/>
      <c r="Q6" s="378"/>
      <c r="R6" s="378"/>
      <c r="S6" s="378"/>
      <c r="T6" s="378"/>
    </row>
    <row r="7" spans="1:20" s="11" customFormat="1" x14ac:dyDescent="0.2">
      <c r="A7" s="16"/>
      <c r="H7" s="15"/>
    </row>
    <row r="8" spans="1:20" s="11" customFormat="1" ht="18.75" x14ac:dyDescent="0.2">
      <c r="A8" s="394" t="s">
        <v>6</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88" t="str">
        <f>'1. паспорт местоположение'!A9:C9</f>
        <v xml:space="preserve">Акционерное общество "Западная энергетическая компания" </v>
      </c>
      <c r="B10" s="388"/>
      <c r="C10" s="388"/>
      <c r="D10" s="388"/>
      <c r="E10" s="388"/>
      <c r="F10" s="388"/>
      <c r="G10" s="388"/>
      <c r="H10" s="388"/>
      <c r="I10" s="388"/>
      <c r="J10" s="388"/>
      <c r="K10" s="388"/>
      <c r="L10" s="388"/>
      <c r="M10" s="388"/>
      <c r="N10" s="388"/>
      <c r="O10" s="388"/>
      <c r="P10" s="388"/>
      <c r="Q10" s="388"/>
      <c r="R10" s="388"/>
      <c r="S10" s="388"/>
      <c r="T10" s="388"/>
    </row>
    <row r="11" spans="1:20" s="11" customFormat="1" ht="18.75" customHeight="1" x14ac:dyDescent="0.2">
      <c r="A11" s="390" t="s">
        <v>5</v>
      </c>
      <c r="B11" s="390"/>
      <c r="C11" s="390"/>
      <c r="D11" s="390"/>
      <c r="E11" s="390"/>
      <c r="F11" s="390"/>
      <c r="G11" s="390"/>
      <c r="H11" s="390"/>
      <c r="I11" s="390"/>
      <c r="J11" s="390"/>
      <c r="K11" s="390"/>
      <c r="L11" s="390"/>
      <c r="M11" s="390"/>
      <c r="N11" s="390"/>
      <c r="O11" s="390"/>
      <c r="P11" s="390"/>
      <c r="Q11" s="390"/>
      <c r="R11" s="390"/>
      <c r="S11" s="390"/>
      <c r="T11" s="390"/>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88" t="str">
        <f>'1. паспорт местоположение'!A12:C12</f>
        <v>J 19-15</v>
      </c>
      <c r="B13" s="388"/>
      <c r="C13" s="388"/>
      <c r="D13" s="388"/>
      <c r="E13" s="388"/>
      <c r="F13" s="388"/>
      <c r="G13" s="388"/>
      <c r="H13" s="388"/>
      <c r="I13" s="388"/>
      <c r="J13" s="388"/>
      <c r="K13" s="388"/>
      <c r="L13" s="388"/>
      <c r="M13" s="388"/>
      <c r="N13" s="388"/>
      <c r="O13" s="388"/>
      <c r="P13" s="388"/>
      <c r="Q13" s="388"/>
      <c r="R13" s="388"/>
      <c r="S13" s="388"/>
      <c r="T13" s="388"/>
    </row>
    <row r="14" spans="1:20" s="11" customFormat="1" ht="18.75" customHeight="1" x14ac:dyDescent="0.2">
      <c r="A14" s="390" t="s">
        <v>4</v>
      </c>
      <c r="B14" s="390"/>
      <c r="C14" s="390"/>
      <c r="D14" s="390"/>
      <c r="E14" s="390"/>
      <c r="F14" s="390"/>
      <c r="G14" s="390"/>
      <c r="H14" s="390"/>
      <c r="I14" s="390"/>
      <c r="J14" s="390"/>
      <c r="K14" s="390"/>
      <c r="L14" s="390"/>
      <c r="M14" s="390"/>
      <c r="N14" s="390"/>
      <c r="O14" s="390"/>
      <c r="P14" s="390"/>
      <c r="Q14" s="390"/>
      <c r="R14" s="390"/>
      <c r="S14" s="390"/>
      <c r="T14" s="390"/>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88" t="str">
        <f>'1. паспорт местоположение'!A15</f>
        <v>Строительство КЛ 15 кВ от  РП-1 до ТП-1 пер. Комсомольский, г. Пионерский</v>
      </c>
      <c r="B16" s="388"/>
      <c r="C16" s="388"/>
      <c r="D16" s="388"/>
      <c r="E16" s="388"/>
      <c r="F16" s="388"/>
      <c r="G16" s="388"/>
      <c r="H16" s="388"/>
      <c r="I16" s="388"/>
      <c r="J16" s="388"/>
      <c r="K16" s="388"/>
      <c r="L16" s="388"/>
      <c r="M16" s="388"/>
      <c r="N16" s="388"/>
      <c r="O16" s="388"/>
      <c r="P16" s="388"/>
      <c r="Q16" s="388"/>
      <c r="R16" s="388"/>
      <c r="S16" s="388"/>
      <c r="T16" s="388"/>
    </row>
    <row r="17" spans="1:20" s="3" customFormat="1" ht="15" customHeight="1" x14ac:dyDescent="0.2">
      <c r="A17" s="390" t="s">
        <v>3</v>
      </c>
      <c r="B17" s="390"/>
      <c r="C17" s="390"/>
      <c r="D17" s="390"/>
      <c r="E17" s="390"/>
      <c r="F17" s="390"/>
      <c r="G17" s="390"/>
      <c r="H17" s="390"/>
      <c r="I17" s="390"/>
      <c r="J17" s="390"/>
      <c r="K17" s="390"/>
      <c r="L17" s="390"/>
      <c r="M17" s="390"/>
      <c r="N17" s="390"/>
      <c r="O17" s="390"/>
      <c r="P17" s="390"/>
      <c r="Q17" s="390"/>
      <c r="R17" s="390"/>
      <c r="S17" s="390"/>
      <c r="T17" s="390"/>
    </row>
    <row r="18" spans="1:20"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20" s="3" customFormat="1" ht="15" customHeight="1" x14ac:dyDescent="0.2">
      <c r="A19" s="403" t="s">
        <v>417</v>
      </c>
      <c r="B19" s="403"/>
      <c r="C19" s="403"/>
      <c r="D19" s="403"/>
      <c r="E19" s="403"/>
      <c r="F19" s="403"/>
      <c r="G19" s="403"/>
      <c r="H19" s="403"/>
      <c r="I19" s="403"/>
      <c r="J19" s="403"/>
      <c r="K19" s="403"/>
      <c r="L19" s="403"/>
      <c r="M19" s="403"/>
      <c r="N19" s="403"/>
      <c r="O19" s="403"/>
      <c r="P19" s="403"/>
      <c r="Q19" s="403"/>
      <c r="R19" s="403"/>
      <c r="S19" s="403"/>
      <c r="T19" s="403"/>
    </row>
    <row r="20" spans="1:20" s="53"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x14ac:dyDescent="0.25">
      <c r="A21" s="405" t="s">
        <v>2</v>
      </c>
      <c r="B21" s="408" t="s">
        <v>218</v>
      </c>
      <c r="C21" s="409"/>
      <c r="D21" s="412" t="s">
        <v>115</v>
      </c>
      <c r="E21" s="408" t="s">
        <v>446</v>
      </c>
      <c r="F21" s="409"/>
      <c r="G21" s="408" t="s">
        <v>237</v>
      </c>
      <c r="H21" s="409"/>
      <c r="I21" s="408" t="s">
        <v>114</v>
      </c>
      <c r="J21" s="409"/>
      <c r="K21" s="412" t="s">
        <v>113</v>
      </c>
      <c r="L21" s="408" t="s">
        <v>112</v>
      </c>
      <c r="M21" s="409"/>
      <c r="N21" s="408" t="s">
        <v>442</v>
      </c>
      <c r="O21" s="409"/>
      <c r="P21" s="412" t="s">
        <v>111</v>
      </c>
      <c r="Q21" s="400" t="s">
        <v>110</v>
      </c>
      <c r="R21" s="401"/>
      <c r="S21" s="400" t="s">
        <v>109</v>
      </c>
      <c r="T21" s="402"/>
    </row>
    <row r="22" spans="1:20" ht="204.75" customHeight="1" x14ac:dyDescent="0.25">
      <c r="A22" s="406"/>
      <c r="B22" s="410"/>
      <c r="C22" s="411"/>
      <c r="D22" s="415"/>
      <c r="E22" s="410"/>
      <c r="F22" s="411"/>
      <c r="G22" s="410"/>
      <c r="H22" s="411"/>
      <c r="I22" s="410"/>
      <c r="J22" s="411"/>
      <c r="K22" s="413"/>
      <c r="L22" s="410"/>
      <c r="M22" s="411"/>
      <c r="N22" s="410"/>
      <c r="O22" s="411"/>
      <c r="P22" s="413"/>
      <c r="Q22" s="102" t="s">
        <v>108</v>
      </c>
      <c r="R22" s="102" t="s">
        <v>416</v>
      </c>
      <c r="S22" s="102" t="s">
        <v>107</v>
      </c>
      <c r="T22" s="102" t="s">
        <v>106</v>
      </c>
    </row>
    <row r="23" spans="1:20" ht="51.75" customHeight="1" x14ac:dyDescent="0.25">
      <c r="A23" s="407"/>
      <c r="B23" s="147" t="s">
        <v>104</v>
      </c>
      <c r="C23" s="147" t="s">
        <v>105</v>
      </c>
      <c r="D23" s="413"/>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14" t="s">
        <v>452</v>
      </c>
      <c r="C32" s="414"/>
      <c r="D32" s="414"/>
      <c r="E32" s="414"/>
      <c r="F32" s="414"/>
      <c r="G32" s="414"/>
      <c r="H32" s="414"/>
      <c r="I32" s="414"/>
      <c r="J32" s="414"/>
      <c r="K32" s="414"/>
      <c r="L32" s="414"/>
      <c r="M32" s="414"/>
      <c r="N32" s="414"/>
      <c r="O32" s="414"/>
      <c r="P32" s="414"/>
      <c r="Q32" s="414"/>
      <c r="R32" s="414"/>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U26" sqref="U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394" t="s">
        <v>6</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tr">
        <f>'1. паспорт местоположение'!A9</f>
        <v xml:space="preserve">Акционерное общество "Западная энергетическая компания" </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90" t="s">
        <v>5</v>
      </c>
      <c r="F10" s="390"/>
      <c r="G10" s="390"/>
      <c r="H10" s="390"/>
      <c r="I10" s="390"/>
      <c r="J10" s="390"/>
      <c r="K10" s="390"/>
      <c r="L10" s="390"/>
      <c r="M10" s="390"/>
      <c r="N10" s="390"/>
      <c r="O10" s="390"/>
      <c r="P10" s="390"/>
      <c r="Q10" s="390"/>
      <c r="R10" s="390"/>
      <c r="S10" s="390"/>
      <c r="T10" s="390"/>
      <c r="U10" s="390"/>
      <c r="V10" s="390"/>
      <c r="W10" s="390"/>
      <c r="X10" s="390"/>
      <c r="Y10" s="39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8" t="str">
        <f>'1. паспорт местоположение'!A12</f>
        <v>J 19-15</v>
      </c>
      <c r="F12" s="388"/>
      <c r="G12" s="388"/>
      <c r="H12" s="388"/>
      <c r="I12" s="388"/>
      <c r="J12" s="388"/>
      <c r="K12" s="388"/>
      <c r="L12" s="388"/>
      <c r="M12" s="388"/>
      <c r="N12" s="388"/>
      <c r="O12" s="388"/>
      <c r="P12" s="388"/>
      <c r="Q12" s="388"/>
      <c r="R12" s="388"/>
      <c r="S12" s="388"/>
      <c r="T12" s="388"/>
      <c r="U12" s="388"/>
      <c r="V12" s="388"/>
      <c r="W12" s="388"/>
      <c r="X12" s="388"/>
      <c r="Y12" s="388"/>
    </row>
    <row r="13" spans="1:27" s="11" customFormat="1" ht="18.75" customHeight="1" x14ac:dyDescent="0.2">
      <c r="E13" s="390" t="s">
        <v>4</v>
      </c>
      <c r="F13" s="390"/>
      <c r="G13" s="390"/>
      <c r="H13" s="390"/>
      <c r="I13" s="390"/>
      <c r="J13" s="390"/>
      <c r="K13" s="390"/>
      <c r="L13" s="390"/>
      <c r="M13" s="390"/>
      <c r="N13" s="390"/>
      <c r="O13" s="390"/>
      <c r="P13" s="390"/>
      <c r="Q13" s="390"/>
      <c r="R13" s="390"/>
      <c r="S13" s="390"/>
      <c r="T13" s="390"/>
      <c r="U13" s="390"/>
      <c r="V13" s="390"/>
      <c r="W13" s="390"/>
      <c r="X13" s="390"/>
      <c r="Y13" s="39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8" t="str">
        <f>'1. паспорт местоположение'!A15</f>
        <v>Строительство КЛ 15 кВ от  РП-1 до ТП-1 пер. Комсомольский, г. Пионерский</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90" t="s">
        <v>3</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419</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53" customFormat="1" ht="21" customHeight="1" x14ac:dyDescent="0.25"/>
    <row r="21" spans="1:27" ht="15.75" customHeight="1" x14ac:dyDescent="0.25">
      <c r="A21" s="416" t="s">
        <v>2</v>
      </c>
      <c r="B21" s="418" t="s">
        <v>426</v>
      </c>
      <c r="C21" s="419"/>
      <c r="D21" s="418" t="s">
        <v>428</v>
      </c>
      <c r="E21" s="419"/>
      <c r="F21" s="400" t="s">
        <v>87</v>
      </c>
      <c r="G21" s="402"/>
      <c r="H21" s="402"/>
      <c r="I21" s="401"/>
      <c r="J21" s="416" t="s">
        <v>429</v>
      </c>
      <c r="K21" s="418" t="s">
        <v>430</v>
      </c>
      <c r="L21" s="419"/>
      <c r="M21" s="418" t="s">
        <v>431</v>
      </c>
      <c r="N21" s="419"/>
      <c r="O21" s="418" t="s">
        <v>418</v>
      </c>
      <c r="P21" s="419"/>
      <c r="Q21" s="418" t="s">
        <v>120</v>
      </c>
      <c r="R21" s="419"/>
      <c r="S21" s="416" t="s">
        <v>119</v>
      </c>
      <c r="T21" s="416" t="s">
        <v>432</v>
      </c>
      <c r="U21" s="416" t="s">
        <v>427</v>
      </c>
      <c r="V21" s="418" t="s">
        <v>118</v>
      </c>
      <c r="W21" s="419"/>
      <c r="X21" s="400" t="s">
        <v>110</v>
      </c>
      <c r="Y21" s="402"/>
      <c r="Z21" s="400" t="s">
        <v>109</v>
      </c>
      <c r="AA21" s="402"/>
    </row>
    <row r="22" spans="1:27" ht="154.5" customHeight="1" x14ac:dyDescent="0.25">
      <c r="A22" s="422"/>
      <c r="B22" s="420"/>
      <c r="C22" s="421"/>
      <c r="D22" s="420"/>
      <c r="E22" s="421"/>
      <c r="F22" s="400" t="s">
        <v>117</v>
      </c>
      <c r="G22" s="401"/>
      <c r="H22" s="400" t="s">
        <v>116</v>
      </c>
      <c r="I22" s="401"/>
      <c r="J22" s="417"/>
      <c r="K22" s="420"/>
      <c r="L22" s="421"/>
      <c r="M22" s="420"/>
      <c r="N22" s="421"/>
      <c r="O22" s="420"/>
      <c r="P22" s="421"/>
      <c r="Q22" s="420"/>
      <c r="R22" s="421"/>
      <c r="S22" s="417"/>
      <c r="T22" s="417"/>
      <c r="U22" s="417"/>
      <c r="V22" s="420"/>
      <c r="W22" s="421"/>
      <c r="X22" s="102" t="s">
        <v>108</v>
      </c>
      <c r="Y22" s="102" t="s">
        <v>416</v>
      </c>
      <c r="Z22" s="102" t="s">
        <v>107</v>
      </c>
      <c r="AA22" s="102" t="s">
        <v>106</v>
      </c>
    </row>
    <row r="23" spans="1:27" ht="60" customHeight="1" x14ac:dyDescent="0.25">
      <c r="A23" s="417"/>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38" customFormat="1" x14ac:dyDescent="0.25">
      <c r="A25" s="271">
        <v>1</v>
      </c>
      <c r="B25" s="271" t="s">
        <v>542</v>
      </c>
      <c r="C25" s="271" t="s">
        <v>575</v>
      </c>
      <c r="D25" s="271" t="s">
        <v>300</v>
      </c>
      <c r="E25" s="271" t="s">
        <v>576</v>
      </c>
      <c r="F25" s="271" t="s">
        <v>300</v>
      </c>
      <c r="G25" s="271">
        <v>15</v>
      </c>
      <c r="H25" s="271" t="s">
        <v>300</v>
      </c>
      <c r="I25" s="271">
        <v>15</v>
      </c>
      <c r="J25" s="271" t="s">
        <v>300</v>
      </c>
      <c r="K25" s="271" t="s">
        <v>300</v>
      </c>
      <c r="L25" s="272"/>
      <c r="M25" s="271" t="s">
        <v>300</v>
      </c>
      <c r="N25" s="272">
        <v>240</v>
      </c>
      <c r="O25" s="273" t="s">
        <v>300</v>
      </c>
      <c r="P25" s="273" t="s">
        <v>560</v>
      </c>
      <c r="Q25" s="273" t="s">
        <v>300</v>
      </c>
      <c r="R25" s="273">
        <v>0.6</v>
      </c>
      <c r="S25" s="271" t="s">
        <v>300</v>
      </c>
      <c r="T25" s="271" t="s">
        <v>300</v>
      </c>
      <c r="U25" s="271" t="s">
        <v>300</v>
      </c>
      <c r="V25" s="274" t="s">
        <v>300</v>
      </c>
      <c r="W25" s="274"/>
      <c r="X25" s="273" t="s">
        <v>300</v>
      </c>
      <c r="Y25" s="273" t="s">
        <v>300</v>
      </c>
      <c r="Z25" s="273" t="s">
        <v>300</v>
      </c>
      <c r="AA25" s="273" t="s">
        <v>300</v>
      </c>
    </row>
    <row r="26" spans="1:27" x14ac:dyDescent="0.25">
      <c r="A26" s="275"/>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8" t="str">
        <f>'1. паспорт местоположение'!A5:C5</f>
        <v>Год раскрытия информации: 2022 год</v>
      </c>
      <c r="B5" s="378"/>
      <c r="C5" s="378"/>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394" t="s">
        <v>6</v>
      </c>
      <c r="B7" s="394"/>
      <c r="C7" s="394"/>
      <c r="D7" s="12"/>
      <c r="E7" s="12"/>
      <c r="F7" s="12"/>
      <c r="G7" s="12"/>
      <c r="H7" s="12"/>
      <c r="I7" s="12"/>
      <c r="J7" s="12"/>
      <c r="K7" s="12"/>
      <c r="L7" s="12"/>
      <c r="M7" s="12"/>
      <c r="N7" s="12"/>
      <c r="O7" s="12"/>
      <c r="P7" s="12"/>
      <c r="Q7" s="12"/>
      <c r="R7" s="12"/>
      <c r="S7" s="12"/>
      <c r="T7" s="12"/>
      <c r="U7" s="12"/>
    </row>
    <row r="8" spans="1:29" s="11" customFormat="1" ht="18.75" x14ac:dyDescent="0.2">
      <c r="A8" s="394"/>
      <c r="B8" s="394"/>
      <c r="C8" s="394"/>
      <c r="D8" s="13"/>
      <c r="E8" s="13"/>
      <c r="F8" s="13"/>
      <c r="G8" s="13"/>
      <c r="H8" s="12"/>
      <c r="I8" s="12"/>
      <c r="J8" s="12"/>
      <c r="K8" s="12"/>
      <c r="L8" s="12"/>
      <c r="M8" s="12"/>
      <c r="N8" s="12"/>
      <c r="O8" s="12"/>
      <c r="P8" s="12"/>
      <c r="Q8" s="12"/>
      <c r="R8" s="12"/>
      <c r="S8" s="12"/>
      <c r="T8" s="12"/>
      <c r="U8" s="12"/>
    </row>
    <row r="9" spans="1:29" s="11" customFormat="1" ht="18.75" x14ac:dyDescent="0.2">
      <c r="A9" s="388" t="str">
        <f>'1. паспорт местоположение'!A9:C9</f>
        <v xml:space="preserve">Акционерное общество "Западная энергетическая компания" </v>
      </c>
      <c r="B9" s="388"/>
      <c r="C9" s="388"/>
      <c r="D9" s="7"/>
      <c r="E9" s="7"/>
      <c r="F9" s="7"/>
      <c r="G9" s="7"/>
      <c r="H9" s="12"/>
      <c r="I9" s="12"/>
      <c r="J9" s="12"/>
      <c r="K9" s="12"/>
      <c r="L9" s="12"/>
      <c r="M9" s="12"/>
      <c r="N9" s="12"/>
      <c r="O9" s="12"/>
      <c r="P9" s="12"/>
      <c r="Q9" s="12"/>
      <c r="R9" s="12"/>
      <c r="S9" s="12"/>
      <c r="T9" s="12"/>
      <c r="U9" s="12"/>
    </row>
    <row r="10" spans="1:29" s="11" customFormat="1" ht="18.75" x14ac:dyDescent="0.2">
      <c r="A10" s="390" t="s">
        <v>5</v>
      </c>
      <c r="B10" s="390"/>
      <c r="C10" s="390"/>
      <c r="D10" s="5"/>
      <c r="E10" s="5"/>
      <c r="F10" s="5"/>
      <c r="G10" s="5"/>
      <c r="H10" s="12"/>
      <c r="I10" s="12"/>
      <c r="J10" s="12"/>
      <c r="K10" s="12"/>
      <c r="L10" s="12"/>
      <c r="M10" s="12"/>
      <c r="N10" s="12"/>
      <c r="O10" s="12"/>
      <c r="P10" s="12"/>
      <c r="Q10" s="12"/>
      <c r="R10" s="12"/>
      <c r="S10" s="12"/>
      <c r="T10" s="12"/>
      <c r="U10" s="12"/>
    </row>
    <row r="11" spans="1:29" s="11" customFormat="1" ht="18.75" x14ac:dyDescent="0.2">
      <c r="A11" s="394"/>
      <c r="B11" s="394"/>
      <c r="C11" s="394"/>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J 19-15</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390" t="s">
        <v>4</v>
      </c>
      <c r="B13" s="390"/>
      <c r="C13" s="39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5"/>
      <c r="B14" s="395"/>
      <c r="C14" s="395"/>
      <c r="D14" s="9"/>
      <c r="E14" s="9"/>
      <c r="F14" s="9"/>
      <c r="G14" s="9"/>
      <c r="H14" s="9"/>
      <c r="I14" s="9"/>
      <c r="J14" s="9"/>
      <c r="K14" s="9"/>
      <c r="L14" s="9"/>
      <c r="M14" s="9"/>
      <c r="N14" s="9"/>
      <c r="O14" s="9"/>
      <c r="P14" s="9"/>
      <c r="Q14" s="9"/>
      <c r="R14" s="9"/>
      <c r="S14" s="9"/>
      <c r="T14" s="9"/>
      <c r="U14" s="9"/>
    </row>
    <row r="15" spans="1:29" s="3" customFormat="1" ht="33.75" customHeight="1" x14ac:dyDescent="0.2">
      <c r="A15" s="423" t="str">
        <f>'1. паспорт местоположение'!A15</f>
        <v>Строительство КЛ 15 кВ от  РП-1 до ТП-1 пер. Комсомольский, г. Пионерский</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390" t="s">
        <v>3</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92" t="s">
        <v>411</v>
      </c>
      <c r="B18" s="392"/>
      <c r="C18" s="3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590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33" t="s">
        <v>591</v>
      </c>
      <c r="D23" s="26"/>
      <c r="E23" s="269"/>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589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584</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585</v>
      </c>
      <c r="D27" s="26"/>
      <c r="E27" s="26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topLeftCell="A21"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8" t="str">
        <f>'1. паспорт местоположение'!A5:C5</f>
        <v>Год раскрытия информации: 2022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42"/>
      <c r="AB6" s="142"/>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42"/>
      <c r="AB7" s="142"/>
    </row>
    <row r="8" spans="1:28" x14ac:dyDescent="0.25">
      <c r="A8" s="388" t="str">
        <f>'1. паспорт местоположение'!A9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3"/>
      <c r="AB8" s="143"/>
    </row>
    <row r="9" spans="1:28" ht="15.75"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44"/>
      <c r="AB9" s="144"/>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42"/>
      <c r="AB10" s="142"/>
    </row>
    <row r="11" spans="1:28" x14ac:dyDescent="0.25">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43"/>
      <c r="AB11" s="143"/>
    </row>
    <row r="12" spans="1:28" ht="15.75"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44"/>
      <c r="AB12" s="144"/>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88" t="str">
        <f>'1. паспорт местоположение'!A15</f>
        <v>Строительство КЛ 15 кВ от  РП-1 до ТП-1 пер. Комсомольский, г. Пионерский</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3"/>
      <c r="AB14" s="143"/>
    </row>
    <row r="15" spans="1:28" ht="15.75"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44"/>
      <c r="AB15" s="144"/>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53"/>
      <c r="AB16" s="153"/>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53"/>
      <c r="AB17" s="153"/>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53"/>
      <c r="AB18" s="153"/>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53"/>
      <c r="AB19" s="153"/>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4"/>
      <c r="AB20" s="154"/>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4"/>
      <c r="AB21" s="154"/>
    </row>
    <row r="22" spans="1:28" x14ac:dyDescent="0.25">
      <c r="A22" s="427" t="s">
        <v>443</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55"/>
      <c r="AB22" s="155"/>
    </row>
    <row r="23" spans="1:28" ht="32.25" customHeight="1" x14ac:dyDescent="0.25">
      <c r="A23" s="429" t="s">
        <v>297</v>
      </c>
      <c r="B23" s="430"/>
      <c r="C23" s="430"/>
      <c r="D23" s="430"/>
      <c r="E23" s="430"/>
      <c r="F23" s="430"/>
      <c r="G23" s="430"/>
      <c r="H23" s="430"/>
      <c r="I23" s="430"/>
      <c r="J23" s="430"/>
      <c r="K23" s="430"/>
      <c r="L23" s="431"/>
      <c r="M23" s="428" t="s">
        <v>298</v>
      </c>
      <c r="N23" s="428"/>
      <c r="O23" s="428"/>
      <c r="P23" s="428"/>
      <c r="Q23" s="428"/>
      <c r="R23" s="428"/>
      <c r="S23" s="428"/>
      <c r="T23" s="428"/>
      <c r="U23" s="428"/>
      <c r="V23" s="428"/>
      <c r="W23" s="428"/>
      <c r="X23" s="428"/>
      <c r="Y23" s="428"/>
      <c r="Z23" s="428"/>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ht="60" x14ac:dyDescent="0.25">
      <c r="A26" s="231" t="s">
        <v>592</v>
      </c>
      <c r="B26" s="232" t="s">
        <v>556</v>
      </c>
      <c r="C26" s="232" t="s">
        <v>556</v>
      </c>
      <c r="D26" s="232" t="s">
        <v>556</v>
      </c>
      <c r="E26" s="232" t="s">
        <v>556</v>
      </c>
      <c r="F26" s="232" t="s">
        <v>556</v>
      </c>
      <c r="G26" s="232" t="s">
        <v>556</v>
      </c>
      <c r="H26" s="232" t="s">
        <v>556</v>
      </c>
      <c r="I26" s="232" t="s">
        <v>556</v>
      </c>
      <c r="J26" s="232" t="s">
        <v>556</v>
      </c>
      <c r="K26" s="232" t="s">
        <v>556</v>
      </c>
      <c r="L26" s="232" t="s">
        <v>556</v>
      </c>
      <c r="M26" s="232" t="s">
        <v>556</v>
      </c>
      <c r="N26" s="232" t="s">
        <v>556</v>
      </c>
      <c r="O26" s="232" t="s">
        <v>556</v>
      </c>
      <c r="P26" s="232" t="s">
        <v>556</v>
      </c>
      <c r="Q26" s="232" t="s">
        <v>556</v>
      </c>
      <c r="R26" s="232" t="s">
        <v>556</v>
      </c>
      <c r="S26" s="232" t="s">
        <v>556</v>
      </c>
      <c r="T26" s="232" t="s">
        <v>556</v>
      </c>
      <c r="U26" s="232" t="s">
        <v>556</v>
      </c>
      <c r="V26" s="232" t="s">
        <v>556</v>
      </c>
      <c r="W26" s="232" t="s">
        <v>556</v>
      </c>
      <c r="X26" s="232" t="s">
        <v>556</v>
      </c>
      <c r="Y26" s="232" t="s">
        <v>556</v>
      </c>
      <c r="Z26" s="232" t="s">
        <v>556</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8" t="str">
        <f>'1. паспорт местоположение'!A5:C5</f>
        <v>Год раскрытия информации: 2022 год</v>
      </c>
      <c r="B5" s="378"/>
      <c r="C5" s="378"/>
      <c r="D5" s="378"/>
      <c r="E5" s="378"/>
      <c r="F5" s="378"/>
      <c r="G5" s="378"/>
      <c r="H5" s="378"/>
      <c r="I5" s="378"/>
      <c r="J5" s="378"/>
      <c r="K5" s="378"/>
      <c r="L5" s="378"/>
      <c r="M5" s="378"/>
      <c r="N5" s="378"/>
      <c r="O5" s="378"/>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394" t="s">
        <v>6</v>
      </c>
      <c r="B7" s="394"/>
      <c r="C7" s="394"/>
      <c r="D7" s="394"/>
      <c r="E7" s="394"/>
      <c r="F7" s="394"/>
      <c r="G7" s="394"/>
      <c r="H7" s="394"/>
      <c r="I7" s="394"/>
      <c r="J7" s="394"/>
      <c r="K7" s="394"/>
      <c r="L7" s="394"/>
      <c r="M7" s="394"/>
      <c r="N7" s="394"/>
      <c r="O7" s="394"/>
      <c r="P7" s="12"/>
      <c r="Q7" s="12"/>
      <c r="R7" s="12"/>
      <c r="S7" s="12"/>
      <c r="T7" s="12"/>
      <c r="U7" s="12"/>
      <c r="V7" s="12"/>
      <c r="W7" s="12"/>
      <c r="X7" s="12"/>
      <c r="Y7" s="12"/>
      <c r="Z7" s="12"/>
    </row>
    <row r="8" spans="1:28" s="11" customFormat="1" ht="18.75" x14ac:dyDescent="0.2">
      <c r="A8" s="394"/>
      <c r="B8" s="394"/>
      <c r="C8" s="394"/>
      <c r="D8" s="394"/>
      <c r="E8" s="394"/>
      <c r="F8" s="394"/>
      <c r="G8" s="394"/>
      <c r="H8" s="394"/>
      <c r="I8" s="394"/>
      <c r="J8" s="394"/>
      <c r="K8" s="394"/>
      <c r="L8" s="394"/>
      <c r="M8" s="394"/>
      <c r="N8" s="394"/>
      <c r="O8" s="394"/>
      <c r="P8" s="12"/>
      <c r="Q8" s="12"/>
      <c r="R8" s="12"/>
      <c r="S8" s="12"/>
      <c r="T8" s="12"/>
      <c r="U8" s="12"/>
      <c r="V8" s="12"/>
      <c r="W8" s="12"/>
      <c r="X8" s="12"/>
      <c r="Y8" s="12"/>
      <c r="Z8" s="12"/>
    </row>
    <row r="9" spans="1:28" s="11" customFormat="1" ht="18.75" x14ac:dyDescent="0.2">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90" t="s">
        <v>5</v>
      </c>
      <c r="B10" s="390"/>
      <c r="C10" s="390"/>
      <c r="D10" s="390"/>
      <c r="E10" s="390"/>
      <c r="F10" s="390"/>
      <c r="G10" s="390"/>
      <c r="H10" s="390"/>
      <c r="I10" s="390"/>
      <c r="J10" s="390"/>
      <c r="K10" s="390"/>
      <c r="L10" s="390"/>
      <c r="M10" s="390"/>
      <c r="N10" s="390"/>
      <c r="O10" s="390"/>
      <c r="P10" s="12"/>
      <c r="Q10" s="12"/>
      <c r="R10" s="12"/>
      <c r="S10" s="12"/>
      <c r="T10" s="12"/>
      <c r="U10" s="12"/>
      <c r="V10" s="12"/>
      <c r="W10" s="12"/>
      <c r="X10" s="12"/>
      <c r="Y10" s="12"/>
      <c r="Z10" s="12"/>
    </row>
    <row r="11" spans="1:28" s="11" customFormat="1" ht="18.75" x14ac:dyDescent="0.2">
      <c r="A11" s="394"/>
      <c r="B11" s="394"/>
      <c r="C11" s="394"/>
      <c r="D11" s="394"/>
      <c r="E11" s="394"/>
      <c r="F11" s="394"/>
      <c r="G11" s="394"/>
      <c r="H11" s="394"/>
      <c r="I11" s="394"/>
      <c r="J11" s="394"/>
      <c r="K11" s="394"/>
      <c r="L11" s="394"/>
      <c r="M11" s="394"/>
      <c r="N11" s="394"/>
      <c r="O11" s="394"/>
      <c r="P11" s="12"/>
      <c r="Q11" s="12"/>
      <c r="R11" s="12"/>
      <c r="S11" s="12"/>
      <c r="T11" s="12"/>
      <c r="U11" s="12"/>
      <c r="V11" s="12"/>
      <c r="W11" s="12"/>
      <c r="X11" s="12"/>
      <c r="Y11" s="12"/>
      <c r="Z11" s="12"/>
    </row>
    <row r="12" spans="1:28" s="11" customFormat="1" ht="18.75" x14ac:dyDescent="0.2">
      <c r="A12" s="388" t="str">
        <f>'1. паспорт местоположение'!A12:C12</f>
        <v>J 19-15</v>
      </c>
      <c r="B12" s="388"/>
      <c r="C12" s="388"/>
      <c r="D12" s="388"/>
      <c r="E12" s="388"/>
      <c r="F12" s="388"/>
      <c r="G12" s="388"/>
      <c r="H12" s="388"/>
      <c r="I12" s="388"/>
      <c r="J12" s="388"/>
      <c r="K12" s="388"/>
      <c r="L12" s="388"/>
      <c r="M12" s="388"/>
      <c r="N12" s="388"/>
      <c r="O12" s="388"/>
      <c r="P12" s="12"/>
      <c r="Q12" s="12"/>
      <c r="R12" s="12"/>
      <c r="S12" s="12"/>
      <c r="T12" s="12"/>
      <c r="U12" s="12"/>
      <c r="V12" s="12"/>
      <c r="W12" s="12"/>
      <c r="X12" s="12"/>
      <c r="Y12" s="12"/>
      <c r="Z12" s="12"/>
    </row>
    <row r="13" spans="1:28" s="11" customFormat="1" ht="18.75" x14ac:dyDescent="0.2">
      <c r="A13" s="390" t="s">
        <v>4</v>
      </c>
      <c r="B13" s="390"/>
      <c r="C13" s="390"/>
      <c r="D13" s="390"/>
      <c r="E13" s="390"/>
      <c r="F13" s="390"/>
      <c r="G13" s="390"/>
      <c r="H13" s="390"/>
      <c r="I13" s="390"/>
      <c r="J13" s="390"/>
      <c r="K13" s="390"/>
      <c r="L13" s="390"/>
      <c r="M13" s="390"/>
      <c r="N13" s="390"/>
      <c r="O13" s="390"/>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3" customFormat="1" ht="15" customHeight="1" x14ac:dyDescent="0.2">
      <c r="A16" s="390" t="s">
        <v>3</v>
      </c>
      <c r="B16" s="390"/>
      <c r="C16" s="390"/>
      <c r="D16" s="390"/>
      <c r="E16" s="390"/>
      <c r="F16" s="390"/>
      <c r="G16" s="390"/>
      <c r="H16" s="390"/>
      <c r="I16" s="390"/>
      <c r="J16" s="390"/>
      <c r="K16" s="390"/>
      <c r="L16" s="390"/>
      <c r="M16" s="390"/>
      <c r="N16" s="390"/>
      <c r="O16" s="390"/>
      <c r="P16" s="5"/>
      <c r="Q16" s="5"/>
      <c r="R16" s="5"/>
      <c r="S16" s="5"/>
      <c r="T16" s="5"/>
      <c r="U16" s="5"/>
      <c r="V16" s="5"/>
      <c r="W16" s="5"/>
      <c r="X16" s="5"/>
      <c r="Y16" s="5"/>
      <c r="Z16" s="5"/>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32" t="s">
        <v>420</v>
      </c>
      <c r="B18" s="432"/>
      <c r="C18" s="432"/>
      <c r="D18" s="432"/>
      <c r="E18" s="432"/>
      <c r="F18" s="432"/>
      <c r="G18" s="432"/>
      <c r="H18" s="432"/>
      <c r="I18" s="432"/>
      <c r="J18" s="432"/>
      <c r="K18" s="432"/>
      <c r="L18" s="432"/>
      <c r="M18" s="432"/>
      <c r="N18" s="432"/>
      <c r="O18" s="432"/>
      <c r="P18" s="6"/>
      <c r="Q18" s="6"/>
      <c r="R18" s="6"/>
      <c r="S18" s="6"/>
      <c r="T18" s="6"/>
      <c r="U18" s="6"/>
      <c r="V18" s="6"/>
      <c r="W18" s="6"/>
      <c r="X18" s="6"/>
      <c r="Y18" s="6"/>
      <c r="Z18" s="6"/>
    </row>
    <row r="19" spans="1:26" s="3" customFormat="1" ht="78" customHeight="1" x14ac:dyDescent="0.2">
      <c r="A19" s="433" t="s">
        <v>2</v>
      </c>
      <c r="B19" s="433" t="s">
        <v>81</v>
      </c>
      <c r="C19" s="433" t="s">
        <v>80</v>
      </c>
      <c r="D19" s="433" t="s">
        <v>72</v>
      </c>
      <c r="E19" s="434" t="s">
        <v>79</v>
      </c>
      <c r="F19" s="435"/>
      <c r="G19" s="435"/>
      <c r="H19" s="435"/>
      <c r="I19" s="436"/>
      <c r="J19" s="433" t="s">
        <v>78</v>
      </c>
      <c r="K19" s="433"/>
      <c r="L19" s="433"/>
      <c r="M19" s="433"/>
      <c r="N19" s="433"/>
      <c r="O19" s="433"/>
      <c r="P19" s="4"/>
      <c r="Q19" s="4"/>
      <c r="R19" s="4"/>
      <c r="S19" s="4"/>
      <c r="T19" s="4"/>
      <c r="U19" s="4"/>
      <c r="V19" s="4"/>
      <c r="W19" s="4"/>
    </row>
    <row r="20" spans="1:26" s="3" customFormat="1" ht="51" customHeight="1" x14ac:dyDescent="0.2">
      <c r="A20" s="433"/>
      <c r="B20" s="433"/>
      <c r="C20" s="433"/>
      <c r="D20" s="433"/>
      <c r="E20" s="262" t="s">
        <v>77</v>
      </c>
      <c r="F20" s="262" t="s">
        <v>76</v>
      </c>
      <c r="G20" s="262" t="s">
        <v>75</v>
      </c>
      <c r="H20" s="262" t="s">
        <v>74</v>
      </c>
      <c r="I20" s="262" t="s">
        <v>73</v>
      </c>
      <c r="J20" s="262">
        <v>2018</v>
      </c>
      <c r="K20" s="262">
        <v>2019</v>
      </c>
      <c r="L20" s="262">
        <v>2020</v>
      </c>
      <c r="M20" s="262">
        <v>2021</v>
      </c>
      <c r="N20" s="262">
        <v>2022</v>
      </c>
      <c r="O20" s="262">
        <v>2023</v>
      </c>
      <c r="P20" s="31"/>
      <c r="Q20" s="31"/>
      <c r="R20" s="31"/>
      <c r="S20" s="31"/>
      <c r="T20" s="31"/>
      <c r="U20" s="31"/>
      <c r="V20" s="31"/>
      <c r="W20" s="31"/>
      <c r="X20" s="30"/>
      <c r="Y20" s="30"/>
      <c r="Z20" s="30"/>
    </row>
    <row r="21" spans="1:26" s="3" customFormat="1" ht="16.5" customHeight="1" x14ac:dyDescent="0.2">
      <c r="A21" s="263">
        <v>1</v>
      </c>
      <c r="B21" s="183">
        <v>2</v>
      </c>
      <c r="C21" s="263">
        <v>3</v>
      </c>
      <c r="D21" s="183">
        <v>4</v>
      </c>
      <c r="E21" s="263">
        <v>5</v>
      </c>
      <c r="F21" s="183">
        <v>6</v>
      </c>
      <c r="G21" s="263">
        <v>7</v>
      </c>
      <c r="H21" s="183">
        <v>8</v>
      </c>
      <c r="I21" s="263">
        <v>9</v>
      </c>
      <c r="J21" s="183">
        <v>10</v>
      </c>
      <c r="K21" s="263">
        <v>11</v>
      </c>
      <c r="L21" s="183">
        <v>12</v>
      </c>
      <c r="M21" s="263">
        <v>13</v>
      </c>
      <c r="N21" s="183">
        <v>14</v>
      </c>
      <c r="O21" s="263">
        <v>15</v>
      </c>
      <c r="P21" s="31"/>
      <c r="Q21" s="31"/>
      <c r="R21" s="31"/>
      <c r="S21" s="31"/>
      <c r="T21" s="31"/>
      <c r="U21" s="31"/>
      <c r="V21" s="31"/>
      <c r="W21" s="31"/>
      <c r="X21" s="30"/>
      <c r="Y21" s="30"/>
      <c r="Z21" s="30"/>
    </row>
    <row r="22" spans="1:26" s="3" customFormat="1" ht="33" customHeight="1" x14ac:dyDescent="0.2">
      <c r="A22" s="264" t="s">
        <v>61</v>
      </c>
      <c r="B22" s="265" t="s">
        <v>569</v>
      </c>
      <c r="C22" s="266">
        <v>0</v>
      </c>
      <c r="D22" s="266">
        <v>0</v>
      </c>
      <c r="E22" s="266">
        <v>0</v>
      </c>
      <c r="F22" s="266">
        <v>0</v>
      </c>
      <c r="G22" s="266">
        <v>0</v>
      </c>
      <c r="H22" s="266">
        <v>0</v>
      </c>
      <c r="I22" s="266">
        <v>0</v>
      </c>
      <c r="J22" s="267">
        <v>0</v>
      </c>
      <c r="K22" s="267">
        <v>0</v>
      </c>
      <c r="L22" s="268">
        <v>0</v>
      </c>
      <c r="M22" s="268">
        <v>0</v>
      </c>
      <c r="N22" s="268">
        <v>0</v>
      </c>
      <c r="O22" s="26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2" zoomScale="90" zoomScaleNormal="90" workbookViewId="0">
      <selection activeCell="E49" sqref="E49"/>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32" width="0" style="281" hidden="1" customWidth="1"/>
    <col min="33"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45" t="str">
        <f>'1. паспорт местоположение'!A5:C5</f>
        <v>Год раскрытия информации: 2022 год</v>
      </c>
      <c r="B5" s="445"/>
      <c r="C5" s="445"/>
      <c r="D5" s="445"/>
      <c r="E5" s="445"/>
      <c r="F5" s="445"/>
      <c r="G5" s="445"/>
      <c r="H5" s="445"/>
      <c r="I5" s="445"/>
      <c r="J5" s="445"/>
      <c r="K5" s="445"/>
      <c r="L5" s="445"/>
      <c r="M5" s="445"/>
      <c r="N5" s="445"/>
      <c r="O5" s="445"/>
      <c r="P5" s="445"/>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45" t="s">
        <v>6</v>
      </c>
      <c r="B7" s="445"/>
      <c r="C7" s="445"/>
      <c r="D7" s="445"/>
      <c r="E7" s="445"/>
      <c r="F7" s="445"/>
      <c r="G7" s="445"/>
      <c r="H7" s="445"/>
      <c r="I7" s="445"/>
      <c r="J7" s="445"/>
      <c r="K7" s="445"/>
      <c r="L7" s="445"/>
      <c r="M7" s="445"/>
      <c r="N7" s="445"/>
      <c r="O7" s="445"/>
      <c r="P7" s="445"/>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46" t="str">
        <f>'1. паспорт местоположение'!A9:C9</f>
        <v xml:space="preserve">Акционерное общество "Западная энергетическая компания" </v>
      </c>
      <c r="B9" s="446"/>
      <c r="C9" s="446"/>
      <c r="D9" s="446"/>
      <c r="E9" s="446"/>
      <c r="F9" s="446"/>
      <c r="G9" s="446"/>
      <c r="H9" s="446"/>
      <c r="I9" s="446"/>
      <c r="J9" s="446"/>
      <c r="K9" s="446"/>
      <c r="L9" s="446"/>
      <c r="M9" s="446"/>
      <c r="N9" s="446"/>
      <c r="O9" s="446"/>
      <c r="P9" s="446"/>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44" t="s">
        <v>5</v>
      </c>
      <c r="B10" s="444"/>
      <c r="C10" s="444"/>
      <c r="D10" s="444"/>
      <c r="E10" s="444"/>
      <c r="F10" s="444"/>
      <c r="G10" s="444"/>
      <c r="H10" s="444"/>
      <c r="I10" s="444"/>
      <c r="J10" s="444"/>
      <c r="K10" s="444"/>
      <c r="L10" s="444"/>
      <c r="M10" s="444"/>
      <c r="N10" s="444"/>
      <c r="O10" s="444"/>
      <c r="P10" s="444"/>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46" t="str">
        <f>'1. паспорт местоположение'!A12:C12</f>
        <v>J 19-15</v>
      </c>
      <c r="B12" s="446"/>
      <c r="C12" s="446"/>
      <c r="D12" s="446"/>
      <c r="E12" s="446"/>
      <c r="F12" s="446"/>
      <c r="G12" s="446"/>
      <c r="H12" s="446"/>
      <c r="I12" s="446"/>
      <c r="J12" s="446"/>
      <c r="K12" s="446"/>
      <c r="L12" s="446"/>
      <c r="M12" s="446"/>
      <c r="N12" s="446"/>
      <c r="O12" s="446"/>
      <c r="P12" s="446"/>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44" t="s">
        <v>4</v>
      </c>
      <c r="B13" s="444"/>
      <c r="C13" s="444"/>
      <c r="D13" s="444"/>
      <c r="E13" s="444"/>
      <c r="F13" s="444"/>
      <c r="G13" s="444"/>
      <c r="H13" s="444"/>
      <c r="I13" s="444"/>
      <c r="J13" s="444"/>
      <c r="K13" s="444"/>
      <c r="L13" s="444"/>
      <c r="M13" s="444"/>
      <c r="N13" s="444"/>
      <c r="O13" s="444"/>
      <c r="P13" s="444"/>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41" t="str">
        <f>'1. паспорт местоположение'!A15:C15</f>
        <v>Строительство КЛ 15 кВ от  РП-1 до ТП-1 пер. Комсомольский, г. Пионерский</v>
      </c>
      <c r="B15" s="441"/>
      <c r="C15" s="441"/>
      <c r="D15" s="441"/>
      <c r="E15" s="441"/>
      <c r="F15" s="441"/>
      <c r="G15" s="441"/>
      <c r="H15" s="441"/>
      <c r="I15" s="441"/>
      <c r="J15" s="441"/>
      <c r="K15" s="441"/>
      <c r="L15" s="441"/>
      <c r="M15" s="441"/>
      <c r="N15" s="441"/>
      <c r="O15" s="441"/>
      <c r="P15" s="441"/>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2" t="s">
        <v>3</v>
      </c>
      <c r="B16" s="442"/>
      <c r="C16" s="442"/>
      <c r="D16" s="442"/>
      <c r="E16" s="442"/>
      <c r="F16" s="442"/>
      <c r="G16" s="442"/>
      <c r="H16" s="442"/>
      <c r="I16" s="442"/>
      <c r="J16" s="442"/>
      <c r="K16" s="442"/>
      <c r="L16" s="442"/>
      <c r="M16" s="442"/>
      <c r="N16" s="442"/>
      <c r="O16" s="442"/>
      <c r="P16" s="442"/>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3" t="s">
        <v>421</v>
      </c>
      <c r="B18" s="443"/>
      <c r="C18" s="443"/>
      <c r="D18" s="443"/>
      <c r="E18" s="443"/>
      <c r="F18" s="443"/>
      <c r="G18" s="443"/>
      <c r="H18" s="443"/>
      <c r="I18" s="443"/>
      <c r="J18" s="443"/>
      <c r="K18" s="443"/>
      <c r="L18" s="443"/>
      <c r="M18" s="443"/>
      <c r="N18" s="443"/>
      <c r="O18" s="443"/>
      <c r="P18" s="443"/>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3241907.7247254923</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7" t="s">
        <v>283</v>
      </c>
      <c r="E27" s="438"/>
      <c r="F27" s="439"/>
      <c r="G27" s="306" t="str">
        <f>IF(SUM(B89:AG89)=0,"не окупается",SUM(B89:AG89))</f>
        <v>не окупается</v>
      </c>
      <c r="H27" s="307"/>
      <c r="N27" s="291"/>
    </row>
    <row r="28" spans="1:45" ht="15" x14ac:dyDescent="0.2">
      <c r="A28" s="300" t="s">
        <v>279</v>
      </c>
      <c r="B28" s="301">
        <f>B24*0.001</f>
        <v>3241.9077247254922</v>
      </c>
      <c r="D28" s="437" t="s">
        <v>281</v>
      </c>
      <c r="E28" s="438"/>
      <c r="F28" s="439"/>
      <c r="G28" s="306" t="str">
        <f>IF(SUM(B90:AG90)=0,"не окупается",SUM(B90:AG90))</f>
        <v>не окупается</v>
      </c>
      <c r="H28" s="307"/>
      <c r="N28" s="291"/>
    </row>
    <row r="29" spans="1:45" x14ac:dyDescent="0.2">
      <c r="A29" s="302" t="s">
        <v>460</v>
      </c>
      <c r="B29" s="303">
        <v>6</v>
      </c>
      <c r="D29" s="437" t="s">
        <v>594</v>
      </c>
      <c r="E29" s="438"/>
      <c r="F29" s="439"/>
      <c r="G29" s="308">
        <f>L87</f>
        <v>-312205.54171425244</v>
      </c>
      <c r="H29" s="309"/>
      <c r="N29" s="291"/>
    </row>
    <row r="30" spans="1:45" x14ac:dyDescent="0.2">
      <c r="A30" s="302" t="s">
        <v>278</v>
      </c>
      <c r="B30" s="303">
        <v>6</v>
      </c>
      <c r="D30" s="437"/>
      <c r="E30" s="438"/>
      <c r="F30" s="439"/>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595</v>
      </c>
      <c r="B34" s="303">
        <f>B24*0.03</f>
        <v>97257.231741764772</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596</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5.0999999999999997E-2</v>
      </c>
      <c r="C47" s="329">
        <v>4.9000000000000002E-2</v>
      </c>
      <c r="D47" s="329">
        <v>4.7E-2</v>
      </c>
      <c r="E47" s="329">
        <v>4.7E-2</v>
      </c>
      <c r="F47" s="329">
        <v>4.7E-2</v>
      </c>
      <c r="G47" s="329">
        <v>4.7E-2</v>
      </c>
      <c r="H47" s="329">
        <v>4.7E-2</v>
      </c>
      <c r="I47" s="329">
        <v>4.7E-2</v>
      </c>
      <c r="J47" s="329">
        <v>4.7E-2</v>
      </c>
      <c r="K47" s="329">
        <v>4.7E-2</v>
      </c>
      <c r="L47" s="329">
        <v>4.7E-2</v>
      </c>
      <c r="M47" s="329">
        <v>4.7E-2</v>
      </c>
      <c r="N47" s="329">
        <v>4.7E-2</v>
      </c>
      <c r="O47" s="329">
        <v>4.7E-2</v>
      </c>
      <c r="P47" s="329">
        <v>4.7E-2</v>
      </c>
      <c r="Q47" s="329">
        <v>4.7E-2</v>
      </c>
      <c r="R47" s="329">
        <v>4.7E-2</v>
      </c>
      <c r="S47" s="329">
        <v>4.7E-2</v>
      </c>
      <c r="T47" s="329">
        <v>4.7E-2</v>
      </c>
      <c r="U47" s="329">
        <v>4.7E-2</v>
      </c>
      <c r="V47" s="329">
        <v>4.7E-2</v>
      </c>
      <c r="W47" s="329">
        <v>4.7E-2</v>
      </c>
      <c r="X47" s="329">
        <v>4.7E-2</v>
      </c>
      <c r="Y47" s="329">
        <v>4.7E-2</v>
      </c>
      <c r="Z47" s="329">
        <v>4.7E-2</v>
      </c>
      <c r="AA47" s="329">
        <v>4.7E-2</v>
      </c>
      <c r="AB47" s="329">
        <v>4.7E-2</v>
      </c>
      <c r="AC47" s="329">
        <v>4.7E-2</v>
      </c>
      <c r="AD47" s="329">
        <v>4.7E-2</v>
      </c>
      <c r="AE47" s="329">
        <v>4.7E-2</v>
      </c>
    </row>
    <row r="48" spans="1:31" x14ac:dyDescent="0.2">
      <c r="A48" s="328" t="s">
        <v>266</v>
      </c>
      <c r="B48" s="330">
        <f>B47</f>
        <v>5.0999999999999997E-2</v>
      </c>
      <c r="C48" s="330">
        <f t="shared" ref="C48:AE48" si="0">(1+B48)*(1+C47)-1</f>
        <v>0.1024989999999999</v>
      </c>
      <c r="D48" s="330">
        <f t="shared" si="0"/>
        <v>0.15431645299999985</v>
      </c>
      <c r="E48" s="330">
        <f t="shared" si="0"/>
        <v>0.20856932629099978</v>
      </c>
      <c r="F48" s="330">
        <f t="shared" si="0"/>
        <v>0.26537208462667672</v>
      </c>
      <c r="G48" s="330">
        <f t="shared" si="0"/>
        <v>0.32484457260413047</v>
      </c>
      <c r="H48" s="330">
        <f t="shared" si="0"/>
        <v>0.38711226751652461</v>
      </c>
      <c r="I48" s="330">
        <f t="shared" si="0"/>
        <v>0.45230654408980109</v>
      </c>
      <c r="J48" s="330">
        <f t="shared" si="0"/>
        <v>0.52056495166202166</v>
      </c>
      <c r="K48" s="330">
        <f t="shared" si="0"/>
        <v>0.59203150439013652</v>
      </c>
      <c r="L48" s="330">
        <f t="shared" si="0"/>
        <v>0.66685698509647273</v>
      </c>
      <c r="M48" s="330">
        <f t="shared" si="0"/>
        <v>0.74519926339600673</v>
      </c>
      <c r="N48" s="330">
        <f t="shared" si="0"/>
        <v>0.82722362877561895</v>
      </c>
      <c r="O48" s="330">
        <f t="shared" si="0"/>
        <v>0.91310313932807285</v>
      </c>
      <c r="P48" s="330">
        <f t="shared" si="0"/>
        <v>1.003018986876492</v>
      </c>
      <c r="Q48" s="330">
        <f t="shared" si="0"/>
        <v>1.097160879259687</v>
      </c>
      <c r="R48" s="330">
        <f t="shared" si="0"/>
        <v>1.1957274405848923</v>
      </c>
      <c r="S48" s="330">
        <f t="shared" si="0"/>
        <v>1.2989266302923821</v>
      </c>
      <c r="T48" s="330">
        <f t="shared" si="0"/>
        <v>1.4069761819161237</v>
      </c>
      <c r="U48" s="330">
        <f t="shared" si="0"/>
        <v>1.5201040624661815</v>
      </c>
      <c r="V48" s="330">
        <f t="shared" si="0"/>
        <v>1.6385489534020916</v>
      </c>
      <c r="W48" s="330">
        <f t="shared" si="0"/>
        <v>1.7625607542119899</v>
      </c>
      <c r="X48" s="330">
        <f t="shared" si="0"/>
        <v>1.8924011096599531</v>
      </c>
      <c r="Y48" s="330">
        <f t="shared" si="0"/>
        <v>2.0283439618139707</v>
      </c>
      <c r="Z48" s="330">
        <f t="shared" si="0"/>
        <v>2.170676128019227</v>
      </c>
      <c r="AA48" s="330">
        <f t="shared" si="0"/>
        <v>2.3196979060361307</v>
      </c>
      <c r="AB48" s="330">
        <f t="shared" si="0"/>
        <v>2.4757237076198284</v>
      </c>
      <c r="AC48" s="330">
        <f t="shared" si="0"/>
        <v>2.6390827218779602</v>
      </c>
      <c r="AD48" s="330">
        <f t="shared" si="0"/>
        <v>2.810119609806224</v>
      </c>
      <c r="AE48" s="330">
        <f t="shared" si="0"/>
        <v>2.9891952314671162</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-68944.570945828804</v>
      </c>
      <c r="D59" s="342">
        <f t="shared" si="2"/>
        <v>-66567.17194769677</v>
      </c>
      <c r="E59" s="342">
        <f t="shared" si="2"/>
        <v>-64189.772949564744</v>
      </c>
      <c r="F59" s="342">
        <f t="shared" si="2"/>
        <v>-61812.373951432717</v>
      </c>
      <c r="G59" s="342">
        <f t="shared" si="2"/>
        <v>-59434.974953300691</v>
      </c>
      <c r="H59" s="342">
        <f t="shared" si="2"/>
        <v>-60299.483679894154</v>
      </c>
      <c r="I59" s="342">
        <f t="shared" si="2"/>
        <v>-54680.17695703663</v>
      </c>
      <c r="J59" s="342">
        <f t="shared" si="2"/>
        <v>44954.453782860168</v>
      </c>
      <c r="K59" s="342">
        <f t="shared" si="2"/>
        <v>-49925.378960772578</v>
      </c>
      <c r="L59" s="342">
        <f t="shared" si="2"/>
        <v>-47547.979962640551</v>
      </c>
      <c r="M59" s="342">
        <f t="shared" si="2"/>
        <v>-97473.358923413136</v>
      </c>
      <c r="N59" s="342">
        <f t="shared" si="2"/>
        <v>-46035.089691101988</v>
      </c>
      <c r="O59" s="342">
        <f t="shared" si="2"/>
        <v>-40415.782968244472</v>
      </c>
      <c r="P59" s="342">
        <f t="shared" si="2"/>
        <v>-38038.383970112438</v>
      </c>
      <c r="Q59" s="342">
        <f t="shared" si="2"/>
        <v>-35660.984971980412</v>
      </c>
      <c r="R59" s="342">
        <f t="shared" si="2"/>
        <v>63973.645767916387</v>
      </c>
      <c r="S59" s="342">
        <f t="shared" si="2"/>
        <v>-30906.186975716359</v>
      </c>
      <c r="T59" s="342">
        <f t="shared" si="2"/>
        <v>-31770.695702309826</v>
      </c>
      <c r="U59" s="342">
        <f t="shared" si="2"/>
        <v>-26151.388979452302</v>
      </c>
      <c r="V59" s="342">
        <f t="shared" si="2"/>
        <v>-23773.989981320276</v>
      </c>
      <c r="W59" s="342">
        <f t="shared" si="2"/>
        <v>-21396.590983188249</v>
      </c>
      <c r="X59" s="342">
        <f t="shared" si="2"/>
        <v>-19019.191985056219</v>
      </c>
      <c r="Y59" s="342">
        <f t="shared" si="2"/>
        <v>-16641.792986924193</v>
      </c>
      <c r="Z59" s="342">
        <f t="shared" si="2"/>
        <v>79750.930028247123</v>
      </c>
      <c r="AA59" s="342">
        <f t="shared" si="2"/>
        <v>-11886.994990660138</v>
      </c>
      <c r="AB59" s="342">
        <f t="shared" si="2"/>
        <v>-9509.5959925281095</v>
      </c>
      <c r="AC59" s="342">
        <f t="shared" si="2"/>
        <v>-7132.196994396083</v>
      </c>
      <c r="AD59" s="342">
        <f t="shared" si="2"/>
        <v>-4754.7979962640547</v>
      </c>
      <c r="AE59" s="342">
        <f t="shared" si="2"/>
        <v>-2377.3989981320274</v>
      </c>
    </row>
    <row r="60" spans="1:31" x14ac:dyDescent="0.2">
      <c r="A60" s="343" t="s">
        <v>258</v>
      </c>
      <c r="B60" s="336"/>
      <c r="C60" s="336"/>
      <c r="D60" s="336"/>
      <c r="E60" s="336"/>
      <c r="F60" s="336"/>
      <c r="G60" s="336"/>
      <c r="H60" s="336">
        <f>-B28</f>
        <v>-3241.9077247254922</v>
      </c>
      <c r="I60" s="342">
        <v>0</v>
      </c>
      <c r="J60" s="336"/>
      <c r="K60" s="336"/>
      <c r="L60" s="336"/>
      <c r="M60" s="336"/>
      <c r="N60" s="336">
        <f>H60</f>
        <v>-3241.9077247254922</v>
      </c>
      <c r="O60" s="336"/>
      <c r="P60" s="336"/>
      <c r="Q60" s="336"/>
      <c r="R60" s="336"/>
      <c r="S60" s="336"/>
      <c r="T60" s="336">
        <f>N60</f>
        <v>-3241.9077247254922</v>
      </c>
      <c r="U60" s="336"/>
      <c r="V60" s="336"/>
      <c r="W60" s="336"/>
      <c r="X60" s="336"/>
      <c r="Y60" s="336"/>
      <c r="Z60" s="336">
        <f>T60</f>
        <v>-3241.9077247254922</v>
      </c>
      <c r="AA60" s="336"/>
      <c r="AB60" s="336"/>
      <c r="AC60" s="336"/>
      <c r="AD60" s="336"/>
      <c r="AE60" s="336"/>
    </row>
    <row r="61" spans="1:31" x14ac:dyDescent="0.2">
      <c r="A61" s="343" t="s">
        <v>257</v>
      </c>
      <c r="B61" s="336"/>
      <c r="C61" s="336"/>
      <c r="D61" s="336"/>
      <c r="E61" s="336"/>
      <c r="F61" s="336"/>
      <c r="G61" s="336"/>
      <c r="H61" s="336"/>
      <c r="I61" s="336"/>
      <c r="J61" s="336">
        <f>B34</f>
        <v>97257.231741764772</v>
      </c>
      <c r="K61" s="336"/>
      <c r="L61" s="336"/>
      <c r="M61" s="336"/>
      <c r="N61" s="336"/>
      <c r="O61" s="336"/>
      <c r="P61" s="336"/>
      <c r="Q61" s="336"/>
      <c r="R61" s="336">
        <f>J61</f>
        <v>97257.231741764772</v>
      </c>
      <c r="S61" s="336"/>
      <c r="T61" s="336"/>
      <c r="U61" s="336"/>
      <c r="V61" s="336"/>
      <c r="W61" s="336"/>
      <c r="X61" s="336"/>
      <c r="Y61" s="336"/>
      <c r="Z61" s="336">
        <f>R61</f>
        <v>97257.231741764772</v>
      </c>
      <c r="AA61" s="344">
        <f>S61</f>
        <v>0</v>
      </c>
      <c r="AB61" s="336"/>
      <c r="AC61" s="336"/>
      <c r="AD61" s="336"/>
      <c r="AE61" s="336"/>
    </row>
    <row r="62" spans="1:31" x14ac:dyDescent="0.2">
      <c r="A62" s="343" t="s">
        <v>595</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597</v>
      </c>
      <c r="B65" s="345">
        <v>0</v>
      </c>
      <c r="C65" s="373">
        <f>-($B$24+C67)*0.022</f>
        <v>-68944.570945828804</v>
      </c>
      <c r="D65" s="373">
        <f>-($B$24+D67+C67)*0.022</f>
        <v>-66567.17194769677</v>
      </c>
      <c r="E65" s="374">
        <f>-($B$24+E67+C67+D67)*0.022</f>
        <v>-64189.772949564744</v>
      </c>
      <c r="F65" s="374">
        <f>-($B$24+F67+D67+E67+C67)*0.022</f>
        <v>-61812.373951432717</v>
      </c>
      <c r="G65" s="374">
        <f>-($B$24+G67+E67+F67+D67+C67)*0.022</f>
        <v>-59434.974953300691</v>
      </c>
      <c r="H65" s="374">
        <f>-($B$24+H67+F67+G67+E67+C67+D67)*0.022</f>
        <v>-57057.575955168664</v>
      </c>
      <c r="I65" s="374">
        <f>-($B$24+C67+I67+G67+H67+F67+D67+E67)*0.022</f>
        <v>-54680.17695703663</v>
      </c>
      <c r="J65" s="374">
        <f>-($B$24+D67+J67+H67+I67+G67+E67+F67+C67)*0.022</f>
        <v>-52302.777958904604</v>
      </c>
      <c r="K65" s="374">
        <f>-($B$24+E67+K67+I67+J67+H67+F67+G67+C67+D67)*0.022</f>
        <v>-49925.378960772578</v>
      </c>
      <c r="L65" s="374">
        <f>-($B$24+F67+L67+J67+K67+I67+G67+H67+E67+D67+C67)*0.022</f>
        <v>-47547.979962640551</v>
      </c>
      <c r="M65" s="374">
        <f>(-$B$24+G67+M67+K67+L67+J67+H67+I67+F67+E67+D67+C67)*0.022</f>
        <v>-97473.358923413136</v>
      </c>
      <c r="N65" s="374">
        <f>-($B$24+H67+N67+L67+M67+K67+I67+J67+G67+F67+E67+C67+D67)*0.022</f>
        <v>-42793.181966376498</v>
      </c>
      <c r="O65" s="374">
        <f>-($B$24+I67+O67+M67+N67+L67+J67+K67+H67+G67+F67+D67+C67+E67)*0.022</f>
        <v>-40415.782968244472</v>
      </c>
      <c r="P65" s="374">
        <f>-($B$24+J67+P67+N67+O67+M67+K67+L67+I67+H67+G67+E67+F67+C67+D67)*0.022</f>
        <v>-38038.383970112438</v>
      </c>
      <c r="Q65" s="374">
        <f>-($B$24+K67+Q67+O67+P67+N67+L67+M67+J67+I67+H67+F67+G67+D67+C67+E67)*0.022</f>
        <v>-35660.984971980412</v>
      </c>
      <c r="R65" s="374">
        <f>-($B$24+L67+R67+P67+Q67+O67+M67+N67+K67+J67+I67+G67+H67+E67+D67+C67+F67)*0.022</f>
        <v>-33283.585973848385</v>
      </c>
      <c r="S65" s="374">
        <f>-($B$24+M67+S67+Q67+R67+P67+N67+O67+L67+K67+J67+H67+I67+F67+E67+D67+C67+G67)*0.022</f>
        <v>-30906.186975716359</v>
      </c>
      <c r="T65" s="374">
        <f>-($B$24+N67+T67+R67+S67+Q67+O67+P67+M67+L67+K67+I67+J67+G67+F67+E67+D67+C67+H67)*0.022</f>
        <v>-28528.787977584332</v>
      </c>
      <c r="U65" s="374">
        <f>-($B$24+O67+U67+S67+T67+R67+P67+Q67+N67+M67+L67+J67+K67+H67+G67+F67+E67+C67+D67++I67)*0.022</f>
        <v>-26151.388979452302</v>
      </c>
      <c r="V65" s="374">
        <f>-($B$24+P67+V67+T67+U67+S67+Q67+R67+O67+N67+M67+K67+L67+I67+H67+G67+F67+D67+E67+C67+J67)*0.022</f>
        <v>-23773.989981320276</v>
      </c>
      <c r="W65" s="374">
        <f>-($B$24+Q67+W67+U67+V67+T67+R67+S67+P67+O67+N67+L67+M67+J67+I67+H67+G67+E67+F67+D67+C67+K67)*0.022</f>
        <v>-21396.590983188249</v>
      </c>
      <c r="X65" s="374">
        <f>-($B$24+R67+X67+V67+W67+U67+S67+T67+Q67+P67+O67+M67+N67+K67+J67+I67+H67+F67+G67+E67+D67+C67+L67)*0.022</f>
        <v>-19019.191985056219</v>
      </c>
      <c r="Y65" s="374">
        <f>-($B$24+S67+Y67+W67+X67+V67+T67+U67+R67+Q67+P67+N67+O67+L67+K67+J67+I67+G67+H67+F67+E67+D67+C67+M67)*0.022</f>
        <v>-16641.792986924193</v>
      </c>
      <c r="Z65" s="374">
        <f>-($B$24+T67+Z67+X67+Y67+W67+U67+V67+S67+R67+Q67+O67+P67+M67+L67+K67+J67+H67+I67+G67+F67+E67+D67+C67+N67)*0.022</f>
        <v>-14264.393988792166</v>
      </c>
      <c r="AA65" s="374">
        <f>-($B$24+U67+AA67+Y67+Z67+X67+V67+W67+T67+S67+R67+P67+Q67+N67+M67+L67+K67+I67+J67+H67+G67+F67+E67+D67+C67+O67)*0.022</f>
        <v>-11886.994990660138</v>
      </c>
      <c r="AB65" s="374">
        <f>-($B$24+V67+AB67+Z67+AA67+Y67+W67+X67+U67+T67+S67+Q67+R67+O67+N67+M67+L67+J67+K67+I67+H67+G67+F67+E67+D67+C67+P67)*0.022</f>
        <v>-9509.5959925281095</v>
      </c>
      <c r="AC65" s="374">
        <f>-($B$24+W67+AC67+AA67+AB67+Z67+X67+Y67+V67+U67+T67+R67+S67+P67+O67+N67+M67+K67+L67+J67+I67+H67+G67+F67+E67+D67+C67+Q67)*0.022</f>
        <v>-7132.196994396083</v>
      </c>
      <c r="AD65" s="374">
        <f>-($B$24+X67+AD67+AB67+AC67+AA67+Y67+Z67+W67+V67+U67+S67+T67+Q67+P67+O67+N67+L67+M67+K67+J67+I67+H67+G67+F67+E67+D67+C67+R67)*0.022</f>
        <v>-4754.7979962640547</v>
      </c>
      <c r="AE65" s="374">
        <f>-($B$24+Y67+AE67+AC67+AD67+AB67+Z67+AA67+X67+W67+V67+T67+U67+R67+Q67+P67+O67+M67+N67+L67+K67+J67+I67+H67+G67+F67+E67+D67+C67+S67)*0.022</f>
        <v>-2377.3989981320274</v>
      </c>
    </row>
    <row r="66" spans="1:31" x14ac:dyDescent="0.2">
      <c r="A66" s="346" t="s">
        <v>598</v>
      </c>
      <c r="B66" s="347">
        <f t="shared" ref="B66:AE66" si="3">B58+B59</f>
        <v>0</v>
      </c>
      <c r="C66" s="347">
        <f t="shared" si="3"/>
        <v>-68944.570945828804</v>
      </c>
      <c r="D66" s="347">
        <f t="shared" si="3"/>
        <v>-66567.17194769677</v>
      </c>
      <c r="E66" s="347">
        <f t="shared" si="3"/>
        <v>-64189.772949564744</v>
      </c>
      <c r="F66" s="347">
        <f t="shared" si="3"/>
        <v>-61812.373951432717</v>
      </c>
      <c r="G66" s="347">
        <f t="shared" si="3"/>
        <v>-59434.974953300691</v>
      </c>
      <c r="H66" s="347">
        <f t="shared" si="3"/>
        <v>-60299.483679894154</v>
      </c>
      <c r="I66" s="347">
        <f t="shared" si="3"/>
        <v>-54680.17695703663</v>
      </c>
      <c r="J66" s="347">
        <f t="shared" si="3"/>
        <v>44954.453782860168</v>
      </c>
      <c r="K66" s="347">
        <f t="shared" si="3"/>
        <v>-49925.378960772578</v>
      </c>
      <c r="L66" s="347">
        <f t="shared" si="3"/>
        <v>-47547.979962640551</v>
      </c>
      <c r="M66" s="347">
        <f t="shared" si="3"/>
        <v>-97473.358923413136</v>
      </c>
      <c r="N66" s="347">
        <f t="shared" si="3"/>
        <v>-46035.089691101988</v>
      </c>
      <c r="O66" s="347">
        <f t="shared" si="3"/>
        <v>-40415.782968244472</v>
      </c>
      <c r="P66" s="347">
        <f t="shared" si="3"/>
        <v>-38038.383970112438</v>
      </c>
      <c r="Q66" s="347">
        <f t="shared" si="3"/>
        <v>-35660.984971980412</v>
      </c>
      <c r="R66" s="347">
        <f t="shared" si="3"/>
        <v>63973.645767916387</v>
      </c>
      <c r="S66" s="347">
        <f t="shared" si="3"/>
        <v>-30906.186975716359</v>
      </c>
      <c r="T66" s="347">
        <f t="shared" si="3"/>
        <v>-31770.695702309826</v>
      </c>
      <c r="U66" s="347">
        <f t="shared" si="3"/>
        <v>-26151.388979452302</v>
      </c>
      <c r="V66" s="347">
        <f t="shared" si="3"/>
        <v>-23773.989981320276</v>
      </c>
      <c r="W66" s="347">
        <f t="shared" si="3"/>
        <v>-21396.590983188249</v>
      </c>
      <c r="X66" s="347">
        <f t="shared" si="3"/>
        <v>-19019.191985056219</v>
      </c>
      <c r="Y66" s="347">
        <f t="shared" si="3"/>
        <v>-16641.792986924193</v>
      </c>
      <c r="Z66" s="347">
        <f t="shared" si="3"/>
        <v>79750.930028247123</v>
      </c>
      <c r="AA66" s="347">
        <f t="shared" si="3"/>
        <v>-11886.994990660138</v>
      </c>
      <c r="AB66" s="347">
        <f t="shared" si="3"/>
        <v>-9509.5959925281095</v>
      </c>
      <c r="AC66" s="347">
        <f t="shared" si="3"/>
        <v>-7132.196994396083</v>
      </c>
      <c r="AD66" s="347">
        <f t="shared" si="3"/>
        <v>-4754.7979962640547</v>
      </c>
      <c r="AE66" s="347">
        <f t="shared" si="3"/>
        <v>-2377.3989981320274</v>
      </c>
    </row>
    <row r="67" spans="1:31" x14ac:dyDescent="0.2">
      <c r="A67" s="343" t="s">
        <v>253</v>
      </c>
      <c r="B67" s="348">
        <v>0</v>
      </c>
      <c r="C67" s="348">
        <f>-($B$24)*$B$27/$B$26</f>
        <v>-108063.59082418308</v>
      </c>
      <c r="D67" s="348">
        <f>C67</f>
        <v>-108063.59082418308</v>
      </c>
      <c r="E67" s="349">
        <f t="shared" ref="E67:AE67" si="4">D67</f>
        <v>-108063.59082418308</v>
      </c>
      <c r="F67" s="349">
        <f t="shared" si="4"/>
        <v>-108063.59082418308</v>
      </c>
      <c r="G67" s="349">
        <f t="shared" si="4"/>
        <v>-108063.59082418308</v>
      </c>
      <c r="H67" s="349">
        <f t="shared" si="4"/>
        <v>-108063.59082418308</v>
      </c>
      <c r="I67" s="349">
        <f t="shared" si="4"/>
        <v>-108063.59082418308</v>
      </c>
      <c r="J67" s="349">
        <f t="shared" si="4"/>
        <v>-108063.59082418308</v>
      </c>
      <c r="K67" s="349">
        <f t="shared" si="4"/>
        <v>-108063.59082418308</v>
      </c>
      <c r="L67" s="349">
        <f t="shared" si="4"/>
        <v>-108063.59082418308</v>
      </c>
      <c r="M67" s="349">
        <f t="shared" si="4"/>
        <v>-108063.59082418308</v>
      </c>
      <c r="N67" s="349">
        <f t="shared" si="4"/>
        <v>-108063.59082418308</v>
      </c>
      <c r="O67" s="349">
        <f t="shared" si="4"/>
        <v>-108063.59082418308</v>
      </c>
      <c r="P67" s="349">
        <f t="shared" si="4"/>
        <v>-108063.59082418308</v>
      </c>
      <c r="Q67" s="349">
        <f t="shared" si="4"/>
        <v>-108063.59082418308</v>
      </c>
      <c r="R67" s="349">
        <f t="shared" si="4"/>
        <v>-108063.59082418308</v>
      </c>
      <c r="S67" s="349">
        <f t="shared" si="4"/>
        <v>-108063.59082418308</v>
      </c>
      <c r="T67" s="349">
        <f t="shared" si="4"/>
        <v>-108063.59082418308</v>
      </c>
      <c r="U67" s="349">
        <f t="shared" si="4"/>
        <v>-108063.59082418308</v>
      </c>
      <c r="V67" s="349">
        <f t="shared" si="4"/>
        <v>-108063.59082418308</v>
      </c>
      <c r="W67" s="349">
        <f t="shared" si="4"/>
        <v>-108063.59082418308</v>
      </c>
      <c r="X67" s="349">
        <f t="shared" si="4"/>
        <v>-108063.59082418308</v>
      </c>
      <c r="Y67" s="349">
        <f t="shared" si="4"/>
        <v>-108063.59082418308</v>
      </c>
      <c r="Z67" s="349">
        <f t="shared" si="4"/>
        <v>-108063.59082418308</v>
      </c>
      <c r="AA67" s="349">
        <f t="shared" si="4"/>
        <v>-108063.59082418308</v>
      </c>
      <c r="AB67" s="349">
        <f t="shared" si="4"/>
        <v>-108063.59082418308</v>
      </c>
      <c r="AC67" s="349">
        <f t="shared" si="4"/>
        <v>-108063.59082418308</v>
      </c>
      <c r="AD67" s="349">
        <f t="shared" si="4"/>
        <v>-108063.59082418308</v>
      </c>
      <c r="AE67" s="349">
        <f t="shared" si="4"/>
        <v>-108063.59082418308</v>
      </c>
    </row>
    <row r="68" spans="1:31" x14ac:dyDescent="0.2">
      <c r="A68" s="346" t="s">
        <v>599</v>
      </c>
      <c r="B68" s="347">
        <f t="shared" ref="B68:AE68" si="5">B66+B67</f>
        <v>0</v>
      </c>
      <c r="C68" s="347">
        <f>C66+C67</f>
        <v>-177008.16177001188</v>
      </c>
      <c r="D68" s="347">
        <f t="shared" si="5"/>
        <v>-174630.76277187985</v>
      </c>
      <c r="E68" s="347">
        <f t="shared" si="5"/>
        <v>-172253.36377374781</v>
      </c>
      <c r="F68" s="347">
        <f t="shared" si="5"/>
        <v>-169875.96477561578</v>
      </c>
      <c r="G68" s="347">
        <f t="shared" si="5"/>
        <v>-167498.56577748377</v>
      </c>
      <c r="H68" s="347">
        <f t="shared" si="5"/>
        <v>-168363.07450407723</v>
      </c>
      <c r="I68" s="347">
        <f t="shared" si="5"/>
        <v>-162743.76778121971</v>
      </c>
      <c r="J68" s="347">
        <f t="shared" si="5"/>
        <v>-63109.137041322909</v>
      </c>
      <c r="K68" s="347">
        <f t="shared" si="5"/>
        <v>-157988.96978495567</v>
      </c>
      <c r="L68" s="347">
        <f t="shared" si="5"/>
        <v>-155611.57078682363</v>
      </c>
      <c r="M68" s="347">
        <f t="shared" si="5"/>
        <v>-205536.94974759623</v>
      </c>
      <c r="N68" s="347">
        <f t="shared" si="5"/>
        <v>-154098.68051528506</v>
      </c>
      <c r="O68" s="347">
        <f t="shared" si="5"/>
        <v>-148479.37379242753</v>
      </c>
      <c r="P68" s="347">
        <f t="shared" si="5"/>
        <v>-146101.9747942955</v>
      </c>
      <c r="Q68" s="347">
        <f t="shared" si="5"/>
        <v>-143724.5757961635</v>
      </c>
      <c r="R68" s="347">
        <f t="shared" si="5"/>
        <v>-44089.94505626669</v>
      </c>
      <c r="S68" s="347">
        <f t="shared" si="5"/>
        <v>-138969.77779989943</v>
      </c>
      <c r="T68" s="347">
        <f t="shared" si="5"/>
        <v>-139834.28652649291</v>
      </c>
      <c r="U68" s="347">
        <f t="shared" si="5"/>
        <v>-134214.97980363539</v>
      </c>
      <c r="V68" s="347">
        <f t="shared" si="5"/>
        <v>-131837.58080550336</v>
      </c>
      <c r="W68" s="347">
        <f t="shared" si="5"/>
        <v>-129460.18180737132</v>
      </c>
      <c r="X68" s="347">
        <f t="shared" si="5"/>
        <v>-127082.78280923929</v>
      </c>
      <c r="Y68" s="347">
        <f t="shared" si="5"/>
        <v>-124705.38381110727</v>
      </c>
      <c r="Z68" s="347">
        <f t="shared" si="5"/>
        <v>-28312.660795935954</v>
      </c>
      <c r="AA68" s="347">
        <f t="shared" si="5"/>
        <v>-119950.58581484322</v>
      </c>
      <c r="AB68" s="347">
        <f t="shared" si="5"/>
        <v>-117573.18681671118</v>
      </c>
      <c r="AC68" s="347">
        <f t="shared" si="5"/>
        <v>-115195.78781857916</v>
      </c>
      <c r="AD68" s="347">
        <f t="shared" si="5"/>
        <v>-112818.38882044713</v>
      </c>
      <c r="AE68" s="347">
        <f t="shared" si="5"/>
        <v>-110440.98982231511</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-177008.16177001188</v>
      </c>
      <c r="D70" s="347">
        <f t="shared" si="6"/>
        <v>-174630.76277187985</v>
      </c>
      <c r="E70" s="347">
        <f t="shared" si="6"/>
        <v>-172253.36377374781</v>
      </c>
      <c r="F70" s="347">
        <f t="shared" si="6"/>
        <v>-169875.96477561578</v>
      </c>
      <c r="G70" s="347">
        <f t="shared" si="6"/>
        <v>-167498.56577748377</v>
      </c>
      <c r="H70" s="347">
        <f t="shared" si="6"/>
        <v>-168363.07450407723</v>
      </c>
      <c r="I70" s="347">
        <f t="shared" si="6"/>
        <v>-162743.76778121971</v>
      </c>
      <c r="J70" s="347">
        <f t="shared" si="6"/>
        <v>-63109.137041322909</v>
      </c>
      <c r="K70" s="347">
        <f t="shared" si="6"/>
        <v>-157988.96978495567</v>
      </c>
      <c r="L70" s="347">
        <f t="shared" si="6"/>
        <v>-155611.57078682363</v>
      </c>
      <c r="M70" s="347">
        <f t="shared" si="6"/>
        <v>-205536.94974759623</v>
      </c>
      <c r="N70" s="347">
        <f t="shared" si="6"/>
        <v>-154098.68051528506</v>
      </c>
      <c r="O70" s="347">
        <f t="shared" si="6"/>
        <v>-148479.37379242753</v>
      </c>
      <c r="P70" s="347">
        <f t="shared" si="6"/>
        <v>-146101.9747942955</v>
      </c>
      <c r="Q70" s="347">
        <f t="shared" si="6"/>
        <v>-143724.5757961635</v>
      </c>
      <c r="R70" s="347">
        <f t="shared" si="6"/>
        <v>-44089.94505626669</v>
      </c>
      <c r="S70" s="347">
        <f t="shared" si="6"/>
        <v>-138969.77779989943</v>
      </c>
      <c r="T70" s="347">
        <f t="shared" si="6"/>
        <v>-139834.28652649291</v>
      </c>
      <c r="U70" s="347">
        <f t="shared" si="6"/>
        <v>-134214.97980363539</v>
      </c>
      <c r="V70" s="347">
        <f t="shared" si="6"/>
        <v>-131837.58080550336</v>
      </c>
      <c r="W70" s="347">
        <f t="shared" si="6"/>
        <v>-129460.18180737132</v>
      </c>
      <c r="X70" s="347">
        <f t="shared" si="6"/>
        <v>-127082.78280923929</v>
      </c>
      <c r="Y70" s="347">
        <f t="shared" si="6"/>
        <v>-124705.38381110727</v>
      </c>
      <c r="Z70" s="347">
        <f t="shared" si="6"/>
        <v>-28312.660795935954</v>
      </c>
      <c r="AA70" s="347">
        <f t="shared" si="6"/>
        <v>-119950.58581484322</v>
      </c>
      <c r="AB70" s="347">
        <f t="shared" si="6"/>
        <v>-117573.18681671118</v>
      </c>
      <c r="AC70" s="347">
        <f t="shared" si="6"/>
        <v>-115195.78781857916</v>
      </c>
      <c r="AD70" s="347">
        <f t="shared" si="6"/>
        <v>-112818.38882044713</v>
      </c>
      <c r="AE70" s="347">
        <f t="shared" si="6"/>
        <v>-110440.98982231511</v>
      </c>
    </row>
    <row r="71" spans="1:31" x14ac:dyDescent="0.2">
      <c r="A71" s="343" t="s">
        <v>251</v>
      </c>
      <c r="B71" s="348">
        <f t="shared" ref="B71:AE71" si="7">-B70*$B$35</f>
        <v>0</v>
      </c>
      <c r="C71" s="348">
        <f t="shared" si="7"/>
        <v>35401.63235400238</v>
      </c>
      <c r="D71" s="348">
        <f t="shared" si="7"/>
        <v>34926.152554375971</v>
      </c>
      <c r="E71" s="348">
        <f t="shared" si="7"/>
        <v>34450.672754749561</v>
      </c>
      <c r="F71" s="348">
        <f t="shared" si="7"/>
        <v>33975.192955123159</v>
      </c>
      <c r="G71" s="348">
        <f t="shared" si="7"/>
        <v>33499.713155496756</v>
      </c>
      <c r="H71" s="348">
        <f t="shared" si="7"/>
        <v>33672.614900815446</v>
      </c>
      <c r="I71" s="348">
        <f t="shared" si="7"/>
        <v>32548.753556243944</v>
      </c>
      <c r="J71" s="348">
        <f t="shared" si="7"/>
        <v>12621.827408264582</v>
      </c>
      <c r="K71" s="348">
        <f t="shared" si="7"/>
        <v>31597.793956991136</v>
      </c>
      <c r="L71" s="348">
        <f t="shared" si="7"/>
        <v>31122.31415736473</v>
      </c>
      <c r="M71" s="348">
        <f t="shared" si="7"/>
        <v>41107.389949519245</v>
      </c>
      <c r="N71" s="348">
        <f t="shared" si="7"/>
        <v>30819.736103057014</v>
      </c>
      <c r="O71" s="348">
        <f t="shared" si="7"/>
        <v>29695.874758485508</v>
      </c>
      <c r="P71" s="348">
        <f t="shared" si="7"/>
        <v>29220.394958859102</v>
      </c>
      <c r="Q71" s="348">
        <f t="shared" si="7"/>
        <v>28744.9151592327</v>
      </c>
      <c r="R71" s="348">
        <f t="shared" si="7"/>
        <v>8817.9890112533376</v>
      </c>
      <c r="S71" s="348">
        <f t="shared" si="7"/>
        <v>27793.955559979888</v>
      </c>
      <c r="T71" s="348">
        <f t="shared" si="7"/>
        <v>27966.857305298585</v>
      </c>
      <c r="U71" s="348">
        <f t="shared" si="7"/>
        <v>26842.995960727079</v>
      </c>
      <c r="V71" s="348">
        <f t="shared" si="7"/>
        <v>26367.516161100673</v>
      </c>
      <c r="W71" s="348">
        <f t="shared" si="7"/>
        <v>25892.036361474267</v>
      </c>
      <c r="X71" s="348">
        <f t="shared" si="7"/>
        <v>25416.556561847858</v>
      </c>
      <c r="Y71" s="348">
        <f t="shared" si="7"/>
        <v>24941.076762221455</v>
      </c>
      <c r="Z71" s="348">
        <f t="shared" si="7"/>
        <v>5662.5321591871907</v>
      </c>
      <c r="AA71" s="348">
        <f t="shared" si="7"/>
        <v>23990.117162968643</v>
      </c>
      <c r="AB71" s="348">
        <f t="shared" si="7"/>
        <v>23514.637363342237</v>
      </c>
      <c r="AC71" s="348">
        <f t="shared" si="7"/>
        <v>23039.157563715835</v>
      </c>
      <c r="AD71" s="348">
        <f t="shared" si="7"/>
        <v>22563.677764089429</v>
      </c>
      <c r="AE71" s="348">
        <f t="shared" si="7"/>
        <v>22088.197964463023</v>
      </c>
    </row>
    <row r="72" spans="1:31" ht="13.5" thickBot="1" x14ac:dyDescent="0.25">
      <c r="A72" s="350" t="s">
        <v>255</v>
      </c>
      <c r="B72" s="351">
        <f t="shared" ref="B72:AE72" si="8">B70+B71</f>
        <v>0</v>
      </c>
      <c r="C72" s="351">
        <f t="shared" si="8"/>
        <v>-141606.52941600949</v>
      </c>
      <c r="D72" s="351">
        <f t="shared" si="8"/>
        <v>-139704.61021750388</v>
      </c>
      <c r="E72" s="351">
        <f t="shared" si="8"/>
        <v>-137802.69101899824</v>
      </c>
      <c r="F72" s="351">
        <f t="shared" si="8"/>
        <v>-135900.77182049264</v>
      </c>
      <c r="G72" s="351">
        <f t="shared" si="8"/>
        <v>-133998.85262198703</v>
      </c>
      <c r="H72" s="351">
        <f t="shared" si="8"/>
        <v>-134690.45960326178</v>
      </c>
      <c r="I72" s="351">
        <f t="shared" si="8"/>
        <v>-130195.01422497576</v>
      </c>
      <c r="J72" s="351">
        <f t="shared" si="8"/>
        <v>-50487.309633058328</v>
      </c>
      <c r="K72" s="351">
        <f t="shared" si="8"/>
        <v>-126391.17582796453</v>
      </c>
      <c r="L72" s="351">
        <f t="shared" si="8"/>
        <v>-124489.25662945891</v>
      </c>
      <c r="M72" s="351">
        <f t="shared" si="8"/>
        <v>-164429.55979807698</v>
      </c>
      <c r="N72" s="351">
        <f t="shared" si="8"/>
        <v>-123278.94441222804</v>
      </c>
      <c r="O72" s="351">
        <f t="shared" si="8"/>
        <v>-118783.49903394203</v>
      </c>
      <c r="P72" s="351">
        <f t="shared" si="8"/>
        <v>-116881.57983543639</v>
      </c>
      <c r="Q72" s="351">
        <f t="shared" si="8"/>
        <v>-114979.6606369308</v>
      </c>
      <c r="R72" s="351">
        <f t="shared" si="8"/>
        <v>-35271.95604501335</v>
      </c>
      <c r="S72" s="351">
        <f t="shared" si="8"/>
        <v>-111175.82223991954</v>
      </c>
      <c r="T72" s="351">
        <f t="shared" si="8"/>
        <v>-111867.42922119432</v>
      </c>
      <c r="U72" s="351">
        <f t="shared" si="8"/>
        <v>-107371.98384290832</v>
      </c>
      <c r="V72" s="351">
        <f t="shared" si="8"/>
        <v>-105470.06464440268</v>
      </c>
      <c r="W72" s="351">
        <f t="shared" si="8"/>
        <v>-103568.14544589705</v>
      </c>
      <c r="X72" s="351">
        <f t="shared" si="8"/>
        <v>-101666.22624739143</v>
      </c>
      <c r="Y72" s="351">
        <f t="shared" si="8"/>
        <v>-99764.307048885821</v>
      </c>
      <c r="Z72" s="351">
        <f t="shared" si="8"/>
        <v>-22650.128636748763</v>
      </c>
      <c r="AA72" s="351">
        <f t="shared" si="8"/>
        <v>-95960.468651874573</v>
      </c>
      <c r="AB72" s="351">
        <f t="shared" si="8"/>
        <v>-94058.549453368949</v>
      </c>
      <c r="AC72" s="351">
        <f t="shared" si="8"/>
        <v>-92156.630254863325</v>
      </c>
      <c r="AD72" s="351">
        <f t="shared" si="8"/>
        <v>-90254.711056357701</v>
      </c>
      <c r="AE72" s="351">
        <f t="shared" si="8"/>
        <v>-88352.791857852091</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599</v>
      </c>
      <c r="B75" s="347">
        <f t="shared" ref="B75:AE75" si="9">B68</f>
        <v>0</v>
      </c>
      <c r="C75" s="347">
        <f t="shared" si="9"/>
        <v>-177008.16177001188</v>
      </c>
      <c r="D75" s="347">
        <f t="shared" si="9"/>
        <v>-174630.76277187985</v>
      </c>
      <c r="E75" s="347">
        <f t="shared" si="9"/>
        <v>-172253.36377374781</v>
      </c>
      <c r="F75" s="347">
        <f t="shared" si="9"/>
        <v>-169875.96477561578</v>
      </c>
      <c r="G75" s="347">
        <f t="shared" si="9"/>
        <v>-167498.56577748377</v>
      </c>
      <c r="H75" s="347">
        <f t="shared" si="9"/>
        <v>-168363.07450407723</v>
      </c>
      <c r="I75" s="347">
        <f t="shared" si="9"/>
        <v>-162743.76778121971</v>
      </c>
      <c r="J75" s="347">
        <f t="shared" si="9"/>
        <v>-63109.137041322909</v>
      </c>
      <c r="K75" s="347">
        <f t="shared" si="9"/>
        <v>-157988.96978495567</v>
      </c>
      <c r="L75" s="347">
        <f t="shared" si="9"/>
        <v>-155611.57078682363</v>
      </c>
      <c r="M75" s="347">
        <f t="shared" si="9"/>
        <v>-205536.94974759623</v>
      </c>
      <c r="N75" s="347">
        <f t="shared" si="9"/>
        <v>-154098.68051528506</v>
      </c>
      <c r="O75" s="347">
        <f t="shared" si="9"/>
        <v>-148479.37379242753</v>
      </c>
      <c r="P75" s="347">
        <f t="shared" si="9"/>
        <v>-146101.9747942955</v>
      </c>
      <c r="Q75" s="347">
        <f t="shared" si="9"/>
        <v>-143724.5757961635</v>
      </c>
      <c r="R75" s="347">
        <f t="shared" si="9"/>
        <v>-44089.94505626669</v>
      </c>
      <c r="S75" s="347">
        <f t="shared" si="9"/>
        <v>-138969.77779989943</v>
      </c>
      <c r="T75" s="347">
        <f t="shared" si="9"/>
        <v>-139834.28652649291</v>
      </c>
      <c r="U75" s="347">
        <f t="shared" si="9"/>
        <v>-134214.97980363539</v>
      </c>
      <c r="V75" s="347">
        <f t="shared" si="9"/>
        <v>-131837.58080550336</v>
      </c>
      <c r="W75" s="347">
        <f t="shared" si="9"/>
        <v>-129460.18180737132</v>
      </c>
      <c r="X75" s="347">
        <f t="shared" si="9"/>
        <v>-127082.78280923929</v>
      </c>
      <c r="Y75" s="347">
        <f t="shared" si="9"/>
        <v>-124705.38381110727</v>
      </c>
      <c r="Z75" s="347">
        <f t="shared" si="9"/>
        <v>-28312.660795935954</v>
      </c>
      <c r="AA75" s="347">
        <f t="shared" si="9"/>
        <v>-119950.58581484322</v>
      </c>
      <c r="AB75" s="347">
        <f t="shared" si="9"/>
        <v>-117573.18681671118</v>
      </c>
      <c r="AC75" s="347">
        <f t="shared" si="9"/>
        <v>-115195.78781857916</v>
      </c>
      <c r="AD75" s="347">
        <f t="shared" si="9"/>
        <v>-112818.38882044713</v>
      </c>
      <c r="AE75" s="347">
        <f t="shared" si="9"/>
        <v>-110440.98982231511</v>
      </c>
    </row>
    <row r="76" spans="1:31" x14ac:dyDescent="0.2">
      <c r="A76" s="343" t="s">
        <v>253</v>
      </c>
      <c r="B76" s="348">
        <f t="shared" ref="B76:AE76" si="10">-B67</f>
        <v>0</v>
      </c>
      <c r="C76" s="348">
        <f t="shared" si="10"/>
        <v>108063.59082418308</v>
      </c>
      <c r="D76" s="348">
        <f t="shared" si="10"/>
        <v>108063.59082418308</v>
      </c>
      <c r="E76" s="348">
        <f t="shared" si="10"/>
        <v>108063.59082418308</v>
      </c>
      <c r="F76" s="348">
        <f t="shared" si="10"/>
        <v>108063.59082418308</v>
      </c>
      <c r="G76" s="348">
        <f t="shared" si="10"/>
        <v>108063.59082418308</v>
      </c>
      <c r="H76" s="348">
        <f t="shared" si="10"/>
        <v>108063.59082418308</v>
      </c>
      <c r="I76" s="348">
        <f t="shared" si="10"/>
        <v>108063.59082418308</v>
      </c>
      <c r="J76" s="348">
        <f t="shared" si="10"/>
        <v>108063.59082418308</v>
      </c>
      <c r="K76" s="348">
        <f t="shared" si="10"/>
        <v>108063.59082418308</v>
      </c>
      <c r="L76" s="348">
        <f t="shared" si="10"/>
        <v>108063.59082418308</v>
      </c>
      <c r="M76" s="348">
        <f t="shared" si="10"/>
        <v>108063.59082418308</v>
      </c>
      <c r="N76" s="348">
        <f t="shared" si="10"/>
        <v>108063.59082418308</v>
      </c>
      <c r="O76" s="348">
        <f t="shared" si="10"/>
        <v>108063.59082418308</v>
      </c>
      <c r="P76" s="348">
        <f t="shared" si="10"/>
        <v>108063.59082418308</v>
      </c>
      <c r="Q76" s="348">
        <f t="shared" si="10"/>
        <v>108063.59082418308</v>
      </c>
      <c r="R76" s="348">
        <f t="shared" si="10"/>
        <v>108063.59082418308</v>
      </c>
      <c r="S76" s="348">
        <f t="shared" si="10"/>
        <v>108063.59082418308</v>
      </c>
      <c r="T76" s="348">
        <f t="shared" si="10"/>
        <v>108063.59082418308</v>
      </c>
      <c r="U76" s="348">
        <f t="shared" si="10"/>
        <v>108063.59082418308</v>
      </c>
      <c r="V76" s="348">
        <f t="shared" si="10"/>
        <v>108063.59082418308</v>
      </c>
      <c r="W76" s="348">
        <f t="shared" si="10"/>
        <v>108063.59082418308</v>
      </c>
      <c r="X76" s="348">
        <f t="shared" si="10"/>
        <v>108063.59082418308</v>
      </c>
      <c r="Y76" s="348">
        <f t="shared" si="10"/>
        <v>108063.59082418308</v>
      </c>
      <c r="Z76" s="348">
        <f t="shared" si="10"/>
        <v>108063.59082418308</v>
      </c>
      <c r="AA76" s="348">
        <f t="shared" si="10"/>
        <v>108063.59082418308</v>
      </c>
      <c r="AB76" s="348">
        <f t="shared" si="10"/>
        <v>108063.59082418308</v>
      </c>
      <c r="AC76" s="348">
        <f t="shared" si="10"/>
        <v>108063.59082418308</v>
      </c>
      <c r="AD76" s="348">
        <f t="shared" si="10"/>
        <v>108063.59082418308</v>
      </c>
      <c r="AE76" s="348">
        <f t="shared" si="10"/>
        <v>108063.59082418308</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0</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-648.38154494509854</v>
      </c>
      <c r="I79" s="348">
        <f>IF(((SUM($B$58:I58)+SUM($B$60:I64))+SUM($B$81:I81))&lt;0,((SUM($B$58:I58)+SUM($B$60:I64))+SUM($B$81:I81))*0.2-SUM($A$79:H79),IF(SUM($A$79:H79)&lt;0,0-SUM($A$79:H79),0))</f>
        <v>0</v>
      </c>
      <c r="J79" s="348">
        <f>IF(((SUM($B$58:J58)+SUM($B$60:J64))+SUM($B$81:J81))&lt;0,((SUM($B$58:J58)+SUM($B$60:J64))+SUM($B$81:J81))*0.2-SUM($A$79:I79),IF(SUM($A$79:I79)&lt;0,0-SUM($A$79:I79),0))</f>
        <v>648.38154494509854</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0</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0</v>
      </c>
      <c r="S79" s="348">
        <f>IF(((SUM($B$58:S58)+SUM($B$60:S64))+SUM($B$81:S81))&lt;0,((SUM($B$58:S58)+SUM($B$60:S64))+SUM($B$81:S81))*0.2-SUM($A$79:R79),IF(SUM($A$79:R79)&lt;0,0-SUM($A$79:R79),0))</f>
        <v>0</v>
      </c>
      <c r="T79" s="348">
        <f>IF(((SUM($B$58:T58)+SUM($B$60:T64))+SUM($B$81:T81))&lt;0,((SUM($B$58:T58)+SUM($B$60:T64))+SUM($B$81:T81))*0.2-SUM($A$79:S79),IF(SUM($A$79:S79)&lt;0,0-SUM($A$79:S79),0))</f>
        <v>0</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0</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ввод'!R24*1000000</f>
        <v>0</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0</v>
      </c>
      <c r="C83" s="347">
        <f t="shared" si="13"/>
        <v>-68944.570945828804</v>
      </c>
      <c r="D83" s="347">
        <f t="shared" si="13"/>
        <v>-66567.17194769677</v>
      </c>
      <c r="E83" s="347">
        <f t="shared" si="13"/>
        <v>-64189.772949564736</v>
      </c>
      <c r="F83" s="347">
        <f t="shared" si="13"/>
        <v>-61812.373951432703</v>
      </c>
      <c r="G83" s="347">
        <f t="shared" si="13"/>
        <v>-59434.974953300698</v>
      </c>
      <c r="H83" s="347">
        <f t="shared" si="13"/>
        <v>-60947.865224839254</v>
      </c>
      <c r="I83" s="347">
        <f t="shared" si="13"/>
        <v>-54680.17695703663</v>
      </c>
      <c r="J83" s="347">
        <f t="shared" si="13"/>
        <v>45602.835327805267</v>
      </c>
      <c r="K83" s="347">
        <f t="shared" si="13"/>
        <v>-49925.378960772592</v>
      </c>
      <c r="L83" s="347">
        <f t="shared" si="13"/>
        <v>-47547.979962640558</v>
      </c>
      <c r="M83" s="347">
        <f t="shared" si="13"/>
        <v>-97473.35892341315</v>
      </c>
      <c r="N83" s="347">
        <f t="shared" si="13"/>
        <v>-46035.089691101981</v>
      </c>
      <c r="O83" s="347">
        <f t="shared" si="13"/>
        <v>-40415.782968244457</v>
      </c>
      <c r="P83" s="347">
        <f t="shared" si="13"/>
        <v>-38038.383970112423</v>
      </c>
      <c r="Q83" s="347">
        <f t="shared" si="13"/>
        <v>-35660.984971980419</v>
      </c>
      <c r="R83" s="347">
        <f t="shared" si="13"/>
        <v>63973.645767916387</v>
      </c>
      <c r="S83" s="347">
        <f t="shared" si="13"/>
        <v>-30906.186975716351</v>
      </c>
      <c r="T83" s="347">
        <f t="shared" si="13"/>
        <v>-31770.695702309837</v>
      </c>
      <c r="U83" s="347">
        <f t="shared" si="13"/>
        <v>-26151.388979452313</v>
      </c>
      <c r="V83" s="347">
        <f t="shared" si="13"/>
        <v>-23773.989981320279</v>
      </c>
      <c r="W83" s="347">
        <f t="shared" si="13"/>
        <v>-21396.590983188245</v>
      </c>
      <c r="X83" s="347">
        <f t="shared" si="13"/>
        <v>-19019.191985056212</v>
      </c>
      <c r="Y83" s="347">
        <f t="shared" si="13"/>
        <v>-16641.792986924193</v>
      </c>
      <c r="Z83" s="347">
        <f t="shared" si="13"/>
        <v>79750.930028247123</v>
      </c>
      <c r="AA83" s="347">
        <f t="shared" si="13"/>
        <v>-11886.99499066014</v>
      </c>
      <c r="AB83" s="347">
        <f t="shared" si="13"/>
        <v>-9509.5959925281059</v>
      </c>
      <c r="AC83" s="347">
        <f t="shared" si="13"/>
        <v>-7132.1969943960867</v>
      </c>
      <c r="AD83" s="347">
        <f t="shared" si="13"/>
        <v>-4754.7979962640529</v>
      </c>
      <c r="AE83" s="347">
        <f t="shared" si="13"/>
        <v>-2377.3989981320337</v>
      </c>
    </row>
    <row r="84" spans="1:31" x14ac:dyDescent="0.2">
      <c r="A84" s="346" t="s">
        <v>600</v>
      </c>
      <c r="B84" s="347">
        <f>SUM($B$83:B83)</f>
        <v>0</v>
      </c>
      <c r="C84" s="347">
        <f>SUM($B$83:C83)</f>
        <v>-68944.570945828804</v>
      </c>
      <c r="D84" s="347">
        <f>SUM($B$83:D83)</f>
        <v>-135511.74289352557</v>
      </c>
      <c r="E84" s="347">
        <f>SUM($B$83:E83)</f>
        <v>-199701.51584309031</v>
      </c>
      <c r="F84" s="347">
        <f>SUM($B$83:F83)</f>
        <v>-261513.88979452301</v>
      </c>
      <c r="G84" s="347">
        <f>SUM($B$83:G83)</f>
        <v>-320948.86474782368</v>
      </c>
      <c r="H84" s="347">
        <f>SUM($B$83:H83)</f>
        <v>-381896.72997266293</v>
      </c>
      <c r="I84" s="347">
        <f>SUM($B$83:I83)</f>
        <v>-436576.90692969959</v>
      </c>
      <c r="J84" s="347">
        <f>SUM($B$83:J83)</f>
        <v>-390974.07160189433</v>
      </c>
      <c r="K84" s="347">
        <f>SUM($B$83:K83)</f>
        <v>-440899.45056266693</v>
      </c>
      <c r="L84" s="347">
        <f>SUM($B$83:L83)</f>
        <v>-488447.43052530749</v>
      </c>
      <c r="M84" s="347">
        <f>SUM($B$83:M83)</f>
        <v>-585920.78944872064</v>
      </c>
      <c r="N84" s="347">
        <f>SUM($B$83:N83)</f>
        <v>-631955.87913982267</v>
      </c>
      <c r="O84" s="347">
        <f>SUM($B$83:O83)</f>
        <v>-672371.66210806719</v>
      </c>
      <c r="P84" s="347">
        <f>SUM($B$83:P83)</f>
        <v>-710410.04607817961</v>
      </c>
      <c r="Q84" s="347">
        <f>SUM($B$83:Q83)</f>
        <v>-746071.03105016006</v>
      </c>
      <c r="R84" s="347">
        <f>SUM($B$83:R83)</f>
        <v>-682097.38528224372</v>
      </c>
      <c r="S84" s="347">
        <f>SUM($B$83:S83)</f>
        <v>-713003.5722579601</v>
      </c>
      <c r="T84" s="347">
        <f>SUM($B$83:T83)</f>
        <v>-744774.26796026994</v>
      </c>
      <c r="U84" s="347">
        <f>SUM($B$83:U83)</f>
        <v>-770925.65693972225</v>
      </c>
      <c r="V84" s="347">
        <f>SUM($B$83:V83)</f>
        <v>-794699.64692104259</v>
      </c>
      <c r="W84" s="347">
        <f>SUM($B$83:W83)</f>
        <v>-816096.23790423083</v>
      </c>
      <c r="X84" s="347">
        <f>SUM($B$83:X83)</f>
        <v>-835115.4298892871</v>
      </c>
      <c r="Y84" s="347">
        <f>SUM($B$83:Y83)</f>
        <v>-851757.22287621128</v>
      </c>
      <c r="Z84" s="347">
        <f>SUM($B$83:Z83)</f>
        <v>-772006.29284796421</v>
      </c>
      <c r="AA84" s="347">
        <f>SUM($B$83:AA83)</f>
        <v>-783893.28783862432</v>
      </c>
      <c r="AB84" s="347">
        <f>SUM($B$83:AB83)</f>
        <v>-793402.88383115246</v>
      </c>
      <c r="AC84" s="347">
        <f>SUM($B$83:AC83)</f>
        <v>-800535.0808255485</v>
      </c>
      <c r="AD84" s="347">
        <f>SUM($B$83:AD83)</f>
        <v>-805289.87882181257</v>
      </c>
      <c r="AE84" s="347">
        <f>SUM($B$83:AE83)</f>
        <v>-807667.27781994455</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601</v>
      </c>
      <c r="B86" s="347">
        <f t="shared" ref="B86:AE86" si="15">B83*B85</f>
        <v>0</v>
      </c>
      <c r="C86" s="347">
        <f t="shared" si="15"/>
        <v>-59866.15785307515</v>
      </c>
      <c r="D86" s="347">
        <f t="shared" si="15"/>
        <v>-52609.272396722896</v>
      </c>
      <c r="E86" s="347">
        <f t="shared" si="15"/>
        <v>-46173.086202899467</v>
      </c>
      <c r="F86" s="347">
        <f t="shared" si="15"/>
        <v>-40468.710202137408</v>
      </c>
      <c r="G86" s="347">
        <f t="shared" si="15"/>
        <v>-35416.602665157967</v>
      </c>
      <c r="H86" s="347">
        <f t="shared" si="15"/>
        <v>-33055.534893550379</v>
      </c>
      <c r="I86" s="347">
        <f t="shared" si="15"/>
        <v>-26992.087773843123</v>
      </c>
      <c r="J86" s="347">
        <f t="shared" si="15"/>
        <v>20488.930397012136</v>
      </c>
      <c r="K86" s="347">
        <f t="shared" si="15"/>
        <v>-20415.954407599344</v>
      </c>
      <c r="L86" s="347">
        <f t="shared" si="15"/>
        <v>-17697.065716278845</v>
      </c>
      <c r="M86" s="347">
        <f t="shared" si="15"/>
        <v>-33019.918738847387</v>
      </c>
      <c r="N86" s="347">
        <f t="shared" si="15"/>
        <v>-14193.841040872312</v>
      </c>
      <c r="O86" s="347">
        <f t="shared" si="15"/>
        <v>-11341.82170325546</v>
      </c>
      <c r="P86" s="347">
        <f t="shared" si="15"/>
        <v>-9715.7146816337663</v>
      </c>
      <c r="Q86" s="347">
        <f t="shared" si="15"/>
        <v>-8290.2362009935914</v>
      </c>
      <c r="R86" s="347">
        <f t="shared" si="15"/>
        <v>13536.162106148058</v>
      </c>
      <c r="S86" s="347">
        <f t="shared" si="15"/>
        <v>-5951.9702067405551</v>
      </c>
      <c r="T86" s="347">
        <f t="shared" si="15"/>
        <v>-5568.8166777575161</v>
      </c>
      <c r="U86" s="347">
        <f t="shared" si="15"/>
        <v>-4172.0723626293011</v>
      </c>
      <c r="V86" s="347">
        <f t="shared" si="15"/>
        <v>-3452.0734112457699</v>
      </c>
      <c r="W86" s="347">
        <f t="shared" si="15"/>
        <v>-2827.7656049159841</v>
      </c>
      <c r="X86" s="347">
        <f t="shared" si="15"/>
        <v>-2287.7668395303403</v>
      </c>
      <c r="Y86" s="347">
        <f t="shared" si="15"/>
        <v>-1821.9677660772263</v>
      </c>
      <c r="Z86" s="347">
        <f t="shared" si="15"/>
        <v>7946.8900753132884</v>
      </c>
      <c r="AA86" s="347">
        <f t="shared" si="15"/>
        <v>-1078.088477913491</v>
      </c>
      <c r="AB86" s="347">
        <f t="shared" si="15"/>
        <v>-784.99206546900143</v>
      </c>
      <c r="AC86" s="347">
        <f t="shared" si="15"/>
        <v>-535.8551461743441</v>
      </c>
      <c r="AD86" s="347">
        <f t="shared" si="15"/>
        <v>-325.14495687287621</v>
      </c>
      <c r="AE86" s="347">
        <f t="shared" si="15"/>
        <v>-147.96803352729455</v>
      </c>
    </row>
    <row r="87" spans="1:31" x14ac:dyDescent="0.2">
      <c r="A87" s="353" t="s">
        <v>602</v>
      </c>
      <c r="B87" s="347">
        <f>SUM($B$86:B86)</f>
        <v>0</v>
      </c>
      <c r="C87" s="347">
        <f>SUM($B$86:C86)</f>
        <v>-59866.15785307515</v>
      </c>
      <c r="D87" s="347">
        <f>SUM($B$86:D86)</f>
        <v>-112475.43024979805</v>
      </c>
      <c r="E87" s="347">
        <f>SUM($B$86:E86)</f>
        <v>-158648.51645269751</v>
      </c>
      <c r="F87" s="347">
        <f>SUM($B$86:F86)</f>
        <v>-199117.22665483493</v>
      </c>
      <c r="G87" s="347">
        <f>SUM($B$86:G86)</f>
        <v>-234533.82931999289</v>
      </c>
      <c r="H87" s="347">
        <f>SUM($B$86:H86)</f>
        <v>-267589.36421354325</v>
      </c>
      <c r="I87" s="347">
        <f>SUM($B$86:I86)</f>
        <v>-294581.45198738639</v>
      </c>
      <c r="J87" s="347">
        <f>SUM($B$86:J86)</f>
        <v>-274092.52159037424</v>
      </c>
      <c r="K87" s="347">
        <f>SUM($B$86:K86)</f>
        <v>-294508.47599797358</v>
      </c>
      <c r="L87" s="347">
        <f>SUM($B$86:L86)</f>
        <v>-312205.54171425244</v>
      </c>
      <c r="M87" s="347">
        <f>SUM($B$86:M86)</f>
        <v>-345225.4604530998</v>
      </c>
      <c r="N87" s="347">
        <f>SUM($B$86:N86)</f>
        <v>-359419.30149397213</v>
      </c>
      <c r="O87" s="347">
        <f>SUM($B$86:O86)</f>
        <v>-370761.1231972276</v>
      </c>
      <c r="P87" s="347">
        <f>SUM($B$86:P86)</f>
        <v>-380476.83787886135</v>
      </c>
      <c r="Q87" s="347">
        <f>SUM($B$86:Q86)</f>
        <v>-388767.07407985494</v>
      </c>
      <c r="R87" s="347">
        <f>SUM($B$86:R86)</f>
        <v>-375230.91197370685</v>
      </c>
      <c r="S87" s="347">
        <f>SUM($B$86:S86)</f>
        <v>-381182.8821804474</v>
      </c>
      <c r="T87" s="347">
        <f>SUM($B$86:T86)</f>
        <v>-386751.69885820494</v>
      </c>
      <c r="U87" s="347">
        <f>SUM($B$86:U86)</f>
        <v>-390923.77122083423</v>
      </c>
      <c r="V87" s="347">
        <f>SUM($B$86:V86)</f>
        <v>-394375.84463208</v>
      </c>
      <c r="W87" s="347">
        <f>SUM($B$86:W86)</f>
        <v>-397203.61023699597</v>
      </c>
      <c r="X87" s="347">
        <f>SUM($B$86:X86)</f>
        <v>-399491.37707652629</v>
      </c>
      <c r="Y87" s="347">
        <f>SUM($B$86:Y86)</f>
        <v>-401313.34484260349</v>
      </c>
      <c r="Z87" s="347">
        <f>SUM($B$86:Z86)</f>
        <v>-393366.45476729021</v>
      </c>
      <c r="AA87" s="347">
        <f>SUM($B$86:AA86)</f>
        <v>-394444.54324520368</v>
      </c>
      <c r="AB87" s="347">
        <f>SUM($B$86:AB86)</f>
        <v>-395229.53531067265</v>
      </c>
      <c r="AC87" s="347">
        <f>SUM($B$86:AC86)</f>
        <v>-395765.39045684697</v>
      </c>
      <c r="AD87" s="347">
        <f>SUM($B$86:AD86)</f>
        <v>-396090.53541371983</v>
      </c>
      <c r="AE87" s="347">
        <f>SUM($B$86:AE86)</f>
        <v>-396238.50344724715</v>
      </c>
    </row>
    <row r="88" spans="1:31" x14ac:dyDescent="0.2">
      <c r="A88" s="353" t="s">
        <v>603</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604</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605</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2022</v>
      </c>
      <c r="C91" s="361">
        <f t="shared" ref="C91:R92" si="18">B91+1</f>
        <v>2023</v>
      </c>
      <c r="D91" s="361">
        <f t="shared" si="18"/>
        <v>2024</v>
      </c>
      <c r="E91" s="361">
        <f t="shared" si="18"/>
        <v>2025</v>
      </c>
      <c r="F91" s="361">
        <f t="shared" si="18"/>
        <v>2026</v>
      </c>
      <c r="G91" s="361">
        <f t="shared" si="18"/>
        <v>2027</v>
      </c>
      <c r="H91" s="361">
        <f t="shared" si="18"/>
        <v>2028</v>
      </c>
      <c r="I91" s="361">
        <f t="shared" si="18"/>
        <v>2029</v>
      </c>
      <c r="J91" s="361">
        <f t="shared" si="18"/>
        <v>2030</v>
      </c>
      <c r="K91" s="361">
        <f t="shared" si="18"/>
        <v>2031</v>
      </c>
      <c r="L91" s="361">
        <f t="shared" si="18"/>
        <v>2032</v>
      </c>
      <c r="M91" s="361">
        <f t="shared" si="18"/>
        <v>2033</v>
      </c>
      <c r="N91" s="361">
        <f t="shared" si="18"/>
        <v>2034</v>
      </c>
      <c r="O91" s="361">
        <f t="shared" si="18"/>
        <v>2035</v>
      </c>
      <c r="P91" s="361">
        <f t="shared" si="18"/>
        <v>2036</v>
      </c>
      <c r="Q91" s="361">
        <f t="shared" si="18"/>
        <v>2037</v>
      </c>
      <c r="R91" s="361">
        <f t="shared" si="18"/>
        <v>2038</v>
      </c>
      <c r="S91" s="361">
        <f t="shared" ref="S91:AE92" si="19">R91+1</f>
        <v>2039</v>
      </c>
      <c r="T91" s="361">
        <f t="shared" si="19"/>
        <v>2040</v>
      </c>
      <c r="U91" s="361">
        <f t="shared" si="19"/>
        <v>2041</v>
      </c>
      <c r="V91" s="361">
        <f t="shared" si="19"/>
        <v>2042</v>
      </c>
      <c r="W91" s="361">
        <f t="shared" si="19"/>
        <v>2043</v>
      </c>
      <c r="X91" s="361">
        <f t="shared" si="19"/>
        <v>2044</v>
      </c>
      <c r="Y91" s="361">
        <f t="shared" si="19"/>
        <v>2045</v>
      </c>
      <c r="Z91" s="361">
        <f t="shared" si="19"/>
        <v>2046</v>
      </c>
      <c r="AA91" s="361">
        <f t="shared" si="19"/>
        <v>2047</v>
      </c>
      <c r="AB91" s="361">
        <f t="shared" si="19"/>
        <v>2048</v>
      </c>
      <c r="AC91" s="361">
        <f t="shared" si="19"/>
        <v>2049</v>
      </c>
      <c r="AD91" s="361">
        <f t="shared" si="19"/>
        <v>2050</v>
      </c>
      <c r="AE91" s="361">
        <f t="shared" si="19"/>
        <v>2051</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40" t="s">
        <v>606</v>
      </c>
      <c r="B93" s="440"/>
      <c r="C93" s="440"/>
      <c r="D93" s="440"/>
      <c r="E93" s="440"/>
      <c r="F93" s="440"/>
      <c r="G93" s="440"/>
      <c r="H93" s="440"/>
      <c r="I93" s="440"/>
      <c r="J93" s="440"/>
      <c r="K93" s="440"/>
      <c r="L93" s="440"/>
      <c r="M93" s="440"/>
      <c r="N93" s="440"/>
      <c r="O93" s="440"/>
      <c r="P93" s="440"/>
      <c r="Q93" s="440"/>
      <c r="R93" s="440"/>
      <c r="S93" s="440"/>
      <c r="T93" s="440"/>
      <c r="U93" s="440"/>
      <c r="V93" s="440"/>
      <c r="W93" s="440"/>
      <c r="X93" s="440"/>
      <c r="Y93" s="440"/>
      <c r="Z93" s="440"/>
      <c r="AA93" s="440"/>
      <c r="AB93" s="440"/>
      <c r="AC93" s="440"/>
    </row>
    <row r="94" spans="1:31" x14ac:dyDescent="0.2">
      <c r="A94" s="440" t="s">
        <v>607</v>
      </c>
      <c r="B94" s="440"/>
      <c r="C94" s="440"/>
      <c r="D94" s="440"/>
      <c r="E94" s="440"/>
      <c r="F94" s="440"/>
      <c r="G94" s="440"/>
      <c r="H94" s="440"/>
      <c r="I94" s="440"/>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60" workbookViewId="0">
      <selection activeCell="H52" sqref="H52"/>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8" t="str">
        <f>'2. паспорт  ТП'!A4:S4</f>
        <v>Год раскрытия информации: 2022 год</v>
      </c>
      <c r="B5" s="378"/>
      <c r="C5" s="378"/>
      <c r="D5" s="378"/>
      <c r="E5" s="378"/>
      <c r="F5" s="378"/>
      <c r="G5" s="378"/>
      <c r="H5" s="378"/>
      <c r="I5" s="378"/>
      <c r="J5" s="378"/>
      <c r="K5" s="378"/>
      <c r="L5" s="378"/>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394" t="s">
        <v>6</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row>
    <row r="10" spans="1:44" x14ac:dyDescent="0.25">
      <c r="A10" s="390" t="s">
        <v>5</v>
      </c>
      <c r="B10" s="390"/>
      <c r="C10" s="390"/>
      <c r="D10" s="390"/>
      <c r="E10" s="390"/>
      <c r="F10" s="390"/>
      <c r="G10" s="390"/>
      <c r="H10" s="390"/>
      <c r="I10" s="390"/>
      <c r="J10" s="390"/>
      <c r="K10" s="390"/>
      <c r="L10" s="390"/>
    </row>
    <row r="11" spans="1:44" ht="18.75" x14ac:dyDescent="0.25">
      <c r="A11" s="394"/>
      <c r="B11" s="394"/>
      <c r="C11" s="394"/>
      <c r="D11" s="394"/>
      <c r="E11" s="394"/>
      <c r="F11" s="394"/>
      <c r="G11" s="394"/>
      <c r="H11" s="394"/>
      <c r="I11" s="394"/>
      <c r="J11" s="394"/>
      <c r="K11" s="394"/>
      <c r="L11" s="394"/>
    </row>
    <row r="12" spans="1:44" x14ac:dyDescent="0.25">
      <c r="A12" s="388" t="str">
        <f>'1. паспорт местоположение'!A12:C12</f>
        <v>J 19-15</v>
      </c>
      <c r="B12" s="388"/>
      <c r="C12" s="388"/>
      <c r="D12" s="388"/>
      <c r="E12" s="388"/>
      <c r="F12" s="388"/>
      <c r="G12" s="388"/>
      <c r="H12" s="388"/>
      <c r="I12" s="388"/>
      <c r="J12" s="388"/>
      <c r="K12" s="388"/>
      <c r="L12" s="388"/>
    </row>
    <row r="13" spans="1:44" x14ac:dyDescent="0.25">
      <c r="A13" s="390" t="s">
        <v>4</v>
      </c>
      <c r="B13" s="390"/>
      <c r="C13" s="390"/>
      <c r="D13" s="390"/>
      <c r="E13" s="390"/>
      <c r="F13" s="390"/>
      <c r="G13" s="390"/>
      <c r="H13" s="390"/>
      <c r="I13" s="390"/>
      <c r="J13" s="390"/>
      <c r="K13" s="390"/>
      <c r="L13" s="390"/>
    </row>
    <row r="14" spans="1:44" ht="18.75" x14ac:dyDescent="0.25">
      <c r="A14" s="395"/>
      <c r="B14" s="395"/>
      <c r="C14" s="395"/>
      <c r="D14" s="395"/>
      <c r="E14" s="395"/>
      <c r="F14" s="395"/>
      <c r="G14" s="395"/>
      <c r="H14" s="395"/>
      <c r="I14" s="395"/>
      <c r="J14" s="395"/>
      <c r="K14" s="395"/>
      <c r="L14" s="395"/>
    </row>
    <row r="15" spans="1:44" x14ac:dyDescent="0.25">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row>
    <row r="16" spans="1:44" x14ac:dyDescent="0.25">
      <c r="A16" s="390" t="s">
        <v>3</v>
      </c>
      <c r="B16" s="390"/>
      <c r="C16" s="390"/>
      <c r="D16" s="390"/>
      <c r="E16" s="390"/>
      <c r="F16" s="390"/>
      <c r="G16" s="390"/>
      <c r="H16" s="390"/>
      <c r="I16" s="390"/>
      <c r="J16" s="390"/>
      <c r="K16" s="390"/>
      <c r="L16" s="390"/>
    </row>
    <row r="17" spans="1:12" ht="15.75" customHeight="1" x14ac:dyDescent="0.25">
      <c r="L17" s="96"/>
    </row>
    <row r="18" spans="1:12" x14ac:dyDescent="0.25">
      <c r="K18" s="95"/>
    </row>
    <row r="19" spans="1:12" ht="15.75" customHeight="1" x14ac:dyDescent="0.25">
      <c r="A19" s="447" t="s">
        <v>422</v>
      </c>
      <c r="B19" s="447"/>
      <c r="C19" s="447"/>
      <c r="D19" s="447"/>
      <c r="E19" s="447"/>
      <c r="F19" s="447"/>
      <c r="G19" s="447"/>
      <c r="H19" s="447"/>
      <c r="I19" s="447"/>
      <c r="J19" s="447"/>
      <c r="K19" s="447"/>
      <c r="L19" s="447"/>
    </row>
    <row r="20" spans="1:12" x14ac:dyDescent="0.25">
      <c r="A20" s="64"/>
      <c r="B20" s="64"/>
      <c r="C20" s="94"/>
      <c r="D20" s="94"/>
      <c r="E20" s="94"/>
      <c r="F20" s="94"/>
      <c r="G20" s="94"/>
      <c r="H20" s="94"/>
      <c r="I20" s="94"/>
      <c r="J20" s="94"/>
      <c r="K20" s="94"/>
      <c r="L20" s="94"/>
    </row>
    <row r="21" spans="1:12" ht="28.5" customHeight="1" x14ac:dyDescent="0.25">
      <c r="A21" s="448" t="s">
        <v>217</v>
      </c>
      <c r="B21" s="448" t="s">
        <v>216</v>
      </c>
      <c r="C21" s="454" t="s">
        <v>354</v>
      </c>
      <c r="D21" s="454"/>
      <c r="E21" s="454"/>
      <c r="F21" s="454"/>
      <c r="G21" s="454"/>
      <c r="H21" s="454"/>
      <c r="I21" s="449" t="s">
        <v>215</v>
      </c>
      <c r="J21" s="451" t="s">
        <v>356</v>
      </c>
      <c r="K21" s="448" t="s">
        <v>214</v>
      </c>
      <c r="L21" s="450" t="s">
        <v>355</v>
      </c>
    </row>
    <row r="22" spans="1:12" ht="58.5" customHeight="1" x14ac:dyDescent="0.25">
      <c r="A22" s="448"/>
      <c r="B22" s="448"/>
      <c r="C22" s="455" t="s">
        <v>563</v>
      </c>
      <c r="D22" s="455"/>
      <c r="E22" s="455" t="s">
        <v>8</v>
      </c>
      <c r="F22" s="455"/>
      <c r="G22" s="455" t="s">
        <v>564</v>
      </c>
      <c r="H22" s="455"/>
      <c r="I22" s="449"/>
      <c r="J22" s="452"/>
      <c r="K22" s="448"/>
      <c r="L22" s="450"/>
    </row>
    <row r="23" spans="1:12" ht="31.5" x14ac:dyDescent="0.25">
      <c r="A23" s="448"/>
      <c r="B23" s="448"/>
      <c r="C23" s="93" t="s">
        <v>213</v>
      </c>
      <c r="D23" s="93" t="s">
        <v>212</v>
      </c>
      <c r="E23" s="93" t="s">
        <v>213</v>
      </c>
      <c r="F23" s="93" t="s">
        <v>212</v>
      </c>
      <c r="G23" s="93" t="s">
        <v>213</v>
      </c>
      <c r="H23" s="93" t="s">
        <v>212</v>
      </c>
      <c r="I23" s="449"/>
      <c r="J23" s="453"/>
      <c r="K23" s="448"/>
      <c r="L23" s="45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20"/>
      <c r="D25" s="220"/>
      <c r="E25" s="91"/>
      <c r="F25" s="91"/>
      <c r="G25" s="220"/>
      <c r="H25" s="220"/>
      <c r="I25" s="91"/>
      <c r="J25" s="91"/>
      <c r="K25" s="83"/>
      <c r="L25" s="98"/>
    </row>
    <row r="26" spans="1:12" ht="21.75" customHeight="1" x14ac:dyDescent="0.25">
      <c r="A26" s="85" t="s">
        <v>210</v>
      </c>
      <c r="B26" s="92" t="s">
        <v>361</v>
      </c>
      <c r="C26" s="221" t="s">
        <v>457</v>
      </c>
      <c r="D26" s="221" t="s">
        <v>457</v>
      </c>
      <c r="E26" s="91"/>
      <c r="F26" s="91"/>
      <c r="G26" s="221" t="s">
        <v>457</v>
      </c>
      <c r="H26" s="221" t="s">
        <v>457</v>
      </c>
      <c r="I26" s="221"/>
      <c r="J26" s="91"/>
      <c r="K26" s="83"/>
      <c r="L26" s="83"/>
    </row>
    <row r="27" spans="1:12" s="67" customFormat="1" ht="39" customHeight="1" x14ac:dyDescent="0.25">
      <c r="A27" s="85" t="s">
        <v>209</v>
      </c>
      <c r="B27" s="92" t="s">
        <v>363</v>
      </c>
      <c r="C27" s="221" t="s">
        <v>457</v>
      </c>
      <c r="D27" s="221" t="s">
        <v>457</v>
      </c>
      <c r="E27" s="91"/>
      <c r="F27" s="91"/>
      <c r="G27" s="221" t="s">
        <v>457</v>
      </c>
      <c r="H27" s="221" t="s">
        <v>457</v>
      </c>
      <c r="I27" s="221"/>
      <c r="J27" s="91"/>
      <c r="K27" s="83"/>
      <c r="L27" s="83"/>
    </row>
    <row r="28" spans="1:12" s="67" customFormat="1" ht="70.5" customHeight="1" x14ac:dyDescent="0.25">
      <c r="A28" s="85" t="s">
        <v>362</v>
      </c>
      <c r="B28" s="92" t="s">
        <v>367</v>
      </c>
      <c r="C28" s="221" t="s">
        <v>457</v>
      </c>
      <c r="D28" s="221" t="s">
        <v>457</v>
      </c>
      <c r="E28" s="91"/>
      <c r="F28" s="91"/>
      <c r="G28" s="221" t="s">
        <v>457</v>
      </c>
      <c r="H28" s="221" t="s">
        <v>457</v>
      </c>
      <c r="I28" s="221"/>
      <c r="J28" s="91"/>
      <c r="K28" s="83"/>
      <c r="L28" s="83"/>
    </row>
    <row r="29" spans="1:12" s="67" customFormat="1" ht="54" customHeight="1" x14ac:dyDescent="0.25">
      <c r="A29" s="85" t="s">
        <v>208</v>
      </c>
      <c r="B29" s="92" t="s">
        <v>366</v>
      </c>
      <c r="C29" s="221" t="s">
        <v>457</v>
      </c>
      <c r="D29" s="221" t="s">
        <v>457</v>
      </c>
      <c r="E29" s="91"/>
      <c r="F29" s="91"/>
      <c r="G29" s="221" t="s">
        <v>457</v>
      </c>
      <c r="H29" s="221" t="s">
        <v>457</v>
      </c>
      <c r="I29" s="221"/>
      <c r="J29" s="91"/>
      <c r="K29" s="83"/>
      <c r="L29" s="83"/>
    </row>
    <row r="30" spans="1:12" s="67" customFormat="1" ht="42" customHeight="1" x14ac:dyDescent="0.25">
      <c r="A30" s="85" t="s">
        <v>207</v>
      </c>
      <c r="B30" s="92" t="s">
        <v>368</v>
      </c>
      <c r="C30" s="221" t="s">
        <v>457</v>
      </c>
      <c r="D30" s="221" t="s">
        <v>457</v>
      </c>
      <c r="E30" s="91"/>
      <c r="F30" s="91"/>
      <c r="G30" s="221" t="s">
        <v>457</v>
      </c>
      <c r="H30" s="221" t="s">
        <v>457</v>
      </c>
      <c r="I30" s="221"/>
      <c r="J30" s="91"/>
      <c r="K30" s="83"/>
      <c r="L30" s="83"/>
    </row>
    <row r="31" spans="1:12" s="67" customFormat="1" ht="37.5" customHeight="1" x14ac:dyDescent="0.25">
      <c r="A31" s="85" t="s">
        <v>206</v>
      </c>
      <c r="B31" s="84" t="s">
        <v>364</v>
      </c>
      <c r="C31" s="222">
        <v>44621</v>
      </c>
      <c r="D31" s="222">
        <v>44625</v>
      </c>
      <c r="E31" s="91"/>
      <c r="F31" s="91"/>
      <c r="G31" s="222">
        <v>44986</v>
      </c>
      <c r="H31" s="222">
        <v>44990</v>
      </c>
      <c r="I31" s="218"/>
      <c r="J31" s="91"/>
      <c r="K31" s="83"/>
      <c r="L31" s="83"/>
    </row>
    <row r="32" spans="1:12" s="67" customFormat="1" ht="31.5" x14ac:dyDescent="0.25">
      <c r="A32" s="85" t="s">
        <v>204</v>
      </c>
      <c r="B32" s="84" t="s">
        <v>369</v>
      </c>
      <c r="C32" s="222">
        <v>44696</v>
      </c>
      <c r="D32" s="222">
        <v>44701</v>
      </c>
      <c r="E32" s="91"/>
      <c r="F32" s="91"/>
      <c r="G32" s="222">
        <v>45061</v>
      </c>
      <c r="H32" s="222">
        <v>45066</v>
      </c>
      <c r="I32" s="218"/>
      <c r="J32" s="91"/>
      <c r="K32" s="83"/>
      <c r="L32" s="83"/>
    </row>
    <row r="33" spans="1:12" s="67" customFormat="1" ht="37.5" customHeight="1" x14ac:dyDescent="0.25">
      <c r="A33" s="85" t="s">
        <v>380</v>
      </c>
      <c r="B33" s="84" t="s">
        <v>296</v>
      </c>
      <c r="C33" s="221" t="s">
        <v>457</v>
      </c>
      <c r="D33" s="221" t="s">
        <v>457</v>
      </c>
      <c r="E33" s="91"/>
      <c r="F33" s="91"/>
      <c r="G33" s="221" t="s">
        <v>457</v>
      </c>
      <c r="H33" s="221" t="s">
        <v>457</v>
      </c>
      <c r="I33" s="221"/>
      <c r="J33" s="91"/>
      <c r="K33" s="83"/>
      <c r="L33" s="83"/>
    </row>
    <row r="34" spans="1:12" s="67" customFormat="1" ht="47.25" customHeight="1" x14ac:dyDescent="0.25">
      <c r="A34" s="85" t="s">
        <v>381</v>
      </c>
      <c r="B34" s="84" t="s">
        <v>373</v>
      </c>
      <c r="C34" s="221" t="s">
        <v>457</v>
      </c>
      <c r="D34" s="221" t="s">
        <v>457</v>
      </c>
      <c r="E34" s="90"/>
      <c r="F34" s="90"/>
      <c r="G34" s="221" t="s">
        <v>457</v>
      </c>
      <c r="H34" s="221" t="s">
        <v>457</v>
      </c>
      <c r="I34" s="221"/>
      <c r="J34" s="90"/>
      <c r="K34" s="90"/>
      <c r="L34" s="83"/>
    </row>
    <row r="35" spans="1:12" s="67" customFormat="1" ht="49.5" customHeight="1" x14ac:dyDescent="0.25">
      <c r="A35" s="85" t="s">
        <v>382</v>
      </c>
      <c r="B35" s="84" t="s">
        <v>205</v>
      </c>
      <c r="C35" s="222">
        <v>44701</v>
      </c>
      <c r="D35" s="222">
        <v>44706</v>
      </c>
      <c r="E35" s="90"/>
      <c r="F35" s="90"/>
      <c r="G35" s="222">
        <v>45066</v>
      </c>
      <c r="H35" s="222">
        <v>45071</v>
      </c>
      <c r="I35" s="218"/>
      <c r="J35" s="90"/>
      <c r="K35" s="90"/>
      <c r="L35" s="83"/>
    </row>
    <row r="36" spans="1:12" ht="37.5" customHeight="1" x14ac:dyDescent="0.25">
      <c r="A36" s="85" t="s">
        <v>383</v>
      </c>
      <c r="B36" s="84" t="s">
        <v>365</v>
      </c>
      <c r="C36" s="222" t="s">
        <v>457</v>
      </c>
      <c r="D36" s="222" t="s">
        <v>457</v>
      </c>
      <c r="E36" s="89"/>
      <c r="F36" s="88"/>
      <c r="G36" s="222" t="s">
        <v>457</v>
      </c>
      <c r="H36" s="222" t="s">
        <v>457</v>
      </c>
      <c r="I36" s="221"/>
      <c r="J36" s="87"/>
      <c r="K36" s="83"/>
      <c r="L36" s="83"/>
    </row>
    <row r="37" spans="1:12" x14ac:dyDescent="0.25">
      <c r="A37" s="85" t="s">
        <v>384</v>
      </c>
      <c r="B37" s="84" t="s">
        <v>203</v>
      </c>
      <c r="C37" s="222">
        <v>44645</v>
      </c>
      <c r="D37" s="222">
        <v>44696</v>
      </c>
      <c r="E37" s="89"/>
      <c r="F37" s="88"/>
      <c r="G37" s="222">
        <v>45010</v>
      </c>
      <c r="H37" s="222">
        <v>45061</v>
      </c>
      <c r="I37" s="221"/>
      <c r="J37" s="87"/>
      <c r="K37" s="83"/>
      <c r="L37" s="83"/>
    </row>
    <row r="38" spans="1:12" x14ac:dyDescent="0.25">
      <c r="A38" s="85" t="s">
        <v>385</v>
      </c>
      <c r="B38" s="86" t="s">
        <v>202</v>
      </c>
      <c r="C38" s="222"/>
      <c r="D38" s="222"/>
      <c r="E38" s="83"/>
      <c r="F38" s="83"/>
      <c r="G38" s="222"/>
      <c r="H38" s="222"/>
      <c r="I38" s="219"/>
      <c r="J38" s="83"/>
      <c r="K38" s="83"/>
      <c r="L38" s="83"/>
    </row>
    <row r="39" spans="1:12" ht="63" x14ac:dyDescent="0.25">
      <c r="A39" s="85">
        <v>2</v>
      </c>
      <c r="B39" s="84" t="s">
        <v>370</v>
      </c>
      <c r="C39" s="222">
        <v>44706</v>
      </c>
      <c r="D39" s="222">
        <v>44722</v>
      </c>
      <c r="E39" s="83"/>
      <c r="F39" s="83"/>
      <c r="G39" s="222">
        <v>45071</v>
      </c>
      <c r="H39" s="222">
        <v>45087</v>
      </c>
      <c r="I39" s="219"/>
      <c r="J39" s="83"/>
      <c r="K39" s="83"/>
      <c r="L39" s="83"/>
    </row>
    <row r="40" spans="1:12" ht="33.75" customHeight="1" x14ac:dyDescent="0.25">
      <c r="A40" s="85" t="s">
        <v>201</v>
      </c>
      <c r="B40" s="84" t="s">
        <v>372</v>
      </c>
      <c r="C40" s="222">
        <v>44722</v>
      </c>
      <c r="D40" s="222">
        <v>44757</v>
      </c>
      <c r="E40" s="83"/>
      <c r="F40" s="83"/>
      <c r="G40" s="222">
        <v>45087</v>
      </c>
      <c r="H40" s="222">
        <v>45122</v>
      </c>
      <c r="I40" s="219"/>
      <c r="J40" s="83"/>
      <c r="K40" s="83"/>
      <c r="L40" s="83"/>
    </row>
    <row r="41" spans="1:12" ht="63" customHeight="1" x14ac:dyDescent="0.25">
      <c r="A41" s="85" t="s">
        <v>200</v>
      </c>
      <c r="B41" s="86" t="s">
        <v>453</v>
      </c>
      <c r="C41" s="222"/>
      <c r="D41" s="222"/>
      <c r="E41" s="83"/>
      <c r="F41" s="83"/>
      <c r="G41" s="222"/>
      <c r="H41" s="222"/>
      <c r="I41" s="219"/>
      <c r="J41" s="83"/>
      <c r="K41" s="83"/>
      <c r="L41" s="83"/>
    </row>
    <row r="42" spans="1:12" ht="58.5" customHeight="1" x14ac:dyDescent="0.25">
      <c r="A42" s="85">
        <v>3</v>
      </c>
      <c r="B42" s="84" t="s">
        <v>371</v>
      </c>
      <c r="C42" s="222">
        <v>44752</v>
      </c>
      <c r="D42" s="222">
        <v>44757</v>
      </c>
      <c r="E42" s="83"/>
      <c r="F42" s="83"/>
      <c r="G42" s="222">
        <v>45117</v>
      </c>
      <c r="H42" s="222">
        <v>45122</v>
      </c>
      <c r="I42" s="221"/>
      <c r="J42" s="83"/>
      <c r="K42" s="83"/>
      <c r="L42" s="83"/>
    </row>
    <row r="43" spans="1:12" ht="34.5" customHeight="1" x14ac:dyDescent="0.25">
      <c r="A43" s="85" t="s">
        <v>199</v>
      </c>
      <c r="B43" s="84" t="s">
        <v>197</v>
      </c>
      <c r="C43" s="222">
        <v>44757</v>
      </c>
      <c r="D43" s="222">
        <v>44760</v>
      </c>
      <c r="E43" s="83"/>
      <c r="F43" s="83"/>
      <c r="G43" s="222">
        <v>45122</v>
      </c>
      <c r="H43" s="222">
        <v>45125</v>
      </c>
      <c r="I43" s="221"/>
      <c r="J43" s="83"/>
      <c r="K43" s="83"/>
      <c r="L43" s="83"/>
    </row>
    <row r="44" spans="1:12" ht="24.75" customHeight="1" x14ac:dyDescent="0.25">
      <c r="A44" s="85" t="s">
        <v>198</v>
      </c>
      <c r="B44" s="84" t="s">
        <v>195</v>
      </c>
      <c r="C44" s="222">
        <v>44762</v>
      </c>
      <c r="D44" s="222">
        <v>44793</v>
      </c>
      <c r="E44" s="83"/>
      <c r="F44" s="83"/>
      <c r="G44" s="222">
        <v>45127</v>
      </c>
      <c r="H44" s="222">
        <v>45158</v>
      </c>
      <c r="I44" s="221"/>
      <c r="J44" s="83"/>
      <c r="K44" s="83"/>
      <c r="L44" s="83"/>
    </row>
    <row r="45" spans="1:12" ht="90.75" customHeight="1" x14ac:dyDescent="0.25">
      <c r="A45" s="85" t="s">
        <v>196</v>
      </c>
      <c r="B45" s="84" t="s">
        <v>376</v>
      </c>
      <c r="C45" s="222" t="s">
        <v>457</v>
      </c>
      <c r="D45" s="222" t="s">
        <v>457</v>
      </c>
      <c r="E45" s="83"/>
      <c r="F45" s="83"/>
      <c r="G45" s="222" t="s">
        <v>457</v>
      </c>
      <c r="H45" s="222" t="s">
        <v>457</v>
      </c>
      <c r="I45" s="219"/>
      <c r="J45" s="83"/>
      <c r="K45" s="83"/>
      <c r="L45" s="83"/>
    </row>
    <row r="46" spans="1:12" ht="167.25" customHeight="1" x14ac:dyDescent="0.25">
      <c r="A46" s="85" t="s">
        <v>194</v>
      </c>
      <c r="B46" s="84" t="s">
        <v>374</v>
      </c>
      <c r="C46" s="222" t="s">
        <v>457</v>
      </c>
      <c r="D46" s="222" t="s">
        <v>457</v>
      </c>
      <c r="E46" s="83"/>
      <c r="F46" s="83"/>
      <c r="G46" s="222" t="s">
        <v>457</v>
      </c>
      <c r="H46" s="222" t="s">
        <v>457</v>
      </c>
      <c r="I46" s="219"/>
      <c r="J46" s="83"/>
      <c r="K46" s="83"/>
      <c r="L46" s="83"/>
    </row>
    <row r="47" spans="1:12" ht="30.75" customHeight="1" x14ac:dyDescent="0.25">
      <c r="A47" s="85" t="s">
        <v>192</v>
      </c>
      <c r="B47" s="84" t="s">
        <v>193</v>
      </c>
      <c r="C47" s="222"/>
      <c r="D47" s="222"/>
      <c r="E47" s="83"/>
      <c r="F47" s="83"/>
      <c r="G47" s="222">
        <v>45127</v>
      </c>
      <c r="H47" s="222" t="s">
        <v>610</v>
      </c>
      <c r="I47" s="221"/>
      <c r="J47" s="83"/>
      <c r="K47" s="83"/>
      <c r="L47" s="83"/>
    </row>
    <row r="48" spans="1:12" ht="37.5" customHeight="1" x14ac:dyDescent="0.25">
      <c r="A48" s="85" t="s">
        <v>386</v>
      </c>
      <c r="B48" s="86" t="s">
        <v>191</v>
      </c>
      <c r="C48" s="222"/>
      <c r="D48" s="222"/>
      <c r="E48" s="83"/>
      <c r="F48" s="83"/>
      <c r="G48" s="222"/>
      <c r="H48" s="222"/>
      <c r="I48" s="221"/>
      <c r="J48" s="83"/>
      <c r="K48" s="83"/>
      <c r="L48" s="83"/>
    </row>
    <row r="49" spans="1:12" ht="35.25" customHeight="1" x14ac:dyDescent="0.25">
      <c r="A49" s="85">
        <v>4</v>
      </c>
      <c r="B49" s="84" t="s">
        <v>189</v>
      </c>
      <c r="C49" s="222">
        <v>44794</v>
      </c>
      <c r="D49" s="222">
        <v>44796</v>
      </c>
      <c r="E49" s="83"/>
      <c r="F49" s="83"/>
      <c r="G49" s="222">
        <v>45127</v>
      </c>
      <c r="H49" s="222">
        <v>45280</v>
      </c>
      <c r="I49" s="221"/>
      <c r="J49" s="83"/>
      <c r="K49" s="83"/>
      <c r="L49" s="83"/>
    </row>
    <row r="50" spans="1:12" ht="86.25" customHeight="1" x14ac:dyDescent="0.25">
      <c r="A50" s="85" t="s">
        <v>190</v>
      </c>
      <c r="B50" s="84" t="s">
        <v>375</v>
      </c>
      <c r="C50" s="222">
        <v>44797</v>
      </c>
      <c r="D50" s="222">
        <v>44799</v>
      </c>
      <c r="E50" s="83"/>
      <c r="F50" s="83"/>
      <c r="G50" s="222" t="str">
        <f>H47</f>
        <v>20.012.2023</v>
      </c>
      <c r="H50" s="222">
        <v>45290</v>
      </c>
      <c r="I50" s="219"/>
      <c r="J50" s="83"/>
      <c r="K50" s="83"/>
      <c r="L50" s="83"/>
    </row>
    <row r="51" spans="1:12" ht="77.25" customHeight="1" x14ac:dyDescent="0.25">
      <c r="A51" s="85" t="s">
        <v>188</v>
      </c>
      <c r="B51" s="84" t="s">
        <v>377</v>
      </c>
      <c r="C51" s="222"/>
      <c r="D51" s="222"/>
      <c r="E51" s="83"/>
      <c r="F51" s="83"/>
      <c r="G51" s="222"/>
      <c r="H51" s="222"/>
      <c r="I51" s="219"/>
      <c r="J51" s="83"/>
      <c r="K51" s="83"/>
      <c r="L51" s="83"/>
    </row>
    <row r="52" spans="1:12" ht="71.25" customHeight="1" x14ac:dyDescent="0.25">
      <c r="A52" s="85" t="s">
        <v>186</v>
      </c>
      <c r="B52" s="84" t="s">
        <v>187</v>
      </c>
      <c r="C52" s="222"/>
      <c r="D52" s="222"/>
      <c r="E52" s="83"/>
      <c r="F52" s="83"/>
      <c r="G52" s="222"/>
      <c r="H52" s="222"/>
      <c r="I52" s="221"/>
      <c r="J52" s="83"/>
      <c r="K52" s="83"/>
      <c r="L52" s="83"/>
    </row>
    <row r="53" spans="1:12" ht="48" customHeight="1" x14ac:dyDescent="0.25">
      <c r="A53" s="85" t="s">
        <v>184</v>
      </c>
      <c r="B53" s="139" t="s">
        <v>378</v>
      </c>
      <c r="C53" s="222">
        <v>44800</v>
      </c>
      <c r="D53" s="222">
        <v>44803</v>
      </c>
      <c r="E53" s="83"/>
      <c r="F53" s="83"/>
      <c r="G53" s="222">
        <f>H50</f>
        <v>45290</v>
      </c>
      <c r="H53" s="222">
        <v>45290</v>
      </c>
      <c r="I53" s="219"/>
      <c r="J53" s="83"/>
      <c r="K53" s="83"/>
      <c r="L53" s="83"/>
    </row>
    <row r="54" spans="1:12" ht="46.5" customHeight="1" x14ac:dyDescent="0.25">
      <c r="A54" s="85" t="s">
        <v>379</v>
      </c>
      <c r="B54" s="84" t="s">
        <v>185</v>
      </c>
      <c r="C54" s="222">
        <v>44800</v>
      </c>
      <c r="D54" s="222">
        <v>44803</v>
      </c>
      <c r="E54" s="83"/>
      <c r="F54" s="83"/>
      <c r="G54" s="222">
        <f>H51</f>
        <v>0</v>
      </c>
      <c r="H54" s="222">
        <v>45290</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2022-03-31T07:03:29Z</dcterms:modified>
</cp:coreProperties>
</file>